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6" i="39" l="1"/>
  <c r="G46" i="39"/>
  <c r="I46" i="39"/>
  <c r="F8" i="12"/>
  <c r="N9" i="1"/>
  <c r="N8" i="1"/>
  <c r="N7" i="1"/>
  <c r="F22" i="6"/>
  <c r="F19" i="6"/>
  <c r="I38" i="39"/>
  <c r="G38" i="39"/>
  <c r="E38" i="39"/>
  <c r="C38" i="39"/>
  <c r="I7" i="39"/>
  <c r="G7" i="39"/>
  <c r="E7" i="39"/>
  <c r="F3" i="77"/>
  <c r="D7" i="77" l="1"/>
  <c r="F7" i="77" s="1"/>
  <c r="D6" i="77"/>
  <c r="F6" i="77" s="1"/>
  <c r="D5" i="77"/>
  <c r="F5" i="77" s="1"/>
  <c r="D4" i="77"/>
  <c r="F4" i="77" s="1"/>
  <c r="F8" i="77" l="1"/>
  <c r="D8" i="77" s="1"/>
  <c r="C7" i="77"/>
  <c r="C6" i="77"/>
  <c r="C5" i="77"/>
  <c r="C4" i="77"/>
  <c r="C3" i="77"/>
  <c r="C8" i="77"/>
  <c r="G13" i="4"/>
  <c r="G21" i="6"/>
  <c r="F20" i="6"/>
  <c r="F13" i="4" l="1"/>
  <c r="AB5" i="71" l="1"/>
  <c r="AA5" i="71"/>
  <c r="Y5" i="71"/>
  <c r="X5" i="7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19" i="6"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3" i="6" s="1"/>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J56" i="9"/>
  <c r="J57" i="9"/>
  <c r="A24" i="51"/>
  <c r="B18" i="72"/>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52" i="9"/>
  <c r="T11" i="1"/>
  <c r="T13" i="1"/>
  <c r="C77" i="9"/>
  <c r="C74" i="9" s="1"/>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E52" i="37"/>
  <c r="F52" i="37"/>
  <c r="E48" i="35"/>
  <c r="E59" i="34"/>
  <c r="F59" i="34"/>
  <c r="C65" i="40"/>
  <c r="D63" i="40"/>
  <c r="E63" i="40" s="1"/>
  <c r="B5" i="62"/>
  <c r="B73" i="72"/>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C13" i="12"/>
  <c r="F63" i="40"/>
  <c r="F65" i="40" s="1"/>
  <c r="E65" i="40"/>
  <c r="G63" i="40"/>
  <c r="G65" i="40" s="1"/>
  <c r="H63" i="40"/>
  <c r="H65" i="40" s="1"/>
  <c r="I63" i="40"/>
  <c r="I65" i="40" s="1"/>
  <c r="J63" i="40"/>
  <c r="K63" i="40" s="1"/>
  <c r="J65" i="40"/>
  <c r="AE8" i="1"/>
  <c r="AE6" i="1"/>
  <c r="AG6" i="1"/>
  <c r="H109" i="9"/>
  <c r="H110" i="9"/>
  <c r="D18" i="53" s="1"/>
  <c r="B35" i="72" s="1"/>
  <c r="D124" i="9"/>
  <c r="H14" i="74" s="1"/>
  <c r="B7" i="74" s="1"/>
  <c r="D16" i="53"/>
  <c r="B34" i="72"/>
  <c r="D10" i="52"/>
  <c r="D17" i="53"/>
  <c r="B36" i="72" s="1"/>
  <c r="D125" i="9"/>
  <c r="D11" i="52" s="1"/>
  <c r="J7" i="33"/>
  <c r="F7" i="33"/>
  <c r="S7" i="33" s="1"/>
  <c r="H7" i="33"/>
  <c r="AB7" i="33" s="1"/>
  <c r="T48" i="33" s="1"/>
  <c r="G48" i="33" s="1"/>
  <c r="AA7" i="33"/>
  <c r="R48" i="33" s="1"/>
  <c r="E48" i="33" s="1"/>
  <c r="R49" i="33"/>
  <c r="C49" i="33" s="1"/>
  <c r="E52" i="33"/>
  <c r="F52" i="33" s="1"/>
  <c r="C48" i="33"/>
  <c r="D59" i="9"/>
  <c r="M55" i="9"/>
  <c r="AD3" i="71"/>
  <c r="B4" i="62"/>
  <c r="B71" i="72"/>
  <c r="M27" i="15"/>
  <c r="F7" i="73"/>
  <c r="F38" i="67"/>
  <c r="F26" i="15"/>
  <c r="M27" i="67"/>
  <c r="M8" i="15"/>
  <c r="B11" i="76"/>
  <c r="L48" i="67"/>
  <c r="C76" i="15"/>
  <c r="F7" i="15"/>
  <c r="AO8" i="1"/>
  <c r="F43" i="15"/>
  <c r="D2" i="21"/>
  <c r="D34" i="9"/>
  <c r="F6" i="73"/>
  <c r="F35" i="67"/>
  <c r="M26" i="15"/>
  <c r="F7" i="67"/>
  <c r="D4" i="73"/>
  <c r="D2" i="36"/>
  <c r="AO13" i="1"/>
  <c r="M24" i="67"/>
  <c r="M6" i="67"/>
  <c r="F9" i="15"/>
  <c r="L47" i="15"/>
  <c r="M26" i="67"/>
  <c r="B13" i="76"/>
  <c r="F36" i="67"/>
  <c r="F41" i="67"/>
  <c r="B9" i="76"/>
  <c r="F40" i="67"/>
  <c r="J15" i="67"/>
  <c r="E2" i="69"/>
  <c r="B12" i="76"/>
  <c r="F43" i="67"/>
  <c r="B10" i="76"/>
  <c r="L48" i="15"/>
  <c r="M23" i="15"/>
  <c r="F9" i="67"/>
  <c r="E9" i="76"/>
  <c r="E10" i="76"/>
  <c r="F6" i="67"/>
  <c r="M28" i="67"/>
  <c r="F5" i="73"/>
  <c r="F16" i="15"/>
  <c r="F37" i="67"/>
  <c r="F20" i="31"/>
  <c r="M8" i="67"/>
  <c r="F42" i="67"/>
  <c r="D2" i="35"/>
  <c r="AO9" i="1"/>
  <c r="M9" i="15"/>
  <c r="L47" i="67"/>
  <c r="AO11" i="1"/>
  <c r="D3" i="73"/>
  <c r="F4" i="73"/>
  <c r="D2" i="33"/>
  <c r="C76" i="67"/>
  <c r="M23" i="67"/>
  <c r="F8" i="67"/>
  <c r="F13" i="15"/>
  <c r="E2" i="68"/>
  <c r="B7" i="76"/>
  <c r="F37" i="15"/>
  <c r="D2" i="37"/>
  <c r="F42" i="15"/>
  <c r="M24" i="15"/>
  <c r="M21" i="67"/>
  <c r="E7" i="76"/>
  <c r="M29" i="67"/>
  <c r="F26" i="67"/>
  <c r="D35" i="9"/>
  <c r="F6" i="15"/>
  <c r="F36" i="15"/>
  <c r="F8" i="15"/>
  <c r="AO6" i="1"/>
  <c r="M29" i="15"/>
  <c r="D7" i="73"/>
  <c r="F40" i="15"/>
  <c r="M22" i="15"/>
  <c r="F13" i="67"/>
  <c r="M6" i="15"/>
  <c r="AO10" i="1"/>
  <c r="M22" i="67"/>
  <c r="M28" i="15"/>
  <c r="F38" i="15"/>
  <c r="AO12" i="1"/>
  <c r="F16" i="67"/>
  <c r="D2" i="34"/>
  <c r="B8" i="76"/>
  <c r="F3" i="73"/>
  <c r="E11" i="76"/>
  <c r="D6" i="73"/>
  <c r="J15" i="15"/>
  <c r="E8" i="76"/>
  <c r="E12" i="76"/>
  <c r="D5" i="73"/>
  <c r="M9" i="67"/>
  <c r="E13" i="76"/>
  <c r="L27" i="6" l="1"/>
  <c r="E58" i="40"/>
  <c r="E63" i="39"/>
  <c r="E8" i="6"/>
  <c r="AZ21" i="3"/>
  <c r="E12" i="6"/>
  <c r="E57" i="40" s="1"/>
  <c r="C7" i="12"/>
  <c r="C8" i="12" s="1"/>
  <c r="K6" i="1"/>
  <c r="M6" i="1" s="1"/>
  <c r="P61" i="15"/>
  <c r="C94" i="9"/>
  <c r="C92" i="9"/>
  <c r="F28" i="15"/>
  <c r="C28" i="15" s="1"/>
  <c r="F54" i="9"/>
  <c r="M18" i="67"/>
  <c r="D68" i="9"/>
  <c r="M18" i="15"/>
  <c r="F32" i="15"/>
  <c r="F60" i="15" s="1"/>
  <c r="F30" i="69"/>
  <c r="F32" i="67"/>
  <c r="F60" i="67" s="1"/>
  <c r="F31" i="12"/>
  <c r="F28" i="67"/>
  <c r="C28" i="67" s="1"/>
  <c r="F30" i="11"/>
  <c r="F30" i="68"/>
  <c r="AR11" i="1"/>
  <c r="BL15" i="3"/>
  <c r="C36" i="69"/>
  <c r="AZ13" i="3"/>
  <c r="BA19" i="3"/>
  <c r="AZ19" i="3" s="1"/>
  <c r="I4" i="6"/>
  <c r="G5" i="3"/>
  <c r="B3" i="3" s="1"/>
  <c r="E153" i="3" s="1"/>
  <c r="E191" i="3"/>
  <c r="E575" i="3"/>
  <c r="E442" i="3"/>
  <c r="E527" i="3"/>
  <c r="E457" i="3"/>
  <c r="E562" i="3"/>
  <c r="E571" i="3"/>
  <c r="E450" i="3"/>
  <c r="E433" i="3"/>
  <c r="E72" i="3"/>
  <c r="E111" i="3"/>
  <c r="E150" i="3"/>
  <c r="E279" i="3"/>
  <c r="E351" i="3"/>
  <c r="E394" i="3"/>
  <c r="E318" i="3"/>
  <c r="E362" i="3"/>
  <c r="E14" i="3"/>
  <c r="E580" i="3"/>
  <c r="E31" i="3"/>
  <c r="E74" i="3"/>
  <c r="E93" i="3"/>
  <c r="E32" i="3"/>
  <c r="E75" i="3"/>
  <c r="E409" i="3"/>
  <c r="E473" i="3"/>
  <c r="E15" i="3"/>
  <c r="E455" i="3"/>
  <c r="E79" i="3"/>
  <c r="E38" i="3"/>
  <c r="E78" i="3"/>
  <c r="E53" i="3"/>
  <c r="E501" i="3"/>
  <c r="E426" i="3"/>
  <c r="E516" i="3"/>
  <c r="E396" i="3"/>
  <c r="E151" i="3"/>
  <c r="E518" i="3"/>
  <c r="E578" i="3"/>
  <c r="E382" i="3"/>
  <c r="E245" i="3"/>
  <c r="E61" i="3"/>
  <c r="E290" i="3"/>
  <c r="E117" i="3"/>
  <c r="E149" i="3"/>
  <c r="E212" i="3"/>
  <c r="E167" i="3"/>
  <c r="E141" i="3"/>
  <c r="E312" i="3"/>
  <c r="BA18" i="3"/>
  <c r="BA5" i="3" s="1"/>
  <c r="AZ18"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11" i="3"/>
  <c r="AO6" i="3"/>
  <c r="E515" i="3"/>
  <c r="AG6" i="3"/>
  <c r="U6" i="3"/>
  <c r="Z6" i="3"/>
  <c r="E585" i="3"/>
  <c r="E576" i="3"/>
  <c r="E379" i="3"/>
  <c r="E327" i="3"/>
  <c r="E107" i="3"/>
  <c r="E164" i="3"/>
  <c r="E145" i="3"/>
  <c r="E204" i="3"/>
  <c r="E271" i="3"/>
  <c r="E252" i="3"/>
  <c r="E207" i="3"/>
  <c r="E180" i="3"/>
  <c r="E221" i="3"/>
  <c r="E91" i="3"/>
  <c r="E254" i="3"/>
  <c r="E134" i="3"/>
  <c r="E159" i="3"/>
  <c r="E301" i="3"/>
  <c r="E303" i="3"/>
  <c r="E350" i="3"/>
  <c r="E402" i="3"/>
  <c r="E586" i="3"/>
  <c r="AN6" i="3"/>
  <c r="E495" i="3"/>
  <c r="E353" i="3"/>
  <c r="E201" i="3"/>
  <c r="E247" i="3"/>
  <c r="E431" i="3"/>
  <c r="E579" i="3"/>
  <c r="E509" i="3"/>
  <c r="E508" i="3"/>
  <c r="E305" i="3"/>
  <c r="E343" i="3"/>
  <c r="E530"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D9" i="68"/>
  <c r="C9" i="68" s="1"/>
  <c r="D19" i="12"/>
  <c r="C19" i="12" s="1"/>
  <c r="D9" i="69"/>
  <c r="C9" i="69" s="1"/>
  <c r="E15" i="6"/>
  <c r="G30" i="6"/>
  <c r="G31" i="6" s="1"/>
  <c r="E28" i="6"/>
  <c r="K14" i="1" s="1"/>
  <c r="BL5" i="3"/>
  <c r="AZ15" i="3"/>
  <c r="AZ5" i="3" s="1"/>
  <c r="P7" i="1"/>
  <c r="F30" i="6"/>
  <c r="E29" i="6"/>
  <c r="O6" i="1"/>
  <c r="P6" i="1" s="1"/>
  <c r="F27" i="6"/>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9" i="40"/>
  <c r="O11" i="1"/>
  <c r="P11" i="1" s="1"/>
  <c r="O12" i="1"/>
  <c r="P12" i="1" s="1"/>
  <c r="O8" i="1"/>
  <c r="P8" i="1" s="1"/>
  <c r="O9" i="1"/>
  <c r="P9" i="1" s="1"/>
  <c r="H16" i="1"/>
  <c r="Q16" i="1"/>
  <c r="G16" i="1"/>
  <c r="H10" i="40" s="1"/>
  <c r="E16" i="6"/>
  <c r="E56" i="40"/>
  <c r="T35" i="4"/>
  <c r="A19" i="51" s="1"/>
  <c r="B14" i="72" s="1"/>
  <c r="G52" i="33"/>
  <c r="H52" i="33" s="1"/>
  <c r="E53" i="33"/>
  <c r="F53" i="33" s="1"/>
  <c r="U7" i="33"/>
  <c r="W7" i="33"/>
  <c r="AC7" i="33"/>
  <c r="V48" i="33" s="1"/>
  <c r="I48" i="33" s="1"/>
  <c r="K65" i="40"/>
  <c r="L63" i="40"/>
  <c r="G59" i="34"/>
  <c r="G52" i="37"/>
  <c r="E46" i="36"/>
  <c r="D58" i="21"/>
  <c r="F48" i="35"/>
  <c r="C70" i="39"/>
  <c r="D68" i="39"/>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F71" i="67"/>
  <c r="F66" i="15"/>
  <c r="F50" i="15"/>
  <c r="M7" i="15"/>
  <c r="J6" i="15" s="1"/>
  <c r="B10" i="70"/>
  <c r="F68" i="67"/>
  <c r="F66" i="67"/>
  <c r="L59" i="67"/>
  <c r="N59" i="67"/>
  <c r="L58" i="67"/>
  <c r="F68" i="15"/>
  <c r="N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15"/>
  <c r="C17" i="67"/>
  <c r="C16" i="67"/>
  <c r="F59" i="67"/>
  <c r="M17" i="67"/>
  <c r="C16" i="15"/>
  <c r="F31" i="67"/>
  <c r="G1" i="73"/>
  <c r="F31" i="15"/>
  <c r="C14" i="67"/>
  <c r="E357" i="3" l="1"/>
  <c r="E257" i="3"/>
  <c r="E208" i="3"/>
  <c r="E168" i="3"/>
  <c r="E54" i="3"/>
  <c r="E475" i="3"/>
  <c r="E471" i="3"/>
  <c r="E537" i="3"/>
  <c r="W6" i="3"/>
  <c r="E288" i="3"/>
  <c r="E438" i="3"/>
  <c r="E474" i="3"/>
  <c r="R6" i="3"/>
  <c r="E253" i="3"/>
  <c r="E239" i="3"/>
  <c r="E62" i="39"/>
  <c r="F31" i="6"/>
  <c r="E315" i="3"/>
  <c r="E274" i="3"/>
  <c r="E214" i="3"/>
  <c r="E256" i="3"/>
  <c r="E171" i="3"/>
  <c r="E203" i="3"/>
  <c r="E146" i="3"/>
  <c r="E73" i="3"/>
  <c r="E106" i="3"/>
  <c r="E55" i="3"/>
  <c r="E454" i="3"/>
  <c r="E496" i="3"/>
  <c r="E468" i="3"/>
  <c r="E429" i="3"/>
  <c r="E577" i="3"/>
  <c r="AE6" i="3"/>
  <c r="E587" i="3"/>
  <c r="E344" i="3"/>
  <c r="E465" i="3"/>
  <c r="E424" i="3"/>
  <c r="E406" i="3"/>
  <c r="E481" i="3"/>
  <c r="E472" i="3"/>
  <c r="E502" i="3"/>
  <c r="E499" i="3"/>
  <c r="E286" i="3"/>
  <c r="E161" i="3"/>
  <c r="AI6" i="3"/>
  <c r="E175" i="3"/>
  <c r="G3" i="43"/>
  <c r="C11" i="39"/>
  <c r="L56" i="15"/>
  <c r="J10" i="40"/>
  <c r="AC10" i="40" s="1"/>
  <c r="H10" i="39"/>
  <c r="AB10" i="39" s="1"/>
  <c r="F10" i="39"/>
  <c r="S10" i="39" s="1"/>
  <c r="C30" i="11"/>
  <c r="C48" i="11"/>
  <c r="C30" i="69"/>
  <c r="C48" i="69"/>
  <c r="C48" i="68"/>
  <c r="C30" i="68"/>
  <c r="E199" i="3"/>
  <c r="E77" i="3"/>
  <c r="E135" i="3"/>
  <c r="E263" i="3"/>
  <c r="E229" i="3"/>
  <c r="AD6" i="3"/>
  <c r="E552"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46"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542" i="3"/>
  <c r="E486" i="3"/>
  <c r="E422" i="3"/>
  <c r="E490" i="3"/>
  <c r="AH6" i="3"/>
  <c r="E498" i="3"/>
  <c r="E483" i="3"/>
  <c r="E463" i="3"/>
  <c r="E25" i="3"/>
  <c r="E178" i="3"/>
  <c r="E202" i="3"/>
  <c r="E226" i="3"/>
  <c r="E346" i="3"/>
  <c r="E372" i="3"/>
  <c r="E60" i="3"/>
  <c r="E428" i="3"/>
  <c r="E96" i="3"/>
  <c r="E103" i="3"/>
  <c r="E160" i="3"/>
  <c r="E142" i="3"/>
  <c r="E200" i="3"/>
  <c r="E267" i="3"/>
  <c r="E249" i="3"/>
  <c r="E300" i="3"/>
  <c r="E371" i="3"/>
  <c r="E310" i="3"/>
  <c r="E492" i="3"/>
  <c r="E23" i="3"/>
  <c r="E84" i="3"/>
  <c r="E67" i="3"/>
  <c r="E33" i="3"/>
  <c r="E144" i="3"/>
  <c r="E184" i="3"/>
  <c r="E233" i="3"/>
  <c r="E355" i="3"/>
  <c r="E381" i="3"/>
  <c r="E68" i="3"/>
  <c r="E63" i="3"/>
  <c r="E81" i="3"/>
  <c r="E118" i="3"/>
  <c r="E264" i="3"/>
  <c r="E265" i="3"/>
  <c r="E308" i="3"/>
  <c r="E365" i="3"/>
  <c r="E326" i="3"/>
  <c r="E524" i="3"/>
  <c r="E22" i="3"/>
  <c r="E101" i="3"/>
  <c r="E83" i="3"/>
  <c r="E421" i="3"/>
  <c r="E507" i="3"/>
  <c r="E440" i="3"/>
  <c r="E376" i="3"/>
  <c r="J6" i="3"/>
  <c r="E419" i="3"/>
  <c r="E401" i="3"/>
  <c r="E40" i="3"/>
  <c r="E108" i="3"/>
  <c r="E119" i="3"/>
  <c r="E242" i="3"/>
  <c r="E276" i="3"/>
  <c r="E333" i="3"/>
  <c r="L6" i="3"/>
  <c r="E43" i="3"/>
  <c r="E412" i="3"/>
  <c r="E65" i="3"/>
  <c r="E138" i="3"/>
  <c r="E195" i="3"/>
  <c r="E163" i="3"/>
  <c r="E248" i="3"/>
  <c r="E209" i="3"/>
  <c r="E266" i="3"/>
  <c r="E307" i="3"/>
  <c r="E386" i="3"/>
  <c r="E354" i="3"/>
  <c r="E584" i="3"/>
  <c r="E66" i="3"/>
  <c r="E24" i="3"/>
  <c r="E48" i="3"/>
  <c r="E87" i="3"/>
  <c r="E127" i="3"/>
  <c r="E250" i="3"/>
  <c r="E284" i="3"/>
  <c r="E341" i="3"/>
  <c r="Y6" i="3"/>
  <c r="H6" i="3" s="1"/>
  <c r="E51" i="3"/>
  <c r="E19" i="3"/>
  <c r="E154" i="3"/>
  <c r="E179" i="3"/>
  <c r="E222" i="3"/>
  <c r="E283" i="3"/>
  <c r="E323" i="3"/>
  <c r="E309" i="3"/>
  <c r="E373" i="3"/>
  <c r="E513" i="3"/>
  <c r="E82" i="3"/>
  <c r="E21" i="3"/>
  <c r="E423" i="3"/>
  <c r="E385" i="3"/>
  <c r="E569" i="3"/>
  <c r="E328" i="3"/>
  <c r="E319" i="3"/>
  <c r="E27" i="6"/>
  <c r="K23" i="6" s="1"/>
  <c r="M23" i="6" s="1"/>
  <c r="I23" i="6" s="1"/>
  <c r="E60" i="40"/>
  <c r="E65" i="39"/>
  <c r="E66" i="39" s="1"/>
  <c r="E3" i="6"/>
  <c r="AY6" i="3"/>
  <c r="AY281" i="3" s="1"/>
  <c r="M14" i="1"/>
  <c r="C34" i="69"/>
  <c r="E30" i="6"/>
  <c r="K15" i="1"/>
  <c r="K16" i="1" s="1"/>
  <c r="AY515" i="3"/>
  <c r="AY477" i="3"/>
  <c r="F10" i="40"/>
  <c r="J10" i="39"/>
  <c r="F27" i="69"/>
  <c r="F28" i="12"/>
  <c r="F27" i="11"/>
  <c r="F27" i="68"/>
  <c r="D70" i="39"/>
  <c r="E68" i="39"/>
  <c r="F46" i="36"/>
  <c r="H59" i="34"/>
  <c r="W10" i="40"/>
  <c r="U10" i="40"/>
  <c r="AB10" i="40"/>
  <c r="M63" i="40"/>
  <c r="L65" i="40"/>
  <c r="I52" i="33"/>
  <c r="J52" i="33" s="1"/>
  <c r="I53" i="33"/>
  <c r="J53" i="33" s="1"/>
  <c r="G53" i="33"/>
  <c r="H53" i="33" s="1"/>
  <c r="G48" i="35"/>
  <c r="H48" i="35" s="1"/>
  <c r="I48" i="35" s="1"/>
  <c r="J48" i="35" s="1"/>
  <c r="K48" i="35" s="1"/>
  <c r="L48" i="35" s="1"/>
  <c r="M48" i="35" s="1"/>
  <c r="N48" i="35" s="1"/>
  <c r="O48" i="35" s="1"/>
  <c r="J7" i="21"/>
  <c r="E58" i="21"/>
  <c r="F58" i="21" s="1"/>
  <c r="G58" i="21" s="1"/>
  <c r="H58" i="21" s="1"/>
  <c r="I58" i="21" s="1"/>
  <c r="J58" i="21" s="1"/>
  <c r="K58" i="21" s="1"/>
  <c r="L58" i="21" s="1"/>
  <c r="M58" i="21" s="1"/>
  <c r="N58" i="21" s="1"/>
  <c r="O58" i="21" s="1"/>
  <c r="H7" i="21"/>
  <c r="H52" i="37"/>
  <c r="U10" i="39"/>
  <c r="AA10" i="39"/>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61" i="67"/>
  <c r="Q74" i="67"/>
  <c r="AY408" i="3" l="1"/>
  <c r="AY118" i="3"/>
  <c r="K24" i="6"/>
  <c r="M24" i="6" s="1"/>
  <c r="I24" i="6" s="1"/>
  <c r="S24" i="6" s="1"/>
  <c r="AY164" i="3"/>
  <c r="AY301" i="3"/>
  <c r="AY572" i="3"/>
  <c r="AY378" i="3"/>
  <c r="AY566" i="3"/>
  <c r="AY240" i="3"/>
  <c r="AY107" i="3"/>
  <c r="AY359" i="3"/>
  <c r="AY62" i="3"/>
  <c r="AY396" i="3"/>
  <c r="AY121" i="3"/>
  <c r="AY338" i="3"/>
  <c r="BS6" i="3"/>
  <c r="AY400" i="3"/>
  <c r="AY351" i="3"/>
  <c r="AY293" i="3"/>
  <c r="AY54" i="3"/>
  <c r="AY547" i="3"/>
  <c r="AY485" i="3"/>
  <c r="AY248" i="3"/>
  <c r="AY172" i="3"/>
  <c r="AY493" i="3"/>
  <c r="AY434" i="3"/>
  <c r="AY81" i="3"/>
  <c r="AY483" i="3"/>
  <c r="AY368" i="3"/>
  <c r="AY297" i="3"/>
  <c r="AY184" i="3"/>
  <c r="AY304" i="3"/>
  <c r="AY561" i="3"/>
  <c r="BT6" i="3"/>
  <c r="AY521" i="3"/>
  <c r="AY443" i="3"/>
  <c r="AY307" i="3"/>
  <c r="AY386" i="3"/>
  <c r="AY257" i="3"/>
  <c r="AY143" i="3"/>
  <c r="AY200" i="3"/>
  <c r="AY71" i="3"/>
  <c r="AY568" i="3"/>
  <c r="AY500" i="3"/>
  <c r="AY451" i="3"/>
  <c r="AY315" i="3"/>
  <c r="AY394" i="3"/>
  <c r="AY265" i="3"/>
  <c r="AY151" i="3"/>
  <c r="AY19" i="3"/>
  <c r="AY79" i="3"/>
  <c r="AY545" i="3"/>
  <c r="AY538" i="3"/>
  <c r="AY320" i="3"/>
  <c r="AY153" i="3"/>
  <c r="AY543" i="3"/>
  <c r="AY406" i="3"/>
  <c r="AY370" i="3"/>
  <c r="AY72" i="3"/>
  <c r="AY238" i="3"/>
  <c r="AY433" i="3"/>
  <c r="BD6" i="3"/>
  <c r="AY241" i="3"/>
  <c r="BL6" i="3"/>
  <c r="AY63" i="3"/>
  <c r="AY508" i="3"/>
  <c r="BR6" i="3"/>
  <c r="AY25" i="3"/>
  <c r="F11" i="39"/>
  <c r="H11" i="39"/>
  <c r="J11" i="39"/>
  <c r="K19" i="6"/>
  <c r="S6" i="1" s="1"/>
  <c r="AR6" i="1" s="1"/>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BP6" i="3"/>
  <c r="AY551" i="3"/>
  <c r="AY522" i="3"/>
  <c r="AY415" i="3"/>
  <c r="AY476" i="3"/>
  <c r="AY337" i="3"/>
  <c r="AY267" i="3"/>
  <c r="AY21" i="3"/>
  <c r="AY496" i="3"/>
  <c r="AY520" i="3"/>
  <c r="AY503" i="3"/>
  <c r="AY449" i="3"/>
  <c r="AY309" i="3"/>
  <c r="AY258" i="3"/>
  <c r="AY181" i="3"/>
  <c r="BB6" i="3"/>
  <c r="AY384" i="3"/>
  <c r="AY255" i="3"/>
  <c r="AY45" i="3"/>
  <c r="AY180" i="3"/>
  <c r="AY586" i="3"/>
  <c r="AY448" i="3"/>
  <c r="AY391" i="3"/>
  <c r="AY128" i="3"/>
  <c r="AY55" i="3"/>
  <c r="AY456" i="3"/>
  <c r="AY135" i="3"/>
  <c r="AY564" i="3"/>
  <c r="AY122" i="3"/>
  <c r="AY467" i="3"/>
  <c r="AY513" i="3"/>
  <c r="AY223" i="3"/>
  <c r="AY219" i="3"/>
  <c r="G101" i="43"/>
  <c r="J101" i="43"/>
  <c r="L101" i="43"/>
  <c r="G22" i="43"/>
  <c r="K101" i="43"/>
  <c r="N101" i="43"/>
  <c r="H22" i="43"/>
  <c r="M101" i="43"/>
  <c r="E101" i="43"/>
  <c r="AH11" i="43"/>
  <c r="AH13" i="43" s="1"/>
  <c r="AD11" i="43"/>
  <c r="AD13" i="43" s="1"/>
  <c r="Z11" i="43"/>
  <c r="Z13" i="43" s="1"/>
  <c r="AI11" i="43"/>
  <c r="AI13" i="43" s="1"/>
  <c r="AE11" i="43"/>
  <c r="AE13" i="43" s="1"/>
  <c r="AA11" i="43"/>
  <c r="AA13" i="43" s="1"/>
  <c r="J22" i="43"/>
  <c r="H101" i="43"/>
  <c r="F22" i="43"/>
  <c r="F101" i="43"/>
  <c r="E22" i="43"/>
  <c r="D101" i="43"/>
  <c r="I101" i="43"/>
  <c r="AJ11" i="43"/>
  <c r="AJ13" i="43" s="1"/>
  <c r="AF11" i="43"/>
  <c r="AF13" i="43" s="1"/>
  <c r="AB11" i="43"/>
  <c r="AB13" i="43" s="1"/>
  <c r="Z7" i="43"/>
  <c r="AG11" i="43"/>
  <c r="AG13" i="43" s="1"/>
  <c r="AC11" i="43"/>
  <c r="AC13" i="43" s="1"/>
  <c r="Y11" i="43"/>
  <c r="Y13" i="43" s="1"/>
  <c r="B113" i="43"/>
  <c r="C101" i="43"/>
  <c r="N104" i="46"/>
  <c r="E31" i="6"/>
  <c r="K26" i="6"/>
  <c r="M26" i="6" s="1"/>
  <c r="I26" i="6" s="1"/>
  <c r="S26" i="6" s="1"/>
  <c r="K20" i="6"/>
  <c r="AY558" i="3"/>
  <c r="AY346" i="3"/>
  <c r="AY249" i="3"/>
  <c r="AY192" i="3"/>
  <c r="AY548" i="3"/>
  <c r="AY418" i="3"/>
  <c r="AY385" i="3"/>
  <c r="AY49" i="3"/>
  <c r="BN6" i="3"/>
  <c r="AY279" i="3"/>
  <c r="AY299" i="3"/>
  <c r="AY225" i="3"/>
  <c r="AY442" i="3"/>
  <c r="AY96" i="3"/>
  <c r="AY333" i="3"/>
  <c r="AY217" i="3"/>
  <c r="AY390" i="3"/>
  <c r="AY435" i="3"/>
  <c r="AY356" i="3"/>
  <c r="AY40" i="3"/>
  <c r="AY222" i="3"/>
  <c r="AY60" i="3"/>
  <c r="AY245" i="3"/>
  <c r="BA6" i="3"/>
  <c r="AY499" i="3"/>
  <c r="AY328" i="3"/>
  <c r="AY169" i="3"/>
  <c r="AY16" i="3"/>
  <c r="AY414" i="3"/>
  <c r="AY202" i="3"/>
  <c r="AY33" i="3"/>
  <c r="AY83" i="3"/>
  <c r="AY574" i="3"/>
  <c r="AY334" i="3"/>
  <c r="AY502" i="3"/>
  <c r="AY423" i="3"/>
  <c r="AY484" i="3"/>
  <c r="AY345" i="3"/>
  <c r="AY282" i="3"/>
  <c r="AY37" i="3"/>
  <c r="AY514" i="3"/>
  <c r="AY546" i="3"/>
  <c r="AY581" i="3"/>
  <c r="AY472" i="3"/>
  <c r="AY259" i="3"/>
  <c r="BH6" i="3"/>
  <c r="AY278" i="3"/>
  <c r="AY544" i="3"/>
  <c r="AY303" i="3"/>
  <c r="AY157" i="3"/>
  <c r="AY85" i="3"/>
  <c r="AY447" i="3"/>
  <c r="AY526" i="3"/>
  <c r="AY51" i="3"/>
  <c r="AY87" i="3"/>
  <c r="AY144" i="3"/>
  <c r="AY95" i="3"/>
  <c r="AY152" i="3"/>
  <c r="AY111" i="3"/>
  <c r="AY253" i="3"/>
  <c r="AY382"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3" i="3"/>
  <c r="AY59" i="3"/>
  <c r="AY58" i="3"/>
  <c r="AY371" i="3"/>
  <c r="AY473" i="3"/>
  <c r="AY441" i="3"/>
  <c r="AY26" i="3"/>
  <c r="AY260" i="3"/>
  <c r="AY372" i="3"/>
  <c r="AY310" i="3"/>
  <c r="AY420" i="3"/>
  <c r="AY549" i="3"/>
  <c r="AY533" i="3"/>
  <c r="AY97" i="3"/>
  <c r="AY61" i="3"/>
  <c r="AY44" i="3"/>
  <c r="AY190" i="3"/>
  <c r="AY154" i="3"/>
  <c r="AY133" i="3"/>
  <c r="AY283"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34" i="3"/>
  <c r="AY42" i="3"/>
  <c r="AY168" i="3"/>
  <c r="AY366" i="3"/>
  <c r="AY486" i="3"/>
  <c r="AY425" i="3"/>
  <c r="AY199" i="3"/>
  <c r="AY244" i="3"/>
  <c r="AY355" i="3"/>
  <c r="AY481" i="3"/>
  <c r="AY404" i="3"/>
  <c r="AY562" i="3"/>
  <c r="BO6" i="3"/>
  <c r="AY89" i="3"/>
  <c r="AY53" i="3"/>
  <c r="AY36" i="3"/>
  <c r="AY182" i="3"/>
  <c r="AY146" i="3"/>
  <c r="AY126" i="3"/>
  <c r="AY302" i="3"/>
  <c r="AY155" i="3"/>
  <c r="AY268" i="3"/>
  <c r="AY460" i="3"/>
  <c r="AY300" i="3"/>
  <c r="AY327" i="3"/>
  <c r="AY401" i="3"/>
  <c r="BE6" i="3"/>
  <c r="AY76" i="3"/>
  <c r="AY185" i="3"/>
  <c r="AY125" i="3"/>
  <c r="AY247" i="3"/>
  <c r="AY230" i="3"/>
  <c r="AY397" i="3"/>
  <c r="AY360" i="3"/>
  <c r="AY109" i="3"/>
  <c r="AY56" i="3"/>
  <c r="AY166" i="3"/>
  <c r="AY295" i="3"/>
  <c r="AY242" i="3"/>
  <c r="AY353" i="3"/>
  <c r="AY348" i="3"/>
  <c r="AY475"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66" i="3"/>
  <c r="AY276" i="3"/>
  <c r="AY318" i="3"/>
  <c r="AY106" i="3"/>
  <c r="AY395" i="3"/>
  <c r="AY452" i="3"/>
  <c r="AY569" i="3"/>
  <c r="AY77" i="3"/>
  <c r="AY206" i="3"/>
  <c r="AY149"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88" i="3"/>
  <c r="AY335" i="3"/>
  <c r="AY409" i="3"/>
  <c r="AY228" i="3"/>
  <c r="AY465" i="3"/>
  <c r="BK6" i="3"/>
  <c r="AY108" i="3"/>
  <c r="AY28" i="3"/>
  <c r="AY138"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94" i="3"/>
  <c r="AY201" i="3"/>
  <c r="AY541" i="3"/>
  <c r="AY358" i="3"/>
  <c r="AY470" i="3"/>
  <c r="AY176" i="3"/>
  <c r="AY511" i="3"/>
  <c r="AY429" i="3"/>
  <c r="AY490" i="3"/>
  <c r="AY354" i="3"/>
  <c r="AY224" i="3"/>
  <c r="AY277" i="3"/>
  <c r="AY148" i="3"/>
  <c r="AY38" i="3"/>
  <c r="AY91" i="3"/>
  <c r="AY560" i="3"/>
  <c r="AY437" i="3"/>
  <c r="AY469" i="3"/>
  <c r="AY362" i="3"/>
  <c r="AY232" i="3"/>
  <c r="AY285" i="3"/>
  <c r="AY156" i="3"/>
  <c r="AY46" i="3"/>
  <c r="AY99" i="3"/>
  <c r="AY537" i="3"/>
  <c r="AY399" i="3"/>
  <c r="AY461" i="3"/>
  <c r="AY321" i="3"/>
  <c r="AY235" i="3"/>
  <c r="AY205" i="3"/>
  <c r="AY577" i="3"/>
  <c r="AY518" i="3"/>
  <c r="AY525" i="3"/>
  <c r="AY454" i="3"/>
  <c r="AY340" i="3"/>
  <c r="AY226" i="3"/>
  <c r="AY150" i="3"/>
  <c r="AY93" i="3"/>
  <c r="AY389" i="3"/>
  <c r="AY239" i="3"/>
  <c r="AY170" i="3"/>
  <c r="AY553" i="3"/>
  <c r="AY342" i="3"/>
  <c r="AY428" i="3"/>
  <c r="AY115" i="3"/>
  <c r="AY531" i="3"/>
  <c r="AY509" i="3"/>
  <c r="D3" i="6"/>
  <c r="AY579" i="3"/>
  <c r="AY410" i="3"/>
  <c r="AY453" i="3"/>
  <c r="AY487" i="3"/>
  <c r="AY313" i="3"/>
  <c r="AY369" i="3"/>
  <c r="AY266" i="3"/>
  <c r="AY129" i="3"/>
  <c r="AY189" i="3"/>
  <c r="AY80" i="3"/>
  <c r="AY519" i="3"/>
  <c r="AY584" i="3"/>
  <c r="AY510" i="3"/>
  <c r="BF6" i="3"/>
  <c r="BM6" i="3"/>
  <c r="AY427" i="3"/>
  <c r="AY446" i="3"/>
  <c r="AY316" i="3"/>
  <c r="AY388" i="3"/>
  <c r="AY145" i="3"/>
  <c r="AY73" i="3"/>
  <c r="AY374" i="3"/>
  <c r="AY262" i="3"/>
  <c r="AY165" i="3"/>
  <c r="AY92" i="3"/>
  <c r="AY463" i="3"/>
  <c r="AY529" i="3"/>
  <c r="AY131" i="3"/>
  <c r="AY117" i="3"/>
  <c r="AY178" i="3"/>
  <c r="AY68" i="3"/>
  <c r="AY555" i="3"/>
  <c r="AY535" i="3"/>
  <c r="AY311" i="3"/>
  <c r="AY269" i="3"/>
  <c r="AY444" i="3"/>
  <c r="AY236" i="3"/>
  <c r="AY124" i="3"/>
  <c r="S23" i="6"/>
  <c r="H23" i="6"/>
  <c r="AC6" i="3"/>
  <c r="E6" i="3" s="1"/>
  <c r="AY207" i="3"/>
  <c r="K22" i="6"/>
  <c r="K25" i="6"/>
  <c r="M25" i="6" s="1"/>
  <c r="I25" i="6" s="1"/>
  <c r="K21" i="6"/>
  <c r="C38" i="69"/>
  <c r="C35" i="69"/>
  <c r="AY98" i="3"/>
  <c r="AY82" i="3"/>
  <c r="AY18" i="3"/>
  <c r="AY191" i="3"/>
  <c r="AY171" i="3"/>
  <c r="AY132" i="3"/>
  <c r="AY90" i="3"/>
  <c r="AY31" i="3"/>
  <c r="AY163" i="3"/>
  <c r="AY292" i="3"/>
  <c r="AY75" i="3"/>
  <c r="AY147" i="3"/>
  <c r="AY237" i="3"/>
  <c r="AY220" i="3"/>
  <c r="AY387" i="3"/>
  <c r="AY350" i="3"/>
  <c r="AY103" i="3"/>
  <c r="AY67" i="3"/>
  <c r="AY50" i="3"/>
  <c r="AY196" i="3"/>
  <c r="AY160" i="3"/>
  <c r="AY139" i="3"/>
  <c r="AY289" i="3"/>
  <c r="AY74" i="3"/>
  <c r="AY183" i="3"/>
  <c r="AY123" i="3"/>
  <c r="AY261" i="3"/>
  <c r="AY204" i="3"/>
  <c r="AY284" i="3"/>
  <c r="AY252" i="3"/>
  <c r="AY209" i="3"/>
  <c r="AY363" i="3"/>
  <c r="O14" i="1"/>
  <c r="O16" i="1" s="1"/>
  <c r="M16" i="1"/>
  <c r="C17" i="4"/>
  <c r="B4" i="52" s="1"/>
  <c r="B43" i="72" s="1"/>
  <c r="D3" i="34"/>
  <c r="E6" i="6"/>
  <c r="L18" i="9"/>
  <c r="D3" i="33"/>
  <c r="B2" i="33" s="1"/>
  <c r="B3" i="33" s="1"/>
  <c r="D3" i="37"/>
  <c r="D3" i="21"/>
  <c r="D37" i="11"/>
  <c r="M18" i="9"/>
  <c r="B118" i="9" s="1"/>
  <c r="B14" i="74" s="1"/>
  <c r="B1" i="74" s="1"/>
  <c r="C7" i="74" s="1"/>
  <c r="D19" i="11"/>
  <c r="C19" i="11" s="1"/>
  <c r="C20" i="11" s="1"/>
  <c r="D14" i="12"/>
  <c r="K27" i="6"/>
  <c r="M19" i="6"/>
  <c r="D25" i="6"/>
  <c r="D15" i="6"/>
  <c r="D22" i="6"/>
  <c r="D21" i="6"/>
  <c r="D24" i="6"/>
  <c r="M19" i="9"/>
  <c r="C118" i="9" s="1"/>
  <c r="C14" i="74" s="1"/>
  <c r="B2" i="74" s="1"/>
  <c r="D7" i="74" s="1"/>
  <c r="D19" i="6"/>
  <c r="D26" i="6"/>
  <c r="C18" i="4"/>
  <c r="D8" i="6"/>
  <c r="D23" i="6"/>
  <c r="D20" i="6"/>
  <c r="D5" i="6"/>
  <c r="D12" i="6"/>
  <c r="D11" i="6"/>
  <c r="D13" i="6"/>
  <c r="D28" i="6"/>
  <c r="D10" i="6"/>
  <c r="D29" i="6"/>
  <c r="D9" i="6"/>
  <c r="L19" i="9"/>
  <c r="E61" i="40"/>
  <c r="D14" i="6"/>
  <c r="H24" i="6"/>
  <c r="C47" i="11"/>
  <c r="D45" i="11" s="1"/>
  <c r="C47" i="69"/>
  <c r="D45" i="69" s="1"/>
  <c r="C29" i="69"/>
  <c r="D27" i="69" s="1"/>
  <c r="AA10" i="40"/>
  <c r="S10" i="40"/>
  <c r="C47" i="68"/>
  <c r="D45" i="68" s="1"/>
  <c r="AC10" i="39"/>
  <c r="W10" i="39"/>
  <c r="S2" i="43"/>
  <c r="S6" i="43"/>
  <c r="S4" i="43"/>
  <c r="S5" i="43"/>
  <c r="S3" i="43"/>
  <c r="C23" i="43"/>
  <c r="C21" i="43" s="1"/>
  <c r="S7" i="43"/>
  <c r="I52" i="37"/>
  <c r="F7" i="35"/>
  <c r="H7" i="35"/>
  <c r="N63" i="40"/>
  <c r="M65" i="40"/>
  <c r="I59" i="34"/>
  <c r="G46" i="36"/>
  <c r="F7" i="21"/>
  <c r="AB7" i="21"/>
  <c r="T48" i="21" s="1"/>
  <c r="G48" i="21" s="1"/>
  <c r="U7" i="21"/>
  <c r="AC7" i="21"/>
  <c r="V48" i="21" s="1"/>
  <c r="I48" i="21" s="1"/>
  <c r="W7" i="21"/>
  <c r="F68" i="39"/>
  <c r="E70" i="39"/>
  <c r="J7" i="35"/>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M22" i="6" l="1"/>
  <c r="I22" i="6" s="1"/>
  <c r="S9" i="1"/>
  <c r="T6" i="1"/>
  <c r="AQ6" i="1"/>
  <c r="R23" i="6"/>
  <c r="H26" i="6"/>
  <c r="R26" i="6" s="1"/>
  <c r="C103" i="43"/>
  <c r="C106" i="43"/>
  <c r="C102" i="43"/>
  <c r="C107" i="43"/>
  <c r="C104" i="43"/>
  <c r="C105" i="43"/>
  <c r="C109" i="43"/>
  <c r="D109" i="43"/>
  <c r="D106" i="43"/>
  <c r="D103" i="43"/>
  <c r="D107" i="43"/>
  <c r="D105" i="43"/>
  <c r="D102" i="43"/>
  <c r="D104" i="43"/>
  <c r="F102" i="43"/>
  <c r="F109" i="43"/>
  <c r="F106" i="43"/>
  <c r="F104" i="43"/>
  <c r="F105" i="43"/>
  <c r="F107" i="43"/>
  <c r="F103" i="43"/>
  <c r="H107" i="43"/>
  <c r="H105" i="43"/>
  <c r="H102" i="43"/>
  <c r="H109" i="43"/>
  <c r="H106" i="43"/>
  <c r="H103" i="43"/>
  <c r="H104" i="43"/>
  <c r="E107" i="43"/>
  <c r="E109" i="43"/>
  <c r="E102" i="43"/>
  <c r="E105" i="43"/>
  <c r="E103" i="43"/>
  <c r="E104" i="43"/>
  <c r="E106" i="43"/>
  <c r="K103" i="43"/>
  <c r="K105" i="43"/>
  <c r="K107" i="43"/>
  <c r="K102" i="43"/>
  <c r="K104" i="43"/>
  <c r="K109" i="43"/>
  <c r="K106" i="43"/>
  <c r="L109" i="43"/>
  <c r="L107" i="43"/>
  <c r="L102" i="43"/>
  <c r="L104" i="43"/>
  <c r="L106" i="43"/>
  <c r="L103" i="43"/>
  <c r="L105" i="43"/>
  <c r="G107" i="43"/>
  <c r="G106" i="43"/>
  <c r="G102" i="43"/>
  <c r="G109" i="43"/>
  <c r="G104" i="43"/>
  <c r="G105" i="43"/>
  <c r="G103" i="43"/>
  <c r="U11" i="39"/>
  <c r="AB11" i="39"/>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02" i="43"/>
  <c r="I107" i="43"/>
  <c r="I106" i="43"/>
  <c r="I109" i="43"/>
  <c r="I104" i="43"/>
  <c r="I105" i="43"/>
  <c r="I103" i="43"/>
  <c r="D22" i="43"/>
  <c r="M109" i="43"/>
  <c r="M107" i="43"/>
  <c r="M102" i="43"/>
  <c r="M106" i="43"/>
  <c r="M105" i="43"/>
  <c r="M104" i="43"/>
  <c r="M103" i="43"/>
  <c r="N105" i="43"/>
  <c r="N109" i="43"/>
  <c r="N106" i="43"/>
  <c r="N102" i="43"/>
  <c r="N103" i="43"/>
  <c r="N104" i="43"/>
  <c r="N107" i="43"/>
  <c r="J102" i="43"/>
  <c r="J104" i="43"/>
  <c r="J103" i="43"/>
  <c r="J107" i="43"/>
  <c r="J109" i="43"/>
  <c r="J105" i="43"/>
  <c r="J106" i="43"/>
  <c r="W11" i="39"/>
  <c r="AC11" i="39"/>
  <c r="AA11" i="39"/>
  <c r="S11" i="39"/>
  <c r="M21" i="6"/>
  <c r="I21" i="6" s="1"/>
  <c r="S8" i="1"/>
  <c r="M20" i="6"/>
  <c r="I20" i="6" s="1"/>
  <c r="S7" i="1"/>
  <c r="H25" i="6"/>
  <c r="S25" i="6"/>
  <c r="R25" i="6"/>
  <c r="P14" i="1"/>
  <c r="P16" i="1" s="1"/>
  <c r="C11" i="12" s="1"/>
  <c r="H21" i="6"/>
  <c r="R21" i="6" s="1"/>
  <c r="R8" i="1" s="1"/>
  <c r="S21" i="6"/>
  <c r="S22" i="6"/>
  <c r="H22" i="6"/>
  <c r="R22" i="6" s="1"/>
  <c r="R9" i="1" s="1"/>
  <c r="D30" i="6"/>
  <c r="D10" i="11"/>
  <c r="C10" i="11" s="1"/>
  <c r="D10" i="68"/>
  <c r="D20" i="12"/>
  <c r="C20" i="12" s="1"/>
  <c r="D10" i="69"/>
  <c r="D17" i="12"/>
  <c r="C17" i="12" s="1"/>
  <c r="R24" i="6"/>
  <c r="D6" i="6"/>
  <c r="N16" i="1"/>
  <c r="B21" i="1" s="1"/>
  <c r="C28" i="11" s="1"/>
  <c r="C27" i="11" s="1"/>
  <c r="L16" i="1"/>
  <c r="A7" i="51"/>
  <c r="B7" i="72" s="1"/>
  <c r="A10" i="51"/>
  <c r="B9" i="72" s="1"/>
  <c r="C4" i="52"/>
  <c r="B45" i="72" s="1"/>
  <c r="D27" i="6"/>
  <c r="D31" i="6" s="1"/>
  <c r="D16" i="6"/>
  <c r="M27" i="6"/>
  <c r="I19" i="6"/>
  <c r="I52" i="21"/>
  <c r="J52" i="21" s="1"/>
  <c r="G52" i="21"/>
  <c r="H52" i="21" s="1"/>
  <c r="G53" i="21"/>
  <c r="H53" i="21" s="1"/>
  <c r="H46" i="36"/>
  <c r="U7" i="35"/>
  <c r="AB7" i="35"/>
  <c r="T38" i="35" s="1"/>
  <c r="G38" i="35" s="1"/>
  <c r="W7" i="35"/>
  <c r="AC7" i="35"/>
  <c r="V38" i="35" s="1"/>
  <c r="I38" i="35" s="1"/>
  <c r="F70" i="39"/>
  <c r="G68" i="39"/>
  <c r="S7" i="21"/>
  <c r="AA7" i="21"/>
  <c r="R48" i="21" s="1"/>
  <c r="J59" i="34"/>
  <c r="O63" i="40"/>
  <c r="O65" i="40" s="1"/>
  <c r="N65" i="40"/>
  <c r="H7" i="40" s="1"/>
  <c r="AA7" i="35"/>
  <c r="R38" i="35" s="1"/>
  <c r="S7" i="35"/>
  <c r="J5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44" i="11"/>
  <c r="D41" i="11" s="1"/>
  <c r="C24" i="11"/>
  <c r="C23" i="67"/>
  <c r="C29" i="67" s="1"/>
  <c r="C66" i="15"/>
  <c r="C60" i="15"/>
  <c r="C60" i="67"/>
  <c r="C66" i="67"/>
  <c r="C44" i="69"/>
  <c r="D41" i="69" s="1"/>
  <c r="C26" i="69"/>
  <c r="D22" i="69" s="1"/>
  <c r="C38" i="67"/>
  <c r="C32" i="67"/>
  <c r="C17" i="15"/>
  <c r="C44" i="68" l="1"/>
  <c r="D41" i="68" s="1"/>
  <c r="B24" i="1"/>
  <c r="F34" i="68" s="1"/>
  <c r="B23" i="1"/>
  <c r="C29" i="68"/>
  <c r="D27" i="68" s="1"/>
  <c r="C29" i="11"/>
  <c r="D27" i="11" s="1"/>
  <c r="AR9" i="1"/>
  <c r="AQ9" i="1"/>
  <c r="T9" i="1"/>
  <c r="S16" i="1"/>
  <c r="E7" i="70"/>
  <c r="E2" i="70" s="1"/>
  <c r="D113" i="43"/>
  <c r="F11" i="12"/>
  <c r="AQ8" i="1"/>
  <c r="T8" i="1"/>
  <c r="AR8" i="1"/>
  <c r="AQ7" i="1"/>
  <c r="AR7" i="1"/>
  <c r="T7" i="1"/>
  <c r="S20" i="6"/>
  <c r="H20" i="6"/>
  <c r="R20" i="6" s="1"/>
  <c r="R7" i="1" s="1"/>
  <c r="C12" i="12"/>
  <c r="C15" i="12"/>
  <c r="C10" i="69"/>
  <c r="C8" i="69" s="1"/>
  <c r="C5" i="69" s="1"/>
  <c r="D19" i="69"/>
  <c r="C10" i="68"/>
  <c r="B29" i="1" s="1"/>
  <c r="C8" i="68" s="1"/>
  <c r="D19" i="68"/>
  <c r="S19" i="6"/>
  <c r="S27" i="6" s="1"/>
  <c r="I27" i="6"/>
  <c r="H19" i="6"/>
  <c r="I6" i="6"/>
  <c r="I5" i="6"/>
  <c r="U7" i="40"/>
  <c r="AB7" i="40"/>
  <c r="T42" i="40" s="1"/>
  <c r="G42" i="40" s="1"/>
  <c r="G42" i="35"/>
  <c r="H42" i="35" s="1"/>
  <c r="G43" i="35"/>
  <c r="H43" i="35" s="1"/>
  <c r="F7" i="40"/>
  <c r="K52" i="37"/>
  <c r="E38" i="35"/>
  <c r="R39" i="35"/>
  <c r="K59" i="34"/>
  <c r="E48" i="21"/>
  <c r="R49" i="21"/>
  <c r="H68" i="39"/>
  <c r="G70" i="39"/>
  <c r="I42" i="35"/>
  <c r="J42" i="35" s="1"/>
  <c r="I43" i="35"/>
  <c r="J43" i="35" s="1"/>
  <c r="J7" i="40"/>
  <c r="I46"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F35" i="15"/>
  <c r="M21" i="15"/>
  <c r="F50" i="68" l="1"/>
  <c r="F50" i="69"/>
  <c r="F50" i="11"/>
  <c r="M59" i="15"/>
  <c r="L59" i="15" s="1"/>
  <c r="J53" i="15"/>
  <c r="M59" i="67"/>
  <c r="C29" i="12"/>
  <c r="D28" i="12" s="1"/>
  <c r="C26" i="12"/>
  <c r="D25" i="12" s="1"/>
  <c r="F34" i="11"/>
  <c r="C26" i="68"/>
  <c r="D22" i="68" s="1"/>
  <c r="C23" i="11"/>
  <c r="C26" i="11"/>
  <c r="D22" i="11" s="1"/>
  <c r="C25" i="11"/>
  <c r="C18" i="12"/>
  <c r="C15" i="15"/>
  <c r="C18" i="15"/>
  <c r="T16" i="1"/>
  <c r="F63" i="15"/>
  <c r="C62" i="15" s="1"/>
  <c r="C34" i="15"/>
  <c r="J20" i="15"/>
  <c r="C31" i="15"/>
  <c r="C36" i="11"/>
  <c r="C37" i="11"/>
  <c r="C34" i="11"/>
  <c r="C36" i="68"/>
  <c r="C34" i="68"/>
  <c r="C14" i="12"/>
  <c r="C16" i="12" s="1"/>
  <c r="C23" i="69"/>
  <c r="C19" i="68"/>
  <c r="D37" i="68"/>
  <c r="C37" i="68" s="1"/>
  <c r="C19" i="69"/>
  <c r="C24" i="69" s="1"/>
  <c r="D37" i="69"/>
  <c r="C37" i="69" s="1"/>
  <c r="C33" i="69" s="1"/>
  <c r="H27" i="6"/>
  <c r="R19" i="6"/>
  <c r="W7" i="40"/>
  <c r="AC7" i="40"/>
  <c r="V42" i="40" s="1"/>
  <c r="I42" i="40" s="1"/>
  <c r="I68" i="39"/>
  <c r="H70" i="39"/>
  <c r="E52" i="21"/>
  <c r="F52" i="21" s="1"/>
  <c r="E53" i="21"/>
  <c r="F53" i="21" s="1"/>
  <c r="I53" i="21"/>
  <c r="J53" i="21" s="1"/>
  <c r="C38" i="35"/>
  <c r="C39" i="35"/>
  <c r="B2" i="35" s="1"/>
  <c r="B3" i="35" s="1"/>
  <c r="L52" i="37"/>
  <c r="J46" i="36"/>
  <c r="K46" i="36" s="1"/>
  <c r="L46" i="36" s="1"/>
  <c r="M46" i="36" s="1"/>
  <c r="N46" i="36" s="1"/>
  <c r="O46" i="36" s="1"/>
  <c r="J7" i="36" s="1"/>
  <c r="H7" i="36"/>
  <c r="F7" i="36"/>
  <c r="C48" i="21"/>
  <c r="C49" i="21"/>
  <c r="B2" i="21" s="1"/>
  <c r="B3" i="21" s="1"/>
  <c r="L59" i="34"/>
  <c r="E43" i="35"/>
  <c r="F43" i="35" s="1"/>
  <c r="E42" i="35"/>
  <c r="F42" i="35" s="1"/>
  <c r="S7" i="40"/>
  <c r="AA7" i="40"/>
  <c r="R42" i="40" s="1"/>
  <c r="G46" i="40"/>
  <c r="H46" i="40" s="1"/>
  <c r="G47" i="40"/>
  <c r="H47" i="40" s="1"/>
  <c r="C26" i="43"/>
  <c r="B2" i="43" s="1"/>
  <c r="C27" i="43"/>
  <c r="Q48" i="67"/>
  <c r="L46" i="67"/>
  <c r="C75" i="67"/>
  <c r="C37" i="67"/>
  <c r="C30" i="67" s="1"/>
  <c r="C39" i="67" s="1"/>
  <c r="Q70" i="67"/>
  <c r="C56" i="67"/>
  <c r="C65" i="67" s="1"/>
  <c r="J13" i="67"/>
  <c r="J23" i="67" s="1"/>
  <c r="J22" i="67"/>
  <c r="Q48" i="15"/>
  <c r="L46" i="15"/>
  <c r="C61" i="67"/>
  <c r="C59" i="67" s="1"/>
  <c r="C64" i="67"/>
  <c r="E6" i="76"/>
  <c r="B6" i="76"/>
  <c r="C21" i="12" l="1"/>
  <c r="C22" i="12" s="1"/>
  <c r="C22" i="11"/>
  <c r="C31" i="11" s="1"/>
  <c r="F1" i="15"/>
  <c r="Q52" i="15"/>
  <c r="Q74" i="15"/>
  <c r="Q61" i="15"/>
  <c r="C19" i="15"/>
  <c r="C20" i="15" s="1"/>
  <c r="C26" i="15" s="1"/>
  <c r="C35" i="68"/>
  <c r="C38" i="68"/>
  <c r="C38" i="11"/>
  <c r="C35" i="11"/>
  <c r="R27" i="6"/>
  <c r="R6" i="1"/>
  <c r="R16" i="1" s="1"/>
  <c r="C39" i="69"/>
  <c r="C42" i="69"/>
  <c r="C20" i="69"/>
  <c r="C24" i="68"/>
  <c r="J7" i="37"/>
  <c r="AC7" i="36"/>
  <c r="V36" i="36" s="1"/>
  <c r="I36" i="36" s="1"/>
  <c r="W7" i="36"/>
  <c r="E42" i="40"/>
  <c r="R43" i="40"/>
  <c r="U7" i="36"/>
  <c r="AB7" i="36"/>
  <c r="T36" i="36" s="1"/>
  <c r="G36" i="36" s="1"/>
  <c r="J68" i="39"/>
  <c r="I70" i="39"/>
  <c r="M59" i="34"/>
  <c r="AA7" i="36"/>
  <c r="R36" i="36" s="1"/>
  <c r="S7" i="36"/>
  <c r="M52" i="37"/>
  <c r="N52" i="37" s="1"/>
  <c r="O52" i="37" s="1"/>
  <c r="H7" i="37" s="1"/>
  <c r="F7" i="37"/>
  <c r="I46" i="40"/>
  <c r="J46" i="40" s="1"/>
  <c r="I47" i="40"/>
  <c r="J47" i="40" s="1"/>
  <c r="E2" i="76"/>
  <c r="B2" i="76"/>
  <c r="B3" i="43"/>
  <c r="J16" i="67"/>
  <c r="J25" i="67" s="1"/>
  <c r="C40" i="67"/>
  <c r="Q69" i="67"/>
  <c r="Q68" i="67" s="1"/>
  <c r="C58" i="67"/>
  <c r="C67" i="67" s="1"/>
  <c r="C68" i="67" s="1"/>
  <c r="C80" i="67"/>
  <c r="C79" i="67" s="1"/>
  <c r="L51" i="67"/>
  <c r="AE7" i="1"/>
  <c r="C23" i="15" l="1"/>
  <c r="C29" i="15" s="1"/>
  <c r="Q49" i="15" s="1"/>
  <c r="C33" i="68"/>
  <c r="C42" i="68" s="1"/>
  <c r="C33" i="11"/>
  <c r="C28" i="69"/>
  <c r="C27" i="69" s="1"/>
  <c r="C25" i="69"/>
  <c r="C22" i="69" s="1"/>
  <c r="C46" i="69"/>
  <c r="C45" i="69" s="1"/>
  <c r="C43" i="69"/>
  <c r="C41" i="69" s="1"/>
  <c r="AB7" i="37"/>
  <c r="T42" i="37" s="1"/>
  <c r="G42" i="37" s="1"/>
  <c r="U7" i="37"/>
  <c r="E36" i="36"/>
  <c r="R37" i="36"/>
  <c r="N59" i="34"/>
  <c r="K68" i="39"/>
  <c r="J70" i="39"/>
  <c r="E46" i="40"/>
  <c r="F46" i="40" s="1"/>
  <c r="E47" i="40"/>
  <c r="F47" i="40" s="1"/>
  <c r="I41" i="36"/>
  <c r="J41" i="36" s="1"/>
  <c r="I40" i="36"/>
  <c r="J40" i="36" s="1"/>
  <c r="AA7" i="37"/>
  <c r="R42" i="37" s="1"/>
  <c r="S7" i="37"/>
  <c r="G40" i="36"/>
  <c r="H40" i="36" s="1"/>
  <c r="G41" i="36"/>
  <c r="H41" i="36" s="1"/>
  <c r="C42" i="40"/>
  <c r="C43" i="40"/>
  <c r="W7" i="37"/>
  <c r="AC7" i="37"/>
  <c r="V42" i="37" s="1"/>
  <c r="I42" i="37" s="1"/>
  <c r="B3" i="76"/>
  <c r="Q67" i="67"/>
  <c r="L57" i="67"/>
  <c r="L60" i="67" s="1"/>
  <c r="L57" i="15"/>
  <c r="L60" i="15" s="1"/>
  <c r="C71" i="67"/>
  <c r="C45" i="67"/>
  <c r="C46" i="67" s="1"/>
  <c r="Q56" i="67"/>
  <c r="Q47" i="67"/>
  <c r="Q53" i="67" s="1"/>
  <c r="Q65" i="67"/>
  <c r="C43" i="67"/>
  <c r="D2" i="67"/>
  <c r="C83" i="67"/>
  <c r="C82" i="67" s="1"/>
  <c r="F41" i="15"/>
  <c r="J29" i="15" l="1"/>
  <c r="F69" i="15"/>
  <c r="C13" i="15"/>
  <c r="J19" i="15"/>
  <c r="J17" i="15" s="1"/>
  <c r="C36" i="15"/>
  <c r="C57" i="15"/>
  <c r="C61" i="15" s="1"/>
  <c r="C59" i="15" s="1"/>
  <c r="J14" i="15"/>
  <c r="J22" i="15" s="1"/>
  <c r="C56" i="15"/>
  <c r="C65" i="15" s="1"/>
  <c r="C75" i="15"/>
  <c r="Q70" i="15"/>
  <c r="C37" i="15"/>
  <c r="C30" i="15" s="1"/>
  <c r="C39" i="15" s="1"/>
  <c r="C64" i="15"/>
  <c r="C39" i="68"/>
  <c r="C43" i="68" s="1"/>
  <c r="C41" i="68" s="1"/>
  <c r="C39" i="11"/>
  <c r="C42" i="11"/>
  <c r="C31" i="69"/>
  <c r="C49" i="69"/>
  <c r="C51" i="69" s="1"/>
  <c r="C36" i="36"/>
  <c r="C37" i="36"/>
  <c r="B2" i="36" s="1"/>
  <c r="B3" i="36" s="1"/>
  <c r="I46" i="37"/>
  <c r="J46" i="37"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42" i="37"/>
  <c r="R43" i="37"/>
  <c r="L68" i="39"/>
  <c r="K70" i="39"/>
  <c r="O59" i="34"/>
  <c r="J7" i="34"/>
  <c r="E40" i="36"/>
  <c r="F40" i="36" s="1"/>
  <c r="E41" i="36"/>
  <c r="F41" i="36" s="1"/>
  <c r="G46" i="37"/>
  <c r="H46" i="37" s="1"/>
  <c r="G47" i="37"/>
  <c r="H47" i="37" s="1"/>
  <c r="Q57" i="15"/>
  <c r="Q66" i="15"/>
  <c r="Q66" i="67"/>
  <c r="Q75" i="67" s="1"/>
  <c r="Q57" i="67"/>
  <c r="Q62" i="67" s="1"/>
  <c r="B2" i="67"/>
  <c r="B3" i="67"/>
  <c r="L51" i="15"/>
  <c r="J13" i="15" l="1"/>
  <c r="J23" i="15" s="1"/>
  <c r="J16" i="15" s="1"/>
  <c r="J25" i="15" s="1"/>
  <c r="Q67" i="15"/>
  <c r="C40" i="15"/>
  <c r="D8" i="12" s="1"/>
  <c r="Q69" i="15"/>
  <c r="Q68" i="15" s="1"/>
  <c r="C80" i="15"/>
  <c r="C79" i="15" s="1"/>
  <c r="C58" i="15"/>
  <c r="C67" i="15" s="1"/>
  <c r="C68" i="15" s="1"/>
  <c r="C46" i="68"/>
  <c r="C45" i="68" s="1"/>
  <c r="C49" i="68" s="1"/>
  <c r="C51" i="68" s="1"/>
  <c r="C43" i="11"/>
  <c r="C41" i="11" s="1"/>
  <c r="C46" i="11"/>
  <c r="C45" i="11" s="1"/>
  <c r="C52" i="69"/>
  <c r="B2" i="69" s="1"/>
  <c r="B3" i="69" s="1"/>
  <c r="H7" i="34"/>
  <c r="F7" i="34"/>
  <c r="M68" i="39"/>
  <c r="L70" i="39"/>
  <c r="E47" i="37"/>
  <c r="F47" i="37" s="1"/>
  <c r="E46" i="37"/>
  <c r="F46" i="37" s="1"/>
  <c r="W7" i="34"/>
  <c r="AC7" i="34"/>
  <c r="V49" i="34" s="1"/>
  <c r="I49" i="34" s="1"/>
  <c r="C42" i="37"/>
  <c r="C43" i="37"/>
  <c r="B2" i="37" s="1"/>
  <c r="B3" i="37" s="1"/>
  <c r="I47" i="37"/>
  <c r="J47" i="37" s="1"/>
  <c r="C71" i="15" l="1"/>
  <c r="C46" i="15"/>
  <c r="Q65" i="15"/>
  <c r="Q75" i="15" s="1"/>
  <c r="C43" i="15"/>
  <c r="D6" i="12" s="1"/>
  <c r="C4" i="12" s="1"/>
  <c r="Q56" i="15"/>
  <c r="Q62" i="15" s="1"/>
  <c r="Q47" i="15"/>
  <c r="Q53" i="15" s="1"/>
  <c r="B2" i="15"/>
  <c r="C83" i="15"/>
  <c r="C82" i="15" s="1"/>
  <c r="C57" i="69"/>
  <c r="C56" i="69" s="1"/>
  <c r="C49" i="11"/>
  <c r="C51" i="11" s="1"/>
  <c r="C52" i="11" s="1"/>
  <c r="B2" i="11" s="1"/>
  <c r="B3" i="11" s="1"/>
  <c r="S7" i="34"/>
  <c r="AA7" i="34"/>
  <c r="R49" i="34" s="1"/>
  <c r="I53" i="34"/>
  <c r="J53" i="34" s="1"/>
  <c r="N68" i="39"/>
  <c r="M70" i="39"/>
  <c r="AB7" i="34"/>
  <c r="T49" i="34" s="1"/>
  <c r="G49" i="34" s="1"/>
  <c r="U7" i="34"/>
  <c r="AO7" i="1"/>
  <c r="C31" i="12" l="1"/>
  <c r="C23" i="12"/>
  <c r="B7" i="70"/>
  <c r="B2" i="70" s="1"/>
  <c r="B3" i="70" s="1"/>
  <c r="B3" i="15"/>
  <c r="C56" i="11"/>
  <c r="C57" i="11" s="1"/>
  <c r="R50" i="34"/>
  <c r="E49" i="34"/>
  <c r="G53" i="34"/>
  <c r="H53" i="34" s="1"/>
  <c r="G54" i="34"/>
  <c r="H54" i="34" s="1"/>
  <c r="O68" i="39"/>
  <c r="O70" i="39" s="1"/>
  <c r="N70" i="39"/>
  <c r="C30" i="12" l="1"/>
  <c r="C28" i="12" s="1"/>
  <c r="C27" i="12"/>
  <c r="C25" i="12" s="1"/>
  <c r="C32" i="12" s="1"/>
  <c r="B2" i="12" s="1"/>
  <c r="E54" i="34"/>
  <c r="F54" i="34" s="1"/>
  <c r="E53" i="34"/>
  <c r="F53" i="34" s="1"/>
  <c r="I54" i="34"/>
  <c r="J54" i="34" s="1"/>
  <c r="J7" i="39"/>
  <c r="F7" i="39"/>
  <c r="H7" i="39"/>
  <c r="C50" i="34"/>
  <c r="B2" i="34" s="1"/>
  <c r="B3" i="34" s="1"/>
  <c r="C49" i="34"/>
  <c r="D19" i="9"/>
  <c r="D102" i="9" l="1"/>
  <c r="D21" i="9"/>
  <c r="B3" i="12"/>
  <c r="AC7" i="39"/>
  <c r="V47" i="39" s="1"/>
  <c r="I47" i="39" s="1"/>
  <c r="W7" i="39"/>
  <c r="AB7" i="39"/>
  <c r="T47" i="39" s="1"/>
  <c r="G47" i="39" s="1"/>
  <c r="U7" i="39"/>
  <c r="S7" i="39"/>
  <c r="AA7" i="39"/>
  <c r="R47" i="39" s="1"/>
  <c r="D20" i="9"/>
  <c r="D103" i="9" l="1"/>
  <c r="E47" i="39"/>
  <c r="I52" i="39" s="1"/>
  <c r="J52" i="39" s="1"/>
  <c r="R48" i="39"/>
  <c r="G51" i="39"/>
  <c r="H51" i="39" s="1"/>
  <c r="G52" i="39"/>
  <c r="H52" i="39" s="1"/>
  <c r="I51" i="39"/>
  <c r="J51" i="39" s="1"/>
  <c r="C48" i="39" l="1"/>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c r="C23" i="68" l="1"/>
  <c r="C20" i="68"/>
  <c r="C28" i="68" l="1"/>
  <c r="C27" i="68" s="1"/>
  <c r="C25" i="68"/>
  <c r="C22" i="68" s="1"/>
  <c r="C31" i="68" l="1"/>
  <c r="C52" i="68" s="1"/>
  <c r="B2" i="68" s="1"/>
  <c r="C19" i="9"/>
  <c r="C57" i="68" l="1"/>
  <c r="C56" i="68" s="1"/>
  <c r="D22" i="9"/>
  <c r="C102" i="9"/>
  <c r="G19" i="9"/>
  <c r="C21" i="9"/>
  <c r="B3" i="68"/>
  <c r="C20" i="9"/>
  <c r="C103" i="9" l="1"/>
  <c r="G20" i="9"/>
  <c r="C32" i="9"/>
  <c r="G21" i="9"/>
  <c r="H118" i="9" l="1"/>
  <c r="C35" i="9"/>
  <c r="F118" i="9" s="1"/>
  <c r="F4" i="52" l="1"/>
  <c r="B51" i="72" s="1"/>
  <c r="F119" i="9"/>
  <c r="F5" i="52" s="1"/>
  <c r="B53" i="72" s="1"/>
  <c r="G118" i="9"/>
  <c r="G4" i="52" s="1"/>
  <c r="B52" i="72" s="1"/>
  <c r="C34" i="9"/>
  <c r="D118" i="9" s="1"/>
  <c r="H4" i="52"/>
  <c r="H119" i="9"/>
  <c r="H5" i="52" s="1"/>
  <c r="I118" i="9"/>
  <c r="C104" i="9"/>
  <c r="D14" i="74"/>
  <c r="H101" i="9"/>
  <c r="F14" i="74" l="1"/>
  <c r="E14" i="74"/>
  <c r="B5" i="74"/>
  <c r="D45" i="9"/>
  <c r="H107" i="9"/>
  <c r="M48" i="9"/>
  <c r="D5" i="53"/>
  <c r="D4" i="52"/>
  <c r="B47" i="72" s="1"/>
  <c r="D119" i="9"/>
  <c r="D5" i="52" s="1"/>
  <c r="B49" i="72" s="1"/>
  <c r="E118" i="9"/>
  <c r="E4" i="52" s="1"/>
  <c r="B48" i="72" s="1"/>
  <c r="H102" i="9"/>
  <c r="D7" i="53" s="1"/>
  <c r="B21" i="72" s="1"/>
  <c r="I4" i="52"/>
  <c r="C105" i="9"/>
  <c r="D55" i="9" l="1"/>
  <c r="M53" i="9" s="1"/>
  <c r="D53" i="9"/>
  <c r="D52" i="9"/>
  <c r="C72" i="9"/>
  <c r="C93" i="9"/>
  <c r="C86" i="9" s="1"/>
  <c r="C64" i="9"/>
  <c r="C63" i="9" s="1"/>
  <c r="C67" i="9" s="1"/>
  <c r="C68" i="9" s="1"/>
  <c r="D54" i="9" s="1"/>
  <c r="C85" i="9"/>
  <c r="C95" i="9" s="1"/>
  <c r="C78" i="9"/>
  <c r="C73" i="9" s="1"/>
  <c r="B20" i="72"/>
  <c r="D6" i="53"/>
  <c r="B22" i="72" s="1"/>
  <c r="M49" i="9"/>
  <c r="D122" i="9"/>
  <c r="H108" i="9"/>
  <c r="D15" i="53" s="1"/>
  <c r="B31" i="72" s="1"/>
  <c r="D13" i="53"/>
  <c r="C5" i="74"/>
  <c r="D5" i="74"/>
  <c r="C79" i="9" l="1"/>
  <c r="D14" i="53"/>
  <c r="B32" i="72" s="1"/>
  <c r="B30" i="72"/>
  <c r="G14" i="74"/>
  <c r="B6" i="74" s="1"/>
  <c r="D123" i="9"/>
  <c r="D9" i="52" s="1"/>
  <c r="D8" i="52"/>
  <c r="L65" i="9"/>
  <c r="M65" i="9" s="1"/>
  <c r="L67" i="9"/>
  <c r="M67" i="9" s="1"/>
  <c r="L66" i="9"/>
  <c r="M66" i="9" s="1"/>
  <c r="L64" i="9"/>
  <c r="M64" i="9" s="1"/>
  <c r="L63" i="9"/>
  <c r="M63" i="9" s="1"/>
  <c r="L68" i="9"/>
  <c r="M68" i="9" s="1"/>
  <c r="C96" i="9"/>
  <c r="E96" i="9" s="1"/>
  <c r="E97" i="9" s="1"/>
  <c r="C6" i="74" l="1"/>
  <c r="D6" i="74"/>
  <c r="C97" i="9"/>
  <c r="D58" i="9" s="1"/>
  <c r="D56" i="9" s="1"/>
  <c r="M54" i="9" s="1"/>
  <c r="N57" i="9" s="1"/>
  <c r="M69" i="9"/>
  <c r="N69" i="9" s="1"/>
  <c r="C80" i="9"/>
  <c r="E80" i="9" s="1"/>
  <c r="E81" i="9" s="1"/>
  <c r="C81" i="9" l="1"/>
  <c r="N58" i="9"/>
  <c r="P57" i="9"/>
  <c r="N59" i="9"/>
  <c r="N61" i="9" l="1"/>
  <c r="H112" i="9" s="1"/>
  <c r="D21" i="53" s="1"/>
  <c r="B39" i="72" s="1"/>
  <c r="H111" i="9"/>
  <c r="N60" i="9"/>
  <c r="D126" i="9" l="1"/>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<sst xmlns="http://schemas.openxmlformats.org/spreadsheetml/2006/main" count="7450" uniqueCount="3169">
  <si>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</si>
  <si>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</si>
  <si>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</si>
  <si>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</si>
  <si>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</si>
  <si>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</si>
  <si>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</si>
  <si>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</si>
  <si>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</si>
  <si>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</si>
  <si>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</si>
  <si>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</si>
  <si>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</si>
  <si>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</si>
  <si>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</si>
  <si>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</si>
  <si>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</si>
  <si>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</si>
  <si>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</si>
  <si>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</si>
  <si>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</si>
  <si>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</si>
  <si>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</si>
  <si>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</si>
  <si>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</si>
  <si>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</si>
  <si>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</si>
  <si>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</si>
  <si>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</si>
  <si>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</si>
  <si>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</si>
  <si>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</si>
  <si>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</si>
  <si>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</si>
  <si>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</si>
  <si>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</si>
  <si>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</si>
  <si>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</si>
  <si>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</si>
  <si>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</si>
  <si>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</si>
  <si>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</si>
  <si>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</si>
  <si>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</si>
  <si>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</si>
  <si>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</si>
  <si>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</si>
  <si>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</si>
  <si>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</si>
  <si>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</si>
  <si>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</si>
  <si>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</si>
  <si>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</si>
  <si>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</si>
  <si>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</si>
  <si>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</si>
  <si>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</si>
  <si>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</si>
  <si>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</si>
  <si>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</si>
  <si>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</si>
  <si>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</si>
  <si>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</si>
  <si>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</si>
  <si>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</si>
  <si>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</si>
  <si>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</si>
  <si>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</si>
  <si>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</si>
  <si>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</si>
  <si>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</si>
  <si>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</si>
  <si>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</si>
  <si>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</si>
  <si>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</si>
  <si>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</si>
  <si>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</si>
  <si>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</si>
  <si>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</si>
  <si>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</si>
  <si>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</si>
  <si>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</si>
  <si>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</si>
  <si>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</si>
  <si>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</si>
  <si>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</si>
  <si>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</si>
  <si>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</si>
  <si>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</si>
  <si>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</si>
  <si>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</si>
  <si>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</si>
  <si>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</si>
  <si>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</si>
  <si>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</si>
  <si>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</si>
  <si>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</si>
  <si>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</si>
  <si>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</si>
  <si>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</si>
  <si>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</si>
  <si>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</si>
  <si>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</si>
  <si>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</si>
  <si>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</si>
  <si>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</si>
  <si>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</si>
  <si>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</si>
  <si>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</si>
  <si>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</si>
  <si>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</si>
  <si>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</si>
  <si>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</si>
  <si>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</si>
  <si>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</si>
  <si>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</si>
  <si>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</si>
  <si>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</si>
  <si>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</si>
  <si>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</si>
  <si>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</si>
  <si>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</si>
  <si>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</si>
  <si>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</si>
  <si>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</si>
  <si>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</si>
  <si>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</si>
  <si>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</si>
  <si>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</si>
  <si>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</si>
  <si>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</si>
  <si>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</si>
  <si>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</si>
  <si>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</si>
  <si>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</si>
  <si>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</si>
  <si>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</si>
  <si>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</si>
  <si>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</si>
  <si>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</si>
  <si>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</si>
  <si>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</si>
  <si>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</si>
  <si>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</si>
  <si>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</si>
  <si>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</si>
  <si>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</si>
  <si>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</si>
  <si>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</si>
  <si>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</si>
  <si>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</si>
  <si>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</si>
  <si>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</si>
  <si>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</si>
  <si>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</si>
  <si>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</si>
  <si>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</si>
  <si>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</si>
  <si>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</si>
  <si>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</si>
  <si>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</si>
  <si>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</si>
  <si>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</si>
  <si>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</si>
  <si>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</si>
  <si>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</si>
  <si>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</si>
  <si>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</si>
  <si>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</si>
  <si>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</si>
  <si>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</si>
  <si>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</si>
  <si>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</si>
  <si>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</si>
  <si>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</si>
  <si>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</si>
  <si>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</si>
  <si>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</si>
  <si>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</si>
  <si>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</si>
  <si>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</si>
  <si>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</si>
  <si>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</si>
  <si>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</si>
  <si>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</si>
  <si>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</si>
  <si>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</si>
  <si>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</si>
  <si>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</si>
  <si>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</si>
  <si>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</si>
  <si>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</si>
  <si>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</si>
  <si>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</si>
  <si>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</si>
  <si>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</si>
  <si>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</si>
  <si>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</si>
  <si>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</si>
  <si>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</si>
  <si>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</si>
  <si>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</si>
  <si>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</si>
  <si>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</si>
  <si>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</si>
  <si>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</si>
  <si>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</si>
  <si>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</si>
  <si>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</si>
  <si>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</si>
  <si>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</si>
  <si>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</si>
  <si>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</si>
  <si>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</si>
  <si>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</si>
  <si>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</si>
  <si>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</si>
  <si>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</si>
  <si>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</si>
  <si>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</si>
  <si>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</si>
  <si>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</si>
  <si>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</si>
  <si>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</si>
  <si>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</si>
  <si>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</si>
  <si>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</si>
  <si>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</si>
  <si>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</si>
  <si>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</si>
  <si>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</si>
  <si>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</si>
  <si>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</si>
  <si>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</si>
  <si>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</si>
  <si>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</si>
  <si>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</si>
  <si>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</si>
  <si>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</si>
  <si>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</si>
  <si>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</si>
  <si>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</si>
  <si>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</si>
  <si>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</si>
  <si>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</si>
  <si>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</si>
  <si>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</si>
  <si>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</si>
  <si>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</si>
  <si>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</si>
  <si>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</si>
  <si>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</si>
  <si>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</si>
  <si>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</si>
  <si>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</si>
  <si>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</si>
  <si>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</si>
  <si>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</si>
  <si>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</si>
  <si>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</si>
  <si>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</si>
  <si>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</si>
  <si>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</si>
  <si>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</si>
  <si>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</si>
  <si>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</si>
  <si>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</si>
  <si>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</si>
  <si>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</si>
  <si>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</si>
  <si>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</si>
  <si>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</si>
  <si>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</si>
  <si>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</si>
  <si>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</si>
  <si>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</si>
  <si>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</si>
  <si>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</si>
  <si>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</si>
  <si>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</si>
  <si>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</si>
  <si>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</si>
  <si>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</si>
  <si>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</si>
  <si>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</si>
  <si>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</si>
  <si>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</si>
  <si>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</si>
  <si>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</si>
  <si>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</si>
  <si>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</si>
  <si>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</si>
  <si>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</si>
  <si>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</si>
  <si>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</si>
  <si>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</si>
  <si>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</si>
  <si>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</si>
  <si>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</si>
  <si>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</si>
  <si>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</si>
  <si>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</si>
  <si>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</si>
  <si>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</si>
  <si>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</si>
  <si>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</si>
  <si>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</si>
  <si>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</si>
  <si>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</si>
  <si>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</si>
  <si>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</si>
  <si>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</si>
  <si>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</si>
  <si>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</si>
  <si>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</si>
  <si>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</si>
  <si>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</si>
  <si>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</si>
  <si>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</si>
  <si>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</si>
  <si>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</si>
  <si>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</si>
  <si>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</si>
  <si>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</si>
  <si>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</si>
  <si>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</si>
  <si>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</si>
  <si>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</si>
  <si>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</si>
  <si>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</si>
  <si>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</si>
  <si>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</si>
  <si>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</si>
  <si>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</si>
  <si>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</si>
  <si>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</si>
  <si>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</si>
  <si>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</si>
  <si>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</si>
  <si>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</si>
  <si>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</si>
  <si>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</si>
  <si>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</si>
  <si>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</si>
  <si>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</si>
  <si>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</si>
  <si>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</si>
  <si>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</si>
  <si>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</si>
  <si>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</si>
  <si>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</si>
  <si>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</si>
  <si>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</si>
  <si>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</si>
  <si>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</si>
  <si>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</si>
  <si>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</si>
  <si>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</si>
  <si>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</si>
  <si>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</si>
  <si>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</si>
  <si>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</si>
  <si>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</si>
  <si>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</si>
  <si>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</si>
  <si>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</si>
  <si>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</si>
  <si>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</si>
  <si>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</si>
  <si>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</si>
  <si>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</si>
  <si>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</si>
  <si>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</si>
  <si>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</si>
  <si>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</si>
  <si>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</si>
  <si>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</si>
  <si>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</si>
  <si>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</si>
  <si>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</si>
  <si>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</si>
  <si>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</si>
  <si>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</si>
  <si>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</si>
  <si>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</si>
  <si>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</si>
  <si>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</si>
  <si>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</si>
  <si>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</si>
  <si>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</si>
  <si>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</si>
  <si>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</si>
  <si>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</si>
  <si>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</si>
  <si>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</si>
  <si>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</si>
  <si>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</si>
  <si>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</si>
  <si>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</si>
  <si>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</si>
  <si>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</si>
  <si>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</si>
  <si>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</si>
  <si>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</si>
  <si>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</si>
  <si>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</si>
  <si>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</si>
  <si>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</si>
  <si>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</si>
  <si>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</si>
  <si>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</si>
  <si>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</si>
  <si>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</si>
  <si>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</si>
  <si>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</si>
  <si>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</si>
  <si>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</si>
  <si>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</si>
  <si>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</si>
  <si>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</si>
  <si>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</si>
  <si>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</si>
  <si>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</si>
  <si>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</si>
  <si>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</si>
  <si>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</si>
  <si>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</si>
  <si>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</si>
  <si>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</si>
  <si>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</si>
  <si>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</si>
  <si>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</si>
  <si>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</si>
  <si>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</si>
  <si>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</si>
  <si>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</si>
  <si>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</si>
  <si>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</si>
  <si>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</si>
  <si>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</si>
  <si>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</si>
  <si>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</si>
  <si>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</si>
  <si>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</si>
  <si>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</si>
  <si>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</si>
  <si>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</si>
  <si>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</si>
  <si>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</si>
  <si>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</si>
  <si>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</si>
  <si>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</si>
  <si>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</si>
  <si>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</si>
  <si>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</si>
  <si>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</si>
  <si>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</si>
  <si>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</si>
  <si>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</si>
  <si>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</si>
  <si>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</si>
  <si>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</si>
  <si>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</si>
  <si>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</si>
  <si>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</si>
  <si>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</si>
  <si>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</si>
  <si>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</si>
  <si>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</si>
  <si>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</si>
  <si>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</si>
  <si>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</si>
  <si>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</si>
  <si>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</si>
  <si>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</si>
  <si>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</si>
  <si>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</si>
  <si>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</si>
  <si>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</si>
  <si>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</si>
  <si>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</si>
  <si>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</si>
  <si>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</si>
  <si>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</si>
  <si>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</si>
  <si>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</si>
  <si>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</si>
  <si>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</si>
  <si>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</si>
  <si>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</si>
  <si>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</si>
  <si>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</si>
  <si>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</si>
  <si>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</si>
  <si>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</si>
  <si>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</si>
  <si>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</si>
  <si>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</si>
  <si>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</si>
  <si>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</si>
  <si>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</si>
  <si>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</si>
  <si>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</si>
  <si>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</si>
  <si>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</si>
  <si>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</si>
  <si>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</si>
  <si>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</si>
  <si>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</si>
  <si>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</si>
  <si>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</si>
  <si>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</si>
  <si>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</si>
  <si>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</si>
  <si>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</si>
  <si>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</si>
  <si>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</si>
  <si>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</si>
  <si>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</si>
  <si>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</si>
  <si>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</si>
  <si>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</si>
  <si>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</si>
  <si>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</si>
  <si>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</si>
  <si>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</si>
  <si>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</si>
  <si>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</si>
  <si>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</si>
  <si>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</si>
  <si>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</si>
  <si>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</si>
  <si>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</si>
  <si>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</si>
  <si>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</si>
  <si>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</si>
  <si>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</si>
  <si>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</si>
  <si>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</si>
  <si>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</si>
  <si>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</si>
  <si>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</si>
  <si>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</si>
  <si>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</si>
  <si>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</si>
  <si>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</si>
  <si>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</si>
  <si>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</si>
  <si>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</si>
  <si>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</si>
  <si>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</si>
  <si>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</si>
  <si>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</si>
  <si>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</si>
  <si>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</si>
  <si>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</si>
  <si>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</si>
  <si>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</si>
  <si>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</si>
  <si>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</si>
  <si>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</si>
  <si>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</si>
  <si>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</si>
  <si>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</si>
  <si>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</si>
  <si>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</si>
  <si>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</si>
  <si>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</si>
  <si>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</si>
  <si>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</si>
  <si>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</si>
  <si>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</si>
  <si>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</si>
  <si>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</si>
  <si>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</si>
  <si>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</si>
  <si>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</si>
  <si>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</si>
  <si>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</si>
  <si>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</si>
  <si>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</si>
  <si>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</si>
  <si>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</si>
  <si>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</si>
  <si>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</si>
  <si>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</si>
  <si>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</si>
  <si>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</si>
  <si>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</si>
  <si>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</si>
  <si>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</si>
  <si>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</si>
  <si>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</si>
  <si>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</si>
  <si>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</si>
  <si>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</si>
  <si>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</si>
  <si>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</si>
  <si>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</si>
  <si>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</si>
  <si>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</si>
  <si>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</si>
  <si>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</si>
  <si>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</si>
  <si>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</si>
  <si>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</si>
  <si>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</si>
  <si>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</si>
  <si>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</si>
  <si>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</si>
  <si>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</si>
  <si>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</si>
  <si>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</si>
  <si>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</si>
  <si>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</si>
  <si>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</si>
  <si>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</si>
  <si>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</si>
  <si>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</si>
  <si>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</si>
  <si>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</si>
  <si>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</si>
  <si>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</si>
  <si>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</si>
  <si>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</si>
  <si>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</si>
  <si>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</si>
  <si>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</si>
  <si>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</si>
  <si>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</si>
  <si>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</si>
  <si>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</si>
  <si>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</si>
  <si>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</si>
  <si>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</si>
  <si>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</si>
  <si>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</si>
  <si>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</si>
  <si>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</si>
  <si>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</si>
  <si>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</si>
  <si>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</si>
  <si>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</si>
  <si>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</si>
  <si>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</si>
  <si>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</si>
  <si>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</si>
  <si>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</si>
  <si>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</si>
  <si>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</si>
  <si>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</si>
  <si>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</si>
  <si>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</si>
  <si>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</si>
  <si>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</si>
  <si>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</si>
  <si>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</si>
  <si>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</si>
  <si>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</si>
  <si>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</si>
  <si>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</si>
  <si>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</si>
  <si>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</si>
  <si>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</si>
  <si>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</si>
  <si>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</si>
  <si>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</si>
  <si>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</si>
  <si>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</si>
  <si>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</si>
  <si>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</si>
  <si>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</si>
  <si>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</si>
  <si>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</si>
  <si>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</si>
  <si>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</si>
  <si>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</si>
  <si>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</si>
  <si>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</si>
  <si>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</si>
  <si>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</si>
  <si>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</si>
  <si>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</si>
  <si>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</si>
  <si>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</si>
  <si>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</si>
  <si>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</si>
  <si>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</si>
  <si>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</si>
  <si>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</si>
  <si>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</si>
  <si>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</si>
  <si>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</si>
  <si>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</si>
  <si>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</si>
  <si>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</si>
  <si>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</si>
  <si>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</si>
  <si>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</si>
  <si>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</si>
  <si>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</si>
  <si>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</si>
  <si>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</si>
  <si>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</si>
  <si>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</si>
  <si>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</si>
  <si>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</si>
  <si>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</si>
  <si>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</si>
  <si>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</si>
  <si>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</si>
  <si>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</si>
  <si>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</si>
  <si>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</si>
  <si>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</si>
  <si>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</si>
  <si>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</si>
  <si>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</si>
  <si>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</si>
  <si>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</si>
  <si>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</si>
  <si>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</si>
  <si>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</si>
  <si>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</si>
  <si>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</si>
  <si>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</si>
  <si>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</si>
  <si>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</si>
  <si>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</si>
  <si>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</si>
  <si>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</si>
  <si>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</si>
  <si>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</si>
  <si>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</si>
  <si>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</si>
  <si>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</si>
  <si>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</si>
  <si>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</si>
  <si>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</si>
  <si>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</si>
  <si>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</si>
  <si>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</si>
  <si>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</si>
  <si>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</si>
  <si>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</si>
  <si>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</si>
  <si>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</si>
  <si>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</si>
  <si>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</si>
  <si>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</si>
  <si>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</si>
  <si>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</si>
  <si>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</si>
  <si>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</si>
  <si>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</si>
  <si>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</si>
  <si>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</si>
  <si>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</si>
  <si>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</si>
  <si>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</si>
  <si>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</si>
  <si>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</si>
  <si>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</si>
  <si>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</si>
  <si>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</si>
  <si>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</si>
  <si>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</si>
  <si>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</si>
  <si>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</si>
  <si>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</si>
  <si>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</si>
  <si>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</si>
  <si>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</si>
  <si>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</si>
  <si>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</si>
  <si>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</si>
  <si>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</si>
  <si>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</si>
  <si>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</si>
  <si>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</si>
  <si>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</si>
  <si>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</si>
  <si>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</si>
  <si>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</si>
  <si>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</si>
  <si>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</si>
  <si>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</si>
  <si>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</si>
  <si>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</si>
  <si>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</si>
  <si>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</si>
  <si>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</si>
  <si>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</si>
  <si>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</si>
  <si>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</si>
  <si>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</si>
  <si>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</si>
  <si>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</si>
  <si>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</si>
  <si>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</si>
  <si>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</si>
  <si>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</si>
  <si>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</si>
  <si>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</si>
  <si>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</si>
  <si>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</si>
  <si>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</si>
  <si>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</si>
  <si>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</si>
  <si>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</si>
  <si>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</si>
  <si>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</si>
  <si>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</si>
  <si>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</si>
  <si>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</si>
  <si>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</si>
  <si>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</si>
  <si>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</si>
  <si>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</si>
  <si>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</si>
  <si>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</si>
  <si>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</si>
  <si>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</si>
  <si>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</si>
  <si>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</si>
  <si>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</si>
  <si>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</si>
  <si>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</si>
  <si>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</si>
  <si>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</si>
  <si>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</si>
  <si>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</si>
  <si>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</si>
  <si>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</si>
  <si>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</si>
  <si>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</si>
  <si>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</si>
  <si>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</si>
  <si>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</si>
  <si>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</si>
  <si>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</si>
  <si>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</si>
  <si>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</si>
  <si>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</si>
  <si>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</si>
  <si>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</si>
  <si>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</si>
  <si>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</si>
  <si>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</si>
  <si>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</si>
  <si>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</si>
  <si>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</si>
  <si>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</si>
  <si>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</si>
  <si>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</si>
  <si>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</si>
  <si>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</si>
  <si>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</si>
  <si>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</si>
  <si>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</si>
  <si>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</si>
  <si>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</si>
  <si>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</si>
  <si>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</si>
  <si>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</si>
  <si>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</si>
  <si>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</si>
  <si>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</si>
  <si>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</si>
  <si>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</si>
  <si>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</si>
  <si>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</si>
  <si>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</si>
  <si>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</si>
  <si>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</si>
  <si>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</si>
  <si>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</si>
  <si>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</si>
  <si>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</si>
  <si>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</si>
  <si>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</si>
  <si>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</si>
  <si>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</si>
  <si>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</si>
  <si>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</si>
  <si>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</si>
  <si>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</si>
  <si>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</si>
  <si>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</si>
  <si>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</si>
  <si>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</si>
  <si>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</si>
  <si>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</si>
  <si>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</si>
  <si>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</si>
  <si>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</si>
  <si>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</si>
  <si>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</si>
  <si>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</si>
  <si>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</si>
  <si>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</si>
  <si>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</si>
  <si>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</si>
  <si>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</si>
  <si>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</si>
  <si>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</si>
  <si>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</si>
  <si>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</si>
  <si>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</si>
  <si>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</si>
  <si>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</si>
  <si>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</si>
  <si>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</si>
  <si>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</si>
  <si>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</si>
  <si>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</si>
  <si>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</si>
  <si>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</si>
  <si>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</si>
  <si>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</si>
  <si>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</si>
  <si>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</si>
  <si>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</si>
  <si>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</si>
  <si>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</si>
  <si>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</si>
  <si>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</si>
  <si>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</si>
  <si>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</si>
  <si>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</si>
  <si>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</si>
  <si>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</si>
  <si>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</si>
  <si>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</si>
  <si>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</si>
  <si>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</si>
  <si>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</si>
  <si>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</si>
  <si>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</si>
  <si>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</si>
  <si>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</si>
  <si>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</si>
  <si>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</si>
  <si>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</si>
  <si>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</si>
  <si>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</si>
  <si>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</si>
  <si>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</si>
  <si>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</si>
  <si>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</si>
  <si>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</si>
  <si>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</si>
  <si>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</si>
  <si>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</si>
  <si>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</si>
  <si>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</si>
  <si>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</si>
  <si>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</si>
  <si>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</si>
  <si>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</si>
  <si>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</si>
  <si>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</si>
  <si>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</si>
  <si>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</si>
  <si>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</si>
  <si>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</si>
  <si>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</si>
  <si>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</si>
  <si>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</si>
  <si>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</si>
  <si>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</si>
  <si>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</si>
  <si>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</si>
  <si>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</si>
  <si>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</si>
  <si>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</si>
  <si>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</si>
  <si>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</si>
  <si>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</si>
  <si>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</si>
  <si>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</si>
  <si>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</si>
  <si>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</si>
  <si>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</si>
  <si>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</si>
  <si>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</si>
  <si>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</si>
  <si>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</si>
  <si>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</si>
  <si>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</si>
  <si>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</si>
  <si>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</si>
  <si>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</si>
  <si>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</si>
  <si>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</si>
  <si>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</si>
  <si>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</si>
  <si>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</si>
  <si>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</si>
  <si>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</si>
  <si>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</si>
  <si>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</si>
  <si>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</si>
  <si>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</si>
  <si>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</si>
  <si>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</si>
  <si>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</si>
  <si>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</si>
  <si>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</si>
  <si>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</si>
  <si>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</si>
  <si>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</si>
  <si>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</si>
  <si>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</si>
  <si>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</si>
  <si>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</si>
  <si>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</si>
  <si>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</si>
  <si>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</si>
  <si>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</si>
  <si>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</si>
  <si>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</si>
  <si>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</si>
  <si>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</si>
  <si>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</si>
  <si>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</si>
  <si>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</si>
  <si>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</si>
  <si>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</si>
  <si>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</si>
  <si>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</si>
  <si>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</si>
  <si>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</si>
  <si>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</si>
  <si>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</si>
  <si>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</si>
  <si>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</si>
  <si>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</si>
  <si>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</si>
  <si>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</si>
  <si>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</si>
  <si>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</si>
  <si>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</si>
  <si>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</si>
  <si>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</si>
  <si>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</si>
  <si>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</si>
  <si>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</si>
  <si>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</si>
  <si>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</si>
  <si>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</si>
  <si>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</si>
  <si>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</si>
  <si>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</si>
  <si>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</si>
  <si>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</si>
  <si>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</si>
  <si>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</si>
  <si>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</si>
  <si>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</si>
  <si>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</si>
  <si>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</si>
  <si>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</si>
  <si>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</si>
  <si>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</si>
  <si>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</si>
  <si>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</si>
  <si>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</si>
  <si>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</si>
  <si>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</si>
  <si>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</si>
  <si>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</si>
  <si>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</si>
  <si>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</si>
  <si>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</si>
  <si>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</si>
  <si>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</si>
  <si>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</si>
  <si>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</si>
  <si>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</si>
  <si>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</si>
  <si>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</si>
  <si>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</si>
  <si>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</si>
  <si>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</si>
  <si>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</si>
  <si>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</si>
  <si>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</si>
  <si>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</si>
  <si>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</si>
  <si>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</si>
  <si>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</si>
  <si>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</si>
  <si>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</si>
  <si>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</si>
  <si>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</si>
  <si>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</si>
  <si>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</si>
  <si>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</si>
  <si>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</si>
  <si>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</si>
  <si>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</si>
  <si>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</si>
  <si>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</si>
  <si>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</si>
  <si>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</si>
  <si>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</si>
  <si>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</si>
  <si>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</si>
  <si>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</si>
  <si>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</si>
  <si>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</si>
  <si>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</si>
  <si>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</si>
  <si>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</si>
  <si>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</si>
  <si>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</si>
  <si>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</si>
  <si>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</si>
  <si>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</si>
  <si>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</si>
  <si>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</si>
  <si>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</si>
  <si>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</si>
  <si>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</si>
  <si>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</si>
  <si>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</si>
  <si>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</si>
  <si>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</si>
  <si>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</si>
  <si>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</si>
  <si>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</si>
  <si>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</si>
  <si>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</si>
  <si>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</si>
  <si>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</si>
  <si>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</si>
  <si>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</si>
  <si>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</si>
  <si>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</si>
  <si>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</si>
  <si>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</si>
  <si>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</si>
  <si>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</si>
  <si>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</si>
  <si>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</si>
  <si>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</si>
  <si>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</si>
  <si>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</si>
  <si>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</si>
  <si>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</si>
  <si>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</si>
  <si>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</si>
  <si>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</si>
  <si>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</si>
  <si>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</si>
  <si>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</si>
  <si>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</si>
  <si>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</si>
  <si>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</si>
  <si>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</si>
  <si>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</si>
  <si>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</si>
  <si>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</si>
  <si>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</si>
  <si>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</si>
  <si>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</si>
  <si>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</si>
  <si>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</si>
  <si>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</si>
  <si>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</si>
  <si>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</si>
  <si>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</si>
  <si>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</si>
  <si>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</si>
  <si>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</si>
  <si>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</si>
  <si>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</si>
  <si>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</si>
  <si>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</si>
  <si>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</si>
  <si>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</si>
  <si>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</si>
  <si>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</si>
  <si>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</si>
  <si>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</si>
  <si>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</si>
  <si>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</si>
  <si>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</si>
  <si>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</si>
  <si>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</si>
  <si>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</si>
  <si>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</si>
  <si>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</si>
  <si>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</si>
  <si>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</si>
  <si>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</si>
  <si>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</si>
  <si>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</si>
  <si>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</si>
  <si>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</si>
  <si>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</si>
  <si>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</si>
  <si>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</si>
  <si>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</si>
  <si>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</si>
  <si>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</si>
  <si>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</si>
  <si>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</si>
  <si>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</si>
  <si>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</si>
  <si>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</si>
  <si>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</si>
  <si>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</si>
  <si>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</si>
  <si>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</si>
  <si>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</si>
  <si>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</si>
  <si>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</si>
  <si>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</si>
  <si>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</si>
  <si>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</si>
  <si>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</si>
  <si>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</si>
  <si>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</si>
  <si>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</si>
  <si>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</si>
  <si>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</si>
  <si>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</si>
  <si>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</si>
  <si>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</si>
  <si>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</si>
  <si>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</si>
  <si>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</si>
  <si>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</si>
  <si>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</si>
  <si>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</si>
  <si>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</si>
  <si>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</si>
  <si>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</si>
  <si>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</si>
  <si>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</si>
  <si>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</si>
  <si>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</si>
  <si>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</si>
  <si>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</si>
  <si>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</si>
  <si>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</si>
  <si>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</si>
  <si>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</si>
  <si>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</si>
  <si>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</si>
  <si>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</si>
  <si>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</si>
  <si>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</si>
  <si>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</si>
  <si>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</si>
  <si>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</si>
  <si>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</si>
  <si>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</si>
  <si>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</si>
  <si>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</si>
  <si>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</si>
  <si>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</si>
  <si>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</si>
  <si>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</si>
  <si>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</si>
  <si>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</si>
  <si>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</si>
  <si>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</si>
  <si>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</si>
  <si>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</si>
  <si>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</si>
  <si>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</si>
  <si>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</si>
  <si>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</si>
  <si>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</si>
  <si>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</si>
  <si>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</si>
  <si>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</si>
  <si>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</si>
  <si>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</si>
  <si>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</si>
  <si>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</si>
  <si>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</si>
  <si>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</si>
  <si>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</si>
  <si>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</si>
  <si>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</si>
  <si>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</si>
  <si>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</si>
  <si>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</si>
  <si>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</si>
  <si>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</si>
  <si>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</si>
  <si>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</si>
  <si>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</si>
  <si>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</si>
  <si>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</si>
  <si>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</si>
  <si>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</si>
  <si>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</si>
  <si>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</si>
  <si>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</si>
  <si>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</si>
  <si>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</si>
  <si>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</si>
  <si>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</si>
  <si>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</si>
  <si>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</si>
  <si>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</si>
  <si>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</si>
  <si>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</si>
  <si>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</si>
  <si>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</si>
  <si>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</si>
  <si>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</si>
  <si>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</si>
  <si>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</si>
  <si>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</si>
  <si>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</si>
  <si>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</si>
  <si>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</si>
  <si>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</si>
  <si>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</si>
  <si>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</si>
  <si>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</si>
  <si>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</si>
  <si>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</si>
  <si>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</si>
  <si>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</si>
  <si>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</si>
  <si>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</si>
  <si>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</si>
  <si>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</si>
  <si>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</si>
  <si>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</si>
  <si>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</si>
  <si>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</si>
  <si>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</si>
  <si>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</si>
  <si>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</si>
  <si>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</si>
  <si>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</si>
  <si>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</si>
  <si>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</si>
  <si>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</si>
  <si>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</si>
  <si>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</si>
  <si>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</si>
  <si>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</si>
  <si>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</si>
  <si>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</si>
  <si>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</si>
  <si>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</si>
  <si>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</si>
  <si>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</si>
  <si>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</si>
  <si>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</si>
  <si>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</si>
  <si>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</si>
  <si>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</si>
  <si>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</si>
  <si>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</si>
  <si>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</si>
  <si>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</si>
  <si>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</si>
  <si>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</si>
  <si>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</si>
  <si>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</si>
  <si>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</si>
  <si>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</si>
  <si>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</si>
  <si>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</si>
  <si>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</si>
  <si>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</si>
  <si>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</si>
  <si>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</si>
  <si>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</si>
  <si>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</si>
  <si>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</si>
  <si>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</si>
  <si>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</si>
  <si>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</si>
  <si>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</si>
  <si>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</si>
  <si>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</si>
  <si>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</si>
  <si>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</si>
  <si>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</si>
  <si>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</si>
  <si>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</si>
  <si>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</si>
  <si>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</si>
  <si>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</si>
  <si>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</si>
  <si>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</si>
  <si>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</si>
  <si>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</si>
  <si>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</si>
  <si>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</si>
  <si>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</si>
  <si>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</si>
  <si>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</si>
  <si>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</si>
  <si>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</si>
  <si>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</si>
  <si>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</si>
  <si>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</si>
  <si>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</si>
  <si>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</si>
  <si>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</si>
  <si>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</si>
  <si>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</si>
  <si>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</si>
  <si>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</si>
  <si>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</si>
  <si>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</si>
  <si>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</si>
  <si>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</si>
  <si>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</si>
  <si>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</si>
  <si>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</si>
  <si>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</si>
  <si>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</si>
  <si>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</si>
  <si>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</si>
  <si>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</si>
  <si>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</si>
  <si>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</si>
  <si>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</si>
  <si>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</si>
  <si>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</si>
  <si>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</si>
  <si>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</si>
  <si>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</si>
  <si>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</si>
  <si>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</si>
  <si>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</si>
  <si>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</si>
  <si>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</si>
  <si>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</si>
  <si>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</si>
  <si>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</si>
  <si>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</si>
  <si>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</si>
  <si>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</si>
  <si>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</si>
  <si>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</si>
  <si>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</si>
  <si>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</si>
  <si>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</si>
  <si>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</si>
  <si>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</si>
  <si>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</si>
  <si>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</si>
  <si>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</si>
  <si>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</si>
  <si>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</si>
  <si>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</si>
  <si>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</si>
  <si>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</si>
  <si>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</si>
  <si>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</si>
  <si>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</si>
  <si>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</si>
  <si>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</si>
  <si>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</si>
  <si>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</si>
  <si>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</si>
  <si>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</si>
  <si>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</si>
  <si>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</si>
  <si>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</si>
  <si>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</si>
  <si>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</si>
  <si>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</si>
  <si>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</si>
  <si>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</si>
  <si>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</si>
  <si>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</si>
  <si>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</si>
  <si>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</si>
  <si>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</si>
  <si>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</si>
  <si>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</si>
  <si>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</si>
  <si>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</si>
  <si>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</si>
  <si>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</si>
  <si>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</si>
  <si>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</si>
  <si>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</si>
  <si>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</si>
  <si>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</si>
  <si>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</si>
  <si>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</si>
  <si>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</si>
  <si>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</si>
  <si>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</si>
  <si>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</si>
  <si>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</si>
  <si>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</si>
  <si>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</si>
  <si>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</si>
  <si>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</si>
  <si>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</si>
  <si>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</si>
  <si>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</si>
  <si>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</si>
  <si>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</si>
  <si>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</si>
  <si>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</si>
  <si>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</si>
  <si>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</si>
  <si>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</si>
  <si>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</si>
  <si>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</si>
  <si>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</si>
  <si>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</si>
  <si>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</si>
  <si>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</si>
  <si>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</si>
  <si>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</si>
  <si>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</si>
  <si>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</si>
  <si>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</si>
  <si>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</si>
  <si>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</si>
  <si>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</si>
  <si>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</si>
  <si>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</si>
  <si>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</si>
  <si>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</si>
  <si>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</si>
  <si>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</si>
  <si>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</si>
  <si>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</si>
  <si>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</si>
  <si>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</si>
  <si>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</si>
  <si>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</si>
  <si>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</si>
  <si>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</si>
  <si>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</si>
  <si>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</si>
  <si>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</si>
  <si>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</si>
  <si>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</si>
  <si>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</si>
  <si>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</si>
  <si>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</si>
  <si>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</si>
  <si>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</si>
  <si>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</si>
  <si>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</si>
  <si>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</si>
  <si>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</si>
  <si>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</si>
  <si>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</si>
  <si>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</si>
  <si>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</si>
  <si>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</si>
  <si>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</si>
  <si>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</si>
  <si>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</si>
  <si>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</si>
  <si>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</si>
  <si>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</si>
  <si>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</si>
  <si>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</si>
  <si>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</si>
  <si>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</si>
  <si>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</si>
  <si>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</si>
  <si>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</si>
  <si>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</si>
  <si>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</si>
  <si>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</si>
  <si>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</si>
  <si>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</si>
  <si>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</si>
  <si>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</si>
  <si>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</si>
  <si>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</si>
  <si>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</si>
  <si>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</si>
  <si>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</si>
  <si>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</si>
  <si>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</si>
  <si>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</si>
  <si>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</si>
  <si>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</si>
  <si>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</si>
  <si>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</si>
  <si>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</si>
  <si>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</si>
  <si>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</si>
  <si>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</si>
  <si>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</si>
  <si>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</si>
  <si>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</si>
  <si>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</si>
  <si>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</si>
  <si>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</si>
  <si>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</si>
  <si>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</si>
  <si>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</si>
  <si>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</si>
  <si>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</si>
  <si>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</si>
  <si>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</si>
  <si>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</si>
  <si>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</si>
  <si>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</si>
  <si>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</si>
  <si>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</si>
  <si>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</si>
  <si>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</si>
  <si>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</si>
  <si>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</si>
  <si>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</si>
  <si>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</si>
  <si>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</si>
  <si>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</si>
  <si>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</si>
  <si>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</si>
  <si>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</si>
  <si>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</si>
  <si>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</si>
  <si>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</si>
  <si>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</si>
  <si>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</si>
  <si>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</si>
  <si>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</si>
  <si>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</si>
  <si>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</si>
  <si>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</si>
  <si>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</si>
  <si>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</si>
  <si>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</si>
  <si>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</si>
  <si>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</si>
  <si>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</si>
  <si>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</si>
  <si>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</si>
  <si>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</si>
  <si>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</si>
  <si>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</si>
  <si>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</si>
  <si>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</si>
  <si>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</si>
  <si>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</si>
  <si>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</si>
  <si>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</si>
  <si>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</si>
  <si>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</si>
  <si>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</si>
  <si>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</si>
  <si>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</si>
  <si>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</si>
  <si>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</si>
  <si>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</si>
  <si>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</si>
  <si>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</si>
  <si>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</si>
  <si>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</si>
  <si>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</si>
  <si>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</si>
  <si>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</si>
  <si>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</si>
  <si>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</si>
  <si>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</si>
  <si>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</si>
  <si>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</si>
  <si>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</si>
  <si>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</si>
  <si>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</si>
  <si>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</si>
  <si>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</si>
  <si>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</si>
  <si>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</si>
  <si>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</si>
  <si>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</si>
  <si>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</si>
  <si>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</si>
  <si>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</si>
  <si>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</si>
  <si>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</si>
  <si>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</si>
  <si>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</si>
  <si>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</si>
  <si>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</si>
  <si>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</si>
  <si>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</si>
  <si>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</si>
  <si>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</si>
  <si>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</si>
  <si>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</si>
  <si>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</si>
  <si>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</si>
  <si>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</si>
  <si>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</si>
  <si>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</si>
  <si>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</si>
  <si>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</si>
  <si>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</si>
  <si>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</si>
  <si>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</si>
  <si>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</si>
  <si>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</si>
  <si>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</si>
  <si>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</si>
  <si>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</si>
  <si>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</si>
  <si>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</si>
  <si>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</si>
  <si>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</si>
  <si>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</si>
  <si>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</si>
  <si>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</si>
  <si>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</si>
  <si>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</si>
  <si>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</si>
  <si>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</si>
  <si>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</si>
  <si>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</si>
  <si>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</si>
  <si>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</si>
  <si>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</si>
  <si>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</si>
  <si>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</si>
  <si>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</si>
  <si>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</si>
  <si>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</si>
  <si>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</si>
  <si>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</si>
  <si>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</si>
  <si>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</si>
  <si>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</si>
  <si>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</si>
  <si>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</si>
  <si>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</si>
  <si>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</si>
  <si>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</si>
  <si>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</si>
  <si>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</si>
  <si>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</si>
  <si>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</si>
  <si>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</si>
  <si>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</si>
  <si>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</si>
  <si>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</si>
  <si>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</si>
  <si>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</si>
  <si>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</si>
  <si>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</si>
  <si>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</si>
  <si>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</si>
  <si>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</si>
  <si>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</si>
  <si>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</si>
  <si>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</si>
  <si>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</si>
  <si>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</si>
  <si>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</si>
  <si>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</si>
  <si>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</si>
  <si>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</si>
  <si>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</si>
  <si>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</si>
  <si>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</si>
  <si>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</si>
  <si>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</si>
  <si>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</si>
  <si>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</si>
  <si>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</si>
  <si>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</si>
  <si>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</si>
  <si>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</si>
  <si>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</si>
  <si>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</si>
  <si>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</si>
  <si>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</si>
  <si>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</si>
  <si>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</si>
  <si>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</si>
  <si>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</si>
  <si>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</si>
  <si>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</si>
  <si>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</si>
  <si>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</si>
  <si>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</si>
  <si>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</si>
  <si>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</si>
  <si>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</si>
  <si>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</si>
  <si>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</si>
  <si>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</si>
  <si>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</si>
  <si>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</si>
  <si>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</si>
  <si>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</si>
  <si>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</si>
  <si>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</si>
  <si>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</si>
  <si>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</si>
  <si>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</si>
  <si>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</si>
  <si>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</si>
  <si>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</si>
  <si>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</si>
  <si>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</si>
  <si>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</si>
  <si>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</si>
  <si>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</si>
  <si>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</si>
  <si>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</si>
  <si>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</si>
  <si>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</si>
  <si>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</si>
  <si>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</si>
  <si>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</si>
  <si>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</si>
  <si>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</si>
  <si>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</si>
  <si>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</si>
  <si>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</si>
  <si>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</si>
  <si>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</si>
  <si>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</si>
  <si>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</si>
  <si>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</si>
  <si>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</si>
  <si>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</si>
  <si>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</si>
  <si>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</si>
  <si>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</si>
  <si>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</si>
  <si>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</si>
  <si>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</si>
  <si>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</si>
  <si>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</si>
  <si>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</si>
  <si>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</si>
  <si>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</si>
  <si>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</si>
  <si>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</si>
  <si>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</si>
  <si>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</si>
  <si>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</si>
  <si>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</si>
  <si>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</si>
  <si>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</si>
  <si>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</si>
  <si>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</si>
  <si>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</si>
  <si>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</si>
  <si>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</si>
  <si>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</si>
  <si>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</si>
  <si>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</si>
  <si>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</si>
  <si>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</si>
  <si>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</si>
  <si>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</si>
  <si>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</si>
  <si>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</si>
  <si>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</si>
  <si>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</si>
  <si>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</si>
  <si>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</si>
  <si>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</si>
  <si>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</si>
  <si>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</si>
  <si>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</si>
  <si>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</si>
  <si>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</si>
  <si>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</si>
  <si>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</si>
  <si>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</si>
  <si>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</si>
  <si>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</si>
  <si>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</si>
  <si>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</si>
  <si>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</si>
  <si>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</si>
  <si>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</si>
  <si>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</si>
  <si>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</si>
  <si>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</si>
  <si>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</si>
  <si>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</si>
  <si>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</si>
  <si>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</si>
  <si>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</si>
  <si>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</si>
  <si>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</si>
  <si>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</si>
  <si>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</si>
  <si>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</si>
  <si>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</si>
  <si>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</si>
  <si>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</si>
  <si>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</si>
  <si>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</si>
  <si>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</si>
  <si>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</si>
  <si>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</si>
  <si>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</si>
  <si>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</si>
  <si>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</si>
  <si>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</si>
  <si>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</si>
  <si>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</si>
  <si>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</si>
  <si>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</si>
  <si>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</si>
  <si>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</si>
  <si>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</si>
  <si>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</si>
  <si>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</si>
  <si>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</si>
  <si>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</si>
  <si>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</si>
  <si>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</si>
  <si>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</si>
  <si>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</si>
  <si>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</si>
  <si>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</si>
  <si>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</si>
  <si>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</si>
  <si>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</si>
  <si>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</si>
  <si>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</si>
  <si>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</si>
  <si>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</si>
  <si>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</si>
  <si>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</si>
  <si>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</si>
  <si>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</si>
  <si>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</si>
  <si>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</si>
  <si>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</si>
  <si>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</si>
  <si>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</si>
  <si>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</si>
  <si>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</si>
  <si>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</si>
  <si>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</si>
  <si>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</si>
  <si>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</si>
  <si>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</si>
  <si>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</si>
  <si>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</si>
  <si>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</si>
  <si>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</si>
  <si>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</si>
  <si>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</si>
  <si>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</si>
  <si>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</si>
  <si>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</si>
  <si>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</si>
  <si>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</si>
  <si>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</si>
  <si>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</si>
  <si>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</si>
  <si>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</si>
  <si>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</si>
  <si>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</si>
  <si>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</si>
  <si>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</si>
  <si>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</si>
  <si>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</si>
  <si>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</si>
  <si>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</si>
  <si>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</si>
  <si>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</si>
  <si>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</si>
  <si>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</si>
  <si>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</si>
  <si>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</si>
  <si>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</si>
  <si>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</si>
  <si>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</si>
  <si>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</si>
  <si>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</si>
  <si>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</si>
  <si>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</si>
  <si>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</si>
  <si>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</si>
  <si>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</si>
  <si>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</si>
  <si>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</si>
  <si>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</si>
  <si>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</si>
  <si>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</si>
  <si>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</si>
  <si>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</si>
  <si>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</si>
  <si>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</si>
  <si>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</si>
  <si>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</si>
  <si>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</si>
  <si>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</si>
  <si>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</si>
  <si>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</si>
  <si>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</si>
  <si>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</si>
  <si>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</si>
  <si>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</si>
  <si>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</si>
  <si>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</si>
  <si>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</si>
  <si>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</si>
  <si>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</si>
  <si>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</si>
  <si>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</si>
  <si>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</si>
  <si>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</si>
  <si>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</si>
  <si>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</si>
  <si>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</si>
  <si>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</si>
  <si>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</si>
  <si>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</si>
  <si>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</si>
  <si>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</si>
  <si>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</si>
  <si>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</si>
  <si>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</si>
  <si>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</si>
  <si>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</si>
  <si>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</si>
  <si>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</si>
  <si>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</si>
  <si>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</si>
  <si>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</si>
  <si>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</si>
  <si>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</si>
  <si>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</si>
  <si>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</si>
  <si>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</si>
  <si>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</si>
  <si>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</si>
  <si>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</si>
  <si>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</si>
  <si>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</si>
  <si>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</si>
  <si>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</si>
  <si>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</si>
  <si>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</si>
  <si>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</si>
  <si>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</si>
  <si>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</si>
  <si>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</si>
  <si>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</si>
  <si>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</si>
  <si>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</si>
  <si>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</si>
  <si>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</si>
  <si>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</si>
  <si>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</si>
  <si>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</si>
  <si>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</si>
  <si>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</si>
  <si>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</si>
  <si>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</si>
  <si>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</si>
  <si>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</si>
  <si>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</si>
  <si>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</si>
  <si>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</si>
  <si>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</si>
  <si>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</si>
  <si>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</si>
  <si>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</si>
  <si>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</si>
  <si>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</si>
  <si>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</si>
  <si>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</si>
  <si>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</si>
  <si>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</si>
  <si>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</si>
  <si>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</si>
  <si>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</si>
  <si>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</si>
  <si>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</si>
  <si>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</si>
  <si>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</si>
  <si>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</si>
  <si>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</si>
  <si>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</si>
  <si>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</si>
  <si>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</si>
  <si>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</si>
  <si>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</si>
  <si>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</si>
  <si>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</si>
  <si>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</si>
  <si>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</si>
  <si>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</si>
  <si>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</si>
  <si>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</si>
  <si>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</si>
  <si>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</si>
  <si>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</si>
  <si>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</si>
  <si>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</si>
  <si>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</si>
  <si>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</si>
  <si>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</si>
  <si>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</si>
  <si>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</si>
  <si>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</si>
  <si>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</si>
  <si>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</si>
  <si>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</si>
  <si>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</si>
  <si>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</si>
  <si>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</si>
  <si>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</si>
  <si>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</si>
  <si>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</si>
  <si>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</si>
  <si>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</si>
  <si>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</si>
  <si>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</si>
  <si>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</si>
  <si>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</si>
  <si>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</si>
  <si>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</si>
  <si>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</si>
  <si>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</si>
  <si>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</si>
  <si>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</si>
  <si>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</si>
  <si>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</si>
  <si>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</si>
  <si>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</si>
  <si>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</si>
  <si>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</si>
  <si>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</si>
  <si>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</si>
  <si>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</si>
  <si>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</si>
  <si>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</si>
  <si>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</si>
  <si>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</si>
  <si>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</si>
  <si>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</si>
  <si>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</si>
  <si>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</si>
  <si>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</si>
  <si>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</si>
  <si>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</si>
  <si>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</si>
  <si>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</si>
  <si>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</si>
  <si>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</si>
  <si>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</si>
  <si>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</si>
  <si>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</si>
  <si>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</si>
  <si>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</si>
  <si>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</si>
  <si>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</si>
  <si>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</si>
  <si>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</si>
  <si>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</si>
  <si>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</si>
  <si>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</si>
  <si>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</si>
  <si>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</si>
  <si>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</si>
  <si>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</si>
  <si>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</si>
  <si>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</si>
  <si>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</si>
  <si>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</si>
  <si>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</si>
  <si>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</si>
  <si>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</si>
  <si>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</si>
  <si>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</si>
  <si>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</si>
  <si>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</si>
  <si>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</si>
  <si>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</si>
  <si>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</si>
  <si>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</si>
  <si>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</si>
  <si>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</si>
  <si>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</si>
  <si>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</si>
  <si>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</si>
  <si>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</si>
  <si>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</si>
  <si>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</si>
  <si>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</si>
  <si>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</si>
  <si>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</si>
  <si>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</si>
  <si>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</si>
  <si>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</si>
  <si>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</si>
  <si>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</si>
  <si>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</si>
  <si>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</si>
  <si>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</si>
  <si>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</si>
  <si>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</si>
  <si>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</si>
  <si>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</si>
  <si>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</si>
  <si>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</si>
  <si>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</si>
  <si>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</si>
  <si>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</si>
  <si>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</si>
  <si>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</si>
  <si>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</si>
  <si>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</si>
  <si>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</si>
  <si>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</si>
  <si>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</si>
  <si>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</si>
  <si>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</si>
  <si>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</si>
  <si>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</si>
  <si>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</si>
  <si>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</si>
  <si>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</si>
  <si>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</si>
  <si>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</si>
  <si>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</si>
  <si>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</si>
  <si>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</si>
  <si>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</si>
  <si>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</si>
  <si>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</si>
  <si>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</si>
  <si>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</si>
  <si>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</si>
  <si>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</si>
  <si>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</si>
  <si>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</si>
  <si>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</si>
  <si>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</si>
  <si>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</si>
  <si>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</si>
  <si>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</si>
  <si>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</si>
  <si>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</si>
  <si>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</si>
  <si>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</si>
  <si>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</si>
  <si>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</si>
  <si>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</si>
  <si>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</si>
  <si>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</si>
  <si>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</si>
  <si>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</si>
  <si>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</si>
  <si>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</si>
  <si>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</si>
  <si>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</si>
  <si>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</si>
  <si>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</si>
  <si>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</si>
  <si>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</si>
  <si>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</si>
  <si>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</si>
  <si>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</si>
  <si>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</si>
  <si>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</si>
  <si>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</si>
  <si>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</si>
  <si>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</si>
  <si>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</si>
  <si>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</si>
  <si>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</si>
  <si>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</si>
  <si>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</si>
  <si>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</si>
  <si>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</si>
  <si>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</si>
  <si>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</si>
  <si>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</si>
  <si>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</si>
  <si>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</si>
  <si>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</si>
  <si>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</si>
  <si>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</si>
  <si>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</si>
  <si>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</si>
  <si>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</si>
  <si>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</si>
  <si>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</si>
  <si>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</si>
  <si>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</si>
  <si>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</si>
  <si>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</si>
  <si>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</si>
  <si>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</si>
  <si>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</si>
  <si>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</si>
  <si>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</si>
  <si>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</si>
  <si>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</si>
  <si>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</si>
  <si>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</si>
  <si>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</si>
  <si>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</si>
  <si>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</si>
  <si>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</si>
  <si>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</si>
  <si>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</si>
  <si>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</si>
  <si>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</si>
  <si>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</si>
  <si>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</si>
  <si>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</si>
  <si>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</si>
  <si>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</si>
  <si>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</si>
  <si>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</si>
  <si>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</si>
  <si>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</si>
  <si>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</si>
  <si>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</si>
  <si>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</si>
  <si>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</si>
  <si>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</si>
  <si>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</si>
  <si>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</si>
  <si>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</si>
  <si>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</si>
  <si>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</si>
  <si>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</si>
  <si>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</si>
  <si>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</si>
  <si>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</si>
  <si>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</si>
  <si>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</si>
  <si>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</si>
  <si>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</si>
  <si>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</si>
  <si>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</si>
  <si>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</si>
  <si>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</si>
  <si>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</si>
  <si>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</si>
  <si>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</si>
  <si>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</si>
  <si>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</si>
  <si>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</si>
  <si>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</si>
  <si>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</si>
  <si>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</si>
  <si>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</si>
  <si>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</si>
  <si>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</si>
  <si>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</si>
  <si>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</si>
  <si>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</si>
  <si>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</si>
  <si>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</si>
  <si>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</si>
  <si>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</si>
  <si>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</si>
  <si>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</si>
  <si>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</si>
  <si>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</si>
  <si>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</si>
  <si>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</si>
  <si>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</si>
  <si>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</si>
  <si>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</si>
  <si>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</si>
  <si>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</si>
  <si>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</si>
  <si>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</si>
  <si>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</si>
  <si>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</si>
  <si>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</si>
  <si>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</si>
  <si>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</si>
  <si>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</si>
  <si>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</si>
  <si>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</si>
  <si>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</si>
  <si>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</si>
  <si>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</si>
  <si>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</si>
  <si>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</si>
  <si>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</si>
  <si>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</si>
  <si>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</si>
  <si>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</si>
  <si>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</si>
  <si>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</si>
  <si>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</si>
  <si>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</si>
  <si>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</si>
  <si>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</si>
  <si>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</si>
  <si>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</si>
  <si>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</si>
  <si>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</si>
  <si>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</si>
  <si>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</si>
  <si>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</si>
  <si>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</si>
  <si>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</si>
  <si>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</si>
  <si>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</si>
  <si>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</si>
  <si>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</si>
  <si>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</si>
  <si>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</si>
  <si>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</si>
  <si>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</si>
  <si>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</si>
  <si>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</si>
  <si>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</si>
  <si>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</si>
  <si>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</si>
  <si>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</si>
  <si>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</si>
  <si>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</si>
  <si>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</si>
  <si>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</si>
  <si>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</si>
  <si>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</si>
  <si>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</si>
  <si>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</si>
  <si>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</si>
  <si>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</si>
  <si>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</si>
  <si>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</si>
  <si>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</si>
  <si>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</si>
  <si>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</si>
  <si>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</si>
  <si>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</si>
  <si>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</si>
  <si>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</si>
  <si>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</si>
  <si>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</si>
  <si>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</si>
  <si>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</si>
  <si>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</si>
  <si>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</si>
  <si>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</si>
  <si>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</si>
  <si>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</si>
  <si>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</si>
  <si>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</si>
  <si>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</si>
  <si>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</si>
  <si>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</si>
  <si>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</si>
  <si>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</si>
  <si>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</si>
  <si>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</si>
  <si>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</si>
  <si>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</si>
  <si>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</si>
  <si>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</si>
  <si>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</si>
  <si>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</si>
  <si>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</si>
  <si>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</si>
  <si>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</si>
  <si>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</si>
  <si>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</si>
  <si>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</si>
  <si>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</si>
  <si>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</si>
  <si>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</si>
  <si>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</si>
  <si>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</si>
  <si>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</si>
  <si>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</si>
  <si>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</si>
  <si>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</si>
  <si>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</si>
  <si>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</si>
  <si>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</si>
  <si>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</si>
  <si>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</si>
  <si>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</si>
  <si>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</si>
  <si>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</si>
  <si>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</si>
  <si>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</si>
  <si>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</si>
  <si>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</si>
  <si>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</si>
  <si>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</si>
  <si>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</si>
  <si>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</si>
  <si>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</si>
  <si>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</si>
  <si>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</si>
  <si>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</si>
  <si>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</si>
  <si>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</si>
  <si>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</si>
  <si>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</si>
  <si>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</si>
  <si>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</si>
  <si>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</si>
  <si>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</si>
  <si>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</si>
  <si>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</si>
  <si>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</si>
  <si>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</si>
  <si>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</si>
  <si>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</si>
  <si>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</si>
  <si>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</si>
  <si>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</si>
  <si>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</si>
  <si>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</si>
  <si>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</si>
  <si>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</si>
  <si>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</si>
  <si>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</si>
  <si>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</si>
  <si>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</si>
  <si>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</si>
  <si>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</si>
  <si>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</si>
  <si>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</si>
  <si>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</si>
  <si>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</si>
  <si>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</si>
  <si>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</si>
  <si>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</si>
  <si>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</si>
  <si>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</si>
  <si>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</si>
  <si>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</si>
  <si>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</si>
  <si>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</si>
  <si>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</si>
  <si>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</si>
  <si>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</si>
  <si>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</si>
  <si>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</si>
  <si>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</si>
  <si>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</si>
  <si>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</si>
  <si>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</si>
  <si>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</si>
  <si>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</si>
  <si>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</si>
  <si>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</si>
  <si>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</si>
  <si>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</si>
  <si>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</si>
  <si>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</si>
  <si>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</si>
  <si>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</si>
  <si>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</si>
  <si>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</si>
  <si>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</si>
  <si>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</si>
  <si>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</si>
  <si>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</si>
  <si>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</si>
  <si>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</si>
  <si>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</si>
  <si>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</si>
  <si>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</si>
  <si>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</si>
  <si>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</si>
  <si>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</si>
  <si>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</si>
  <si>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</si>
  <si>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</si>
  <si>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</si>
  <si>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</si>
  <si>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</si>
  <si>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</si>
  <si>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</si>
  <si>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</si>
  <si>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</si>
  <si>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</si>
  <si>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</si>
  <si>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</si>
  <si>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</si>
  <si>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</si>
  <si>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</si>
  <si>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</si>
  <si>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</si>
  <si>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</si>
  <si>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</si>
  <si>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</si>
  <si>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</si>
  <si>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</si>
  <si>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</si>
  <si>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</si>
  <si>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</si>
  <si>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</si>
  <si>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</si>
  <si>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</si>
  <si>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</si>
  <si>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</si>
  <si>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</si>
  <si>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</si>
  <si>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</si>
  <si>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</si>
  <si>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</si>
  <si>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</si>
  <si>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</si>
  <si>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</si>
  <si>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</si>
  <si>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</si>
  <si>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</si>
  <si>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</si>
  <si>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</si>
  <si>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</si>
  <si>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</si>
  <si>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</si>
  <si>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</si>
  <si>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</si>
  <si>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</si>
  <si>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</si>
  <si>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</si>
  <si>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</si>
  <si>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</si>
  <si>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</si>
  <si>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</si>
  <si>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</si>
  <si>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</si>
  <si>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</si>
  <si>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</si>
  <si>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</si>
  <si>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</si>
  <si>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</si>
  <si>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</si>
  <si>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</si>
  <si>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</si>
  <si>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</si>
  <si>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</si>
  <si>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</si>
  <si>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</si>
  <si>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</si>
  <si>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</si>
  <si>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</si>
  <si>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</si>
  <si>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</si>
  <si>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</si>
  <si>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</si>
  <si>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</si>
  <si>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</si>
  <si>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</si>
  <si>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</si>
  <si>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</si>
  <si>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</si>
  <si>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</si>
  <si>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</si>
  <si>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</si>
  <si>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</si>
  <si>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</si>
  <si>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</si>
  <si>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</si>
  <si>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</si>
  <si>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</si>
  <si>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</si>
  <si>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</si>
  <si>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</si>
  <si>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</si>
  <si>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</si>
  <si>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</si>
  <si>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</si>
  <si>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</si>
  <si>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</si>
  <si>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</si>
  <si>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</si>
  <si>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</si>
  <si>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</si>
  <si>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</si>
  <si>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</si>
  <si>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</si>
  <si>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</si>
  <si>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</si>
  <si>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</si>
  <si>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</si>
  <si>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</si>
  <si>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</si>
  <si>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</si>
  <si>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</si>
  <si>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</si>
  <si>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</si>
  <si>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</si>
  <si>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</si>
  <si>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</si>
  <si>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</si>
  <si>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</si>
  <si>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</si>
  <si>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</si>
  <si>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</si>
  <si>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</si>
  <si>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</si>
  <si>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</si>
  <si>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</si>
  <si>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</si>
  <si>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</si>
  <si>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</si>
  <si>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</si>
  <si>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</si>
  <si>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</si>
  <si>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</si>
  <si>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</si>
  <si>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</si>
  <si>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</si>
  <si>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</si>
  <si>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</si>
  <si>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</si>
  <si>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</si>
  <si>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</si>
  <si>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</si>
  <si>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</si>
  <si>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</si>
  <si>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</si>
  <si>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</si>
  <si>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</si>
  <si>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</si>
  <si>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</si>
  <si>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</si>
  <si>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</si>
  <si>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</si>
  <si>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</si>
  <si>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</si>
  <si>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</si>
  <si>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</si>
  <si>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</si>
  <si>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</si>
  <si>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</si>
  <si>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</si>
  <si>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</si>
  <si>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</si>
  <si>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</si>
  <si>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</si>
  <si>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</si>
  <si>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</si>
  <si>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</si>
  <si>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</si>
  <si>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</si>
  <si>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</si>
  <si>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</si>
  <si>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</si>
  <si>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</si>
  <si>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</si>
  <si>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</si>
  <si>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</si>
  <si>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</si>
  <si>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</si>
  <si>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</si>
  <si>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</si>
  <si>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</si>
  <si>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</si>
  <si>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</si>
  <si>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</si>
  <si>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</si>
  <si>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</si>
  <si>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</si>
  <si>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</si>
  <si>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</si>
  <si>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</si>
  <si>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</si>
  <si>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</si>
  <si>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</si>
  <si>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</si>
  <si>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</si>
  <si>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</si>
  <si>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</si>
  <si>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</si>
  <si>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</si>
  <si>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</si>
  <si>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</si>
  <si>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</si>
  <si>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</si>
  <si>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</si>
  <si>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</si>
  <si>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</si>
  <si>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</si>
  <si>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</si>
  <si>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</si>
  <si>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</si>
  <si>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</si>
  <si>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</si>
  <si>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</si>
  <si>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</si>
  <si>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</si>
  <si>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</si>
  <si>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</si>
  <si>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</si>
  <si>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</si>
  <si>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</si>
  <si>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</si>
  <si>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</si>
  <si>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</si>
  <si>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</si>
  <si>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</si>
  <si>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</si>
  <si>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</si>
  <si>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</si>
  <si>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</si>
  <si>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</si>
  <si>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</si>
  <si>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</si>
  <si>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</si>
  <si>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</si>
  <si>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</si>
  <si>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</si>
  <si>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</si>
  <si>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</si>
  <si>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</si>
  <si>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</si>
  <si>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</si>
  <si>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</si>
  <si>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</si>
  <si>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</si>
  <si>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</si>
  <si>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</si>
  <si>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</si>
  <si>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</si>
  <si>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</si>
  <si>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</si>
  <si>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</si>
  <si>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</si>
  <si>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</si>
  <si>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</si>
  <si>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</si>
  <si>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</si>
  <si>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</si>
  <si>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</si>
  <si>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</si>
  <si>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</si>
  <si>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</si>
  <si>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</si>
  <si>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</si>
  <si>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</si>
  <si>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</si>
  <si>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</si>
  <si>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</si>
  <si>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</si>
  <si>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</si>
  <si>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</si>
  <si>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</si>
  <si>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</si>
  <si>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</si>
  <si>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</si>
  <si>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</si>
  <si>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</si>
  <si>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</si>
  <si>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</si>
  <si>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</si>
  <si>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</si>
  <si>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</si>
  <si>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</si>
  <si>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</si>
  <si>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</si>
  <si>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</si>
  <si>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</si>
  <si>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</si>
  <si>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</si>
  <si>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</si>
  <si>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</si>
  <si>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</si>
  <si>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</si>
  <si>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</si>
  <si>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</si>
  <si>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</si>
  <si>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</si>
  <si>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</si>
  <si>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</si>
  <si>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</si>
  <si>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</si>
  <si>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</si>
  <si>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</si>
  <si>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</si>
  <si>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</si>
  <si>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</si>
  <si>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</si>
  <si>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</si>
  <si>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</si>
  <si>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</si>
  <si>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</si>
  <si>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</si>
  <si>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</si>
  <si>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</si>
  <si>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</si>
  <si>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</si>
  <si>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</si>
  <si>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</si>
  <si>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</si>
  <si>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</si>
  <si>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</si>
  <si>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</si>
  <si>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</si>
  <si>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</si>
  <si>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</si>
  <si>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</si>
  <si>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</si>
  <si>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</si>
  <si>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</si>
  <si>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</si>
  <si>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</si>
  <si>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</si>
  <si>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</si>
  <si>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</si>
  <si>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</si>
  <si>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</si>
  <si>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</si>
  <si>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</si>
  <si>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</si>
  <si>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</si>
  <si>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</si>
  <si>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</si>
  <si>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</si>
  <si>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</si>
  <si>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</si>
  <si>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</si>
  <si>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</si>
  <si>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</si>
  <si>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</si>
  <si>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</si>
  <si>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</si>
  <si>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</si>
  <si>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</si>
  <si>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</si>
  <si>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</si>
  <si>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</si>
  <si>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</si>
  <si>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</si>
  <si>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</si>
  <si>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</si>
  <si>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</si>
  <si>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</si>
  <si>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</si>
  <si>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</si>
  <si>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</si>
  <si>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</si>
  <si>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</si>
  <si>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</si>
  <si>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</si>
  <si>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</si>
  <si>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</si>
  <si>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</si>
  <si>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</si>
  <si>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</si>
  <si>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</si>
  <si>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</si>
  <si>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</si>
  <si>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</si>
  <si>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</si>
  <si>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</si>
  <si>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</si>
  <si>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</si>
  <si>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</si>
  <si>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</si>
  <si>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</si>
  <si>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</si>
  <si>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</si>
  <si>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</si>
  <si>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</si>
  <si>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</si>
  <si>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</si>
  <si>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</si>
  <si>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</si>
  <si>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</si>
  <si>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</si>
  <si>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</si>
  <si>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</si>
  <si>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</si>
  <si>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</si>
  <si>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</si>
  <si>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</si>
  <si>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</si>
  <si>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</si>
  <si>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</si>
  <si>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</si>
  <si>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</si>
  <si>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</si>
  <si>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</si>
  <si>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</si>
  <si>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</si>
  <si>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</si>
  <si>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</si>
  <si>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</si>
  <si>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</si>
  <si>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</si>
  <si>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</si>
  <si>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</si>
  <si>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</si>
  <si>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</si>
  <si>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</si>
  <si>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</si>
  <si>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</si>
  <si>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</si>
  <si>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</si>
  <si>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</si>
  <si>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</si>
  <si>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</si>
  <si>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</si>
  <si>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</si>
  <si>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</si>
  <si>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</si>
  <si>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</si>
  <si>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</si>
  <si>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</si>
  <si>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</si>
  <si>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</si>
  <si>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</si>
  <si>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</si>
  <si>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</si>
  <si>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</si>
  <si>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</si>
  <si>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</si>
  <si>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</si>
  <si>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</si>
  <si>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</si>
  <si>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</si>
  <si>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</si>
  <si>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</si>
  <si>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</si>
  <si>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</si>
  <si>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</si>
  <si>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</si>
  <si>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</si>
  <si>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</si>
  <si>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</si>
  <si>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</si>
  <si>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</si>
  <si>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</si>
  <si>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</si>
  <si>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</si>
  <si>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</si>
  <si>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</si>
  <si>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</si>
  <si>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</si>
  <si>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</si>
  <si>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</si>
  <si>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</si>
  <si>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</si>
  <si>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</si>
  <si>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</si>
  <si>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</si>
  <si>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</si>
  <si>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</si>
  <si>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</si>
  <si>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</si>
  <si>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出让</t>
  </si>
  <si>
    <t>居住项目</t>
  </si>
  <si>
    <t>在建</t>
  </si>
  <si>
    <t>通路</t>
  </si>
  <si>
    <t>通讯</t>
  </si>
  <si>
    <t>通电</t>
  </si>
  <si>
    <t>通上水</t>
  </si>
  <si>
    <t>通下水</t>
  </si>
  <si>
    <t>通热</t>
  </si>
  <si>
    <t>燃气</t>
  </si>
  <si>
    <r>
      <t>1#</t>
    </r>
    <r>
      <rPr>
        <sz val="10"/>
        <color indexed="8"/>
        <rFont val="宋体"/>
        <family val="3"/>
        <charset val="134"/>
      </rPr>
      <t>住宅楼</t>
    </r>
    <phoneticPr fontId="3" type="noConversion"/>
  </si>
  <si>
    <t>是</t>
  </si>
  <si>
    <t>地上</t>
  </si>
  <si>
    <t>住宅</t>
  </si>
  <si>
    <r>
      <t>2#</t>
    </r>
    <r>
      <rPr>
        <sz val="10"/>
        <color indexed="8"/>
        <rFont val="宋体"/>
        <family val="3"/>
        <charset val="134"/>
      </rPr>
      <t>住宅楼</t>
    </r>
    <phoneticPr fontId="3" type="noConversion"/>
  </si>
  <si>
    <r>
      <t>3#</t>
    </r>
    <r>
      <rPr>
        <sz val="10"/>
        <color indexed="8"/>
        <rFont val="宋体"/>
        <family val="3"/>
        <charset val="134"/>
      </rPr>
      <t>商住楼</t>
    </r>
    <phoneticPr fontId="3" type="noConversion"/>
  </si>
  <si>
    <t>公寓</t>
  </si>
  <si>
    <r>
      <t>4#</t>
    </r>
    <r>
      <rPr>
        <sz val="10"/>
        <color indexed="8"/>
        <rFont val="宋体"/>
        <family val="3"/>
        <charset val="134"/>
      </rPr>
      <t>社区配套</t>
    </r>
    <phoneticPr fontId="3" type="noConversion"/>
  </si>
  <si>
    <r>
      <t>6#</t>
    </r>
    <r>
      <rPr>
        <sz val="10"/>
        <color indexed="8"/>
        <rFont val="宋体"/>
        <family val="3"/>
        <charset val="134"/>
      </rPr>
      <t>办公楼</t>
    </r>
    <phoneticPr fontId="3" type="noConversion"/>
  </si>
  <si>
    <t>地下车库</t>
    <phoneticPr fontId="3" type="noConversion"/>
  </si>
  <si>
    <t>地下</t>
  </si>
  <si>
    <t>车库</t>
  </si>
  <si>
    <r>
      <t>9#</t>
    </r>
    <r>
      <rPr>
        <sz val="11"/>
        <color indexed="8"/>
        <rFont val="宋体"/>
        <family val="3"/>
        <charset val="134"/>
      </rPr>
      <t>集中商业楼</t>
    </r>
    <phoneticPr fontId="3" type="noConversion"/>
  </si>
  <si>
    <t>独立商业</t>
  </si>
  <si>
    <t>否</t>
  </si>
  <si>
    <t>办公</t>
    <phoneticPr fontId="7" type="noConversion"/>
  </si>
  <si>
    <t>商业</t>
    <phoneticPr fontId="7" type="noConversion"/>
  </si>
  <si>
    <t>地下车库</t>
    <phoneticPr fontId="7"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</si>
  <si>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</si>
  <si>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</si>
  <si>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</si>
  <si>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</si>
  <si>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</si>
  <si>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收益法</t>
  </si>
  <si>
    <t>在建（套用方法）</t>
  </si>
  <si>
    <t>押一</t>
  </si>
  <si>
    <t>按租金收入计税</t>
  </si>
  <si>
    <t>钢混</t>
  </si>
  <si>
    <t>非生产用房</t>
  </si>
  <si>
    <t>已全部缴纳</t>
  </si>
  <si>
    <t>假设开发法</t>
  </si>
  <si>
    <t>成本法</t>
  </si>
  <si>
    <t>项目局部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</si>
  <si>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</si>
  <si>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</si>
  <si>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</si>
  <si>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</si>
  <si>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</si>
  <si>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</si>
  <si>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</si>
  <si>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</si>
  <si>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</si>
  <si>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</si>
  <si>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</si>
  <si>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</si>
  <si>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</si>
  <si>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高新区蓼河路以西、鸿广路以南</t>
  </si>
  <si>
    <t>济宁市</t>
  </si>
  <si>
    <t>综合用地(含住宅)</t>
  </si>
  <si>
    <t>＞1,≤2.3</t>
  </si>
  <si>
    <t>挂牌</t>
  </si>
  <si>
    <t>2019-05-22</t>
  </si>
  <si>
    <t>济宁华都金达置业有限公司</t>
  </si>
  <si>
    <t>太白湖新区运河路以东、老运河以西、古桥西路以北</t>
  </si>
  <si>
    <t>住宅用地</t>
  </si>
  <si>
    <t>＞1,≤1.8</t>
  </si>
  <si>
    <t>新城控股集团企业管理有限公司</t>
  </si>
  <si>
    <t>高新区海川路以东、鸿广路以北</t>
  </si>
  <si>
    <t>＞1,≤2</t>
  </si>
  <si>
    <t>2019-04-29</t>
  </si>
  <si>
    <t>枫叶小镇奥特莱斯(济宁)商业管理有限公司</t>
  </si>
  <si>
    <t>金宇路以北、济安桥路以西</t>
  </si>
  <si>
    <t>＞1,≤1.3</t>
  </si>
  <si>
    <t>济宁市伟光汇通文化旅游发展有限公司</t>
  </si>
  <si>
    <t>车站西路以南、荷花路以东</t>
  </si>
  <si>
    <t>2019-04-26</t>
  </si>
  <si>
    <t>济宁保利投资控股有限公司、济宁汇源宜居置业有限公司</t>
  </si>
  <si>
    <t>国光路以南、铁东路以东</t>
  </si>
  <si>
    <t>＞1,≤2.1</t>
  </si>
  <si>
    <t>济宁恒建富地置业有限公司</t>
  </si>
  <si>
    <t>机电一路以南、济宁开关厂以西</t>
  </si>
  <si>
    <t>2019-02-21</t>
  </si>
  <si>
    <t>济宁城投嘉华房地产开发有限公司</t>
  </si>
  <si>
    <t>任和路以南、科苑路以西</t>
  </si>
  <si>
    <t>＞1,≤2.4</t>
  </si>
  <si>
    <t>2019-01-07</t>
  </si>
  <si>
    <t>济宁春天置业有限公司</t>
  </si>
  <si>
    <t>琵琶山路以西、任和路以南</t>
  </si>
  <si>
    <t>山东鑫声玉城置业有限公司</t>
  </si>
  <si>
    <t>太白楼路以北、永基路以西</t>
  </si>
  <si>
    <t>＞1且≤2.2</t>
  </si>
  <si>
    <t>2018-12-21</t>
  </si>
  <si>
    <t>山东任城融鑫发展有限公司</t>
  </si>
  <si>
    <t>金宇路以南杜庙南路以北</t>
  </si>
  <si>
    <t>＞1且≤2.3</t>
  </si>
  <si>
    <t>济宁市市中区城建投资有限公司</t>
  </si>
  <si>
    <t>金宇路以南,杜庙南路以北</t>
  </si>
  <si>
    <t>＞1且≤2.4</t>
  </si>
  <si>
    <t>＞1且≤3.7</t>
  </si>
  <si>
    <t>洸河路以北、浣笔泉路以西</t>
  </si>
  <si>
    <t>＞1且≤2.43</t>
  </si>
  <si>
    <t>深圳西路以北、山东樱花五金制品有限公司以南</t>
  </si>
  <si>
    <t>＞1且≤1.1</t>
  </si>
  <si>
    <t>2018-10-31</t>
  </si>
  <si>
    <t>济宁金讯置业有限公司</t>
  </si>
  <si>
    <r>
      <t>9#</t>
    </r>
    <r>
      <rPr>
        <sz val="11"/>
        <color indexed="8"/>
        <rFont val="宋体"/>
        <family val="3"/>
        <charset val="134"/>
      </rPr>
      <t>办公楼</t>
    </r>
    <phoneticPr fontId="3" type="noConversion"/>
  </si>
  <si>
    <r>
      <t>3#</t>
    </r>
    <r>
      <rPr>
        <sz val="11"/>
        <color indexed="8"/>
        <rFont val="宋体"/>
        <family val="3"/>
        <charset val="134"/>
      </rPr>
      <t>商住楼公寓</t>
    </r>
    <phoneticPr fontId="3" type="noConversion"/>
  </si>
  <si>
    <t>公寓</t>
    <phoneticPr fontId="7" type="noConversion"/>
  </si>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</sst>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56" fillId="0" borderId="0" xfId="17"/>
    <xf numFmtId="0" fontId="56" fillId="5" borderId="0" xfId="17" applyFill="1"/>
    <xf numFmtId="0" fontId="0" fillId="5" borderId="0" xfId="0" applyFill="1">
      <alignment vertical="center"/>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估价对象为出让国有建设用地使用权及在建建筑物房地产，为所有。根据《国有土地使用证》[]，估价对象（分摊）出让国有建设用地使用权面积为21344.57平方米，建筑面积为94992.88平方米。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居住项目，该项目尚在开发建设中。根据《国有土地使用证》[]，估价对象（分摊）出让国有建设用地使用权面积为21344.57平方米，规划建筑面积为94992.88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2019年5月29日</v>
      </c>
    </row>
    <row r="13" spans="1:2" s="1593" customFormat="1">
      <c r="A13" s="1591" t="s">
        <v>1223</v>
      </c>
      <c r="B13" s="1592" t="str">
        <f>'预评函-1'!A18</f>
        <v>本次估价的“房地产价值”是指在正常市场情况下，在价值时点2019年5月29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81902</v>
      </c>
    </row>
    <row r="21" spans="1:2" s="1593" customFormat="1">
      <c r="A21" s="1591" t="s">
        <v>1231</v>
      </c>
      <c r="B21" s="1592">
        <f ca="1">'预评函-2'!D7</f>
        <v>8622</v>
      </c>
    </row>
    <row r="22" spans="1:2" s="1593" customFormat="1">
      <c r="A22" s="1591" t="s">
        <v>1232</v>
      </c>
      <c r="B22" s="1592" t="str">
        <f ca="1">'预评函-2'!D6</f>
        <v>捌亿壹仟玖佰零贰万元整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81902</v>
      </c>
    </row>
    <row r="31" spans="1:2" s="1593" customFormat="1">
      <c r="A31" s="1591" t="s">
        <v>1270</v>
      </c>
      <c r="B31" s="1592">
        <f ca="1">'预评函-2'!D15</f>
        <v>8622</v>
      </c>
    </row>
    <row r="32" spans="1:2" s="1593" customFormat="1">
      <c r="A32" s="1591" t="s">
        <v>1237</v>
      </c>
      <c r="B32" s="1592" t="str">
        <f ca="1">'预评函-2'!D14</f>
        <v>捌亿壹仟玖佰零贰万元整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4.抵押净值</v>
      </c>
    </row>
    <row r="38" spans="1:2" s="1593" customFormat="1">
      <c r="A38" s="1591" t="s">
        <v>1291</v>
      </c>
      <c r="B38" s="1592">
        <f ca="1">'预评函-2'!D19</f>
        <v>35504</v>
      </c>
    </row>
    <row r="39" spans="1:2" s="1593" customFormat="1">
      <c r="A39" s="1591" t="s">
        <v>1239</v>
      </c>
      <c r="B39" s="1592">
        <f ca="1">'预评函-2'!D21</f>
        <v>3738</v>
      </c>
    </row>
    <row r="40" spans="1:2" s="1593" customFormat="1">
      <c r="A40" s="1591" t="s">
        <v>1240</v>
      </c>
      <c r="B40" s="1592" t="str">
        <f ca="1">'预评函-2'!D20</f>
        <v>叁亿伍仟伍佰零肆万元整</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94992.88</v>
      </c>
    </row>
    <row r="44" spans="1:2" s="1593" customFormat="1">
      <c r="A44" s="1591" t="s">
        <v>1269</v>
      </c>
      <c r="B44" s="1592" t="str">
        <f>'预评函-3'!C2</f>
        <v>(分摊)土地面积</v>
      </c>
    </row>
    <row r="45" spans="1:2" s="1593" customFormat="1">
      <c r="A45" s="1591" t="s">
        <v>1241</v>
      </c>
      <c r="B45" s="1592">
        <f>'预评函-3'!C4</f>
        <v>21344.57</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2" t="s">
        <v>861</v>
      </c>
      <c r="C54" s="2019" t="s">
        <v>1277</v>
      </c>
    </row>
    <row r="55" spans="1:4">
      <c r="A55" s="3003"/>
      <c r="B55" s="2022" t="s">
        <v>862</v>
      </c>
      <c r="C55" s="2019" t="s">
        <v>1278</v>
      </c>
    </row>
    <row r="56" spans="1:4">
      <c r="A56" s="3003"/>
      <c r="B56" s="2022" t="s">
        <v>863</v>
      </c>
      <c r="C56" s="2019" t="s">
        <v>1282</v>
      </c>
    </row>
    <row r="57" spans="1:4">
      <c r="A57" s="300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2" t="str">
        <f>IF(B10="北京市","北京市",C10)&amp;F10&amp;IF(结果表!G1="在建","出让国有建设用地使用权及在建建筑物",IF(结果表!G1="土地","出让国有建设用地使用权",))&amp;B9&amp;"预评估"</f>
        <v>出让国有建设用地使用权及在建建筑物房地产抵押价值预评估</v>
      </c>
      <c r="C1" s="3013"/>
      <c r="D1" s="3013"/>
      <c r="E1" s="3013"/>
      <c r="F1" s="3013"/>
      <c r="G1" s="3013"/>
      <c r="H1" s="3013"/>
      <c r="I1" s="30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1774</v>
      </c>
      <c r="B3" s="2036"/>
      <c r="C3" s="2037" t="s">
        <v>1775</v>
      </c>
      <c r="D3" s="2036">
        <v>43614</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3056</v>
      </c>
      <c r="C8" s="2056"/>
      <c r="D8" s="3015" t="s">
        <v>1781</v>
      </c>
      <c r="E8" s="2057" t="s">
        <v>3057</v>
      </c>
      <c r="F8" s="2058"/>
      <c r="G8" s="2026"/>
      <c r="H8" s="2026"/>
      <c r="I8" s="2026"/>
      <c r="J8" s="2042"/>
      <c r="K8" s="2043"/>
      <c r="L8" s="2028"/>
      <c r="M8" s="2028"/>
      <c r="N8" s="2029"/>
      <c r="O8" s="2030"/>
      <c r="P8" s="2029"/>
      <c r="Q8" s="2029"/>
      <c r="R8" s="2029"/>
    </row>
    <row r="9" spans="1:19" ht="18" customHeight="1" thickBot="1">
      <c r="A9" s="2040" t="s">
        <v>1782</v>
      </c>
      <c r="B9" s="2059" t="s">
        <v>3057</v>
      </c>
      <c r="C9" s="2060"/>
      <c r="D9" s="3016"/>
      <c r="E9" s="2059" t="s">
        <v>1281</v>
      </c>
      <c r="F9" s="2061"/>
      <c r="G9" s="2062"/>
      <c r="H9" s="2062"/>
      <c r="I9" s="2062"/>
      <c r="J9" s="2042"/>
      <c r="K9" s="2054"/>
      <c r="L9" s="2028"/>
      <c r="M9" s="2028"/>
      <c r="N9" s="2029"/>
      <c r="O9" s="2030"/>
      <c r="P9" s="2029"/>
      <c r="Q9" s="2029"/>
      <c r="R9" s="2029"/>
    </row>
    <row r="10" spans="1:19" ht="18" customHeight="1" thickTop="1">
      <c r="A10" s="2063" t="s">
        <v>1783</v>
      </c>
      <c r="B10" s="2064"/>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v>67916</v>
      </c>
      <c r="E13" s="2080">
        <v>56958</v>
      </c>
      <c r="F13" s="2080">
        <f>E13</f>
        <v>56958</v>
      </c>
      <c r="G13" s="2080">
        <f>E13</f>
        <v>56958</v>
      </c>
      <c r="H13" s="2080"/>
      <c r="I13" s="1047"/>
      <c r="J13" s="2042"/>
      <c r="K13" s="2054"/>
      <c r="L13" s="2028"/>
      <c r="M13" s="2028"/>
      <c r="N13" s="2029"/>
      <c r="O13" s="2030"/>
      <c r="P13" s="2029"/>
      <c r="Q13" s="2029"/>
      <c r="R13" s="2029"/>
    </row>
    <row r="14" spans="1:19" ht="18" customHeight="1">
      <c r="A14" s="2077"/>
      <c r="B14" s="2078"/>
      <c r="C14" s="2079" t="s">
        <v>1795</v>
      </c>
      <c r="D14" s="1050">
        <v>70</v>
      </c>
      <c r="E14" s="1050">
        <v>40</v>
      </c>
      <c r="F14" s="1050">
        <v>40</v>
      </c>
      <c r="G14" s="1050">
        <v>40</v>
      </c>
      <c r="H14" s="1050"/>
      <c r="I14" s="1050"/>
      <c r="J14" s="2042"/>
      <c r="K14" s="2081"/>
      <c r="L14" s="2028"/>
      <c r="M14" s="2028"/>
      <c r="N14" s="2029"/>
      <c r="O14" s="2030"/>
      <c r="P14" s="2029"/>
      <c r="Q14" s="2029"/>
      <c r="R14" s="2029"/>
    </row>
    <row r="15" spans="1:19" ht="18" customHeight="1">
      <c r="A15" s="2063"/>
      <c r="B15" s="2082"/>
      <c r="C15" s="2079" t="s">
        <v>1796</v>
      </c>
      <c r="D15" s="1049">
        <f>IF(B12="出让",IF(D13="","",ROUNDDOWN(MIN((D13-$D$3)/365,D14),2)),D14)</f>
        <v>66.58</v>
      </c>
      <c r="E15" s="1049">
        <f>IF(B12="出让",IF(E13="","",ROUNDDOWN(MIN((E13-$D$3)/365,E14),2)),E14)</f>
        <v>36.549999999999997</v>
      </c>
      <c r="F15" s="1049">
        <f>IF(B12="出让",IF(F13="","",ROUNDDOWN(MIN((F13-$D$3)/365,F14),2)),F14)</f>
        <v>36.549999999999997</v>
      </c>
      <c r="G15" s="1049">
        <f>IF(B12="出让",IF(G13="","",ROUNDDOWN(MIN((G13-$D$3)/365,G14),2)),G14)</f>
        <v>36.549999999999997</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22"/>
      <c r="C16" s="3023"/>
      <c r="D16" s="3024"/>
      <c r="E16" s="2086" t="s">
        <v>1798</v>
      </c>
      <c r="F16" s="3025"/>
      <c r="G16" s="3026"/>
      <c r="H16" s="3026"/>
      <c r="I16" s="3027"/>
      <c r="J16" s="2029"/>
      <c r="K16" s="2083"/>
      <c r="L16" s="2084"/>
      <c r="M16" s="2084"/>
      <c r="N16" s="2085"/>
      <c r="O16" s="2084"/>
      <c r="P16" s="2085"/>
      <c r="Q16" s="2029"/>
      <c r="R16" s="2029"/>
    </row>
    <row r="17" spans="1:22" ht="18" customHeight="1">
      <c r="A17" s="2087" t="s">
        <v>1799</v>
      </c>
      <c r="B17" s="2035" t="s">
        <v>1800</v>
      </c>
      <c r="C17" s="1054">
        <f>'数据-汇总表'!E3</f>
        <v>94992.88</v>
      </c>
      <c r="D17" s="2088" t="s">
        <v>1801</v>
      </c>
      <c r="E17" s="3028" t="s">
        <v>1802</v>
      </c>
      <c r="F17" s="3029"/>
      <c r="G17" s="3029"/>
      <c r="H17" s="3029"/>
      <c r="I17" s="3030"/>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21344.57</v>
      </c>
      <c r="D18" s="2091" t="s">
        <v>1801</v>
      </c>
      <c r="E18" s="3031" t="s">
        <v>1805</v>
      </c>
      <c r="F18" s="3032"/>
      <c r="G18" s="3032"/>
      <c r="H18" s="3032"/>
      <c r="I18" s="3033"/>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8" t="s">
        <v>1810</v>
      </c>
      <c r="C20" s="3019"/>
      <c r="D20" s="3020" t="s">
        <v>1811</v>
      </c>
      <c r="E20" s="3021"/>
      <c r="F20" s="2098" t="s">
        <v>1812</v>
      </c>
      <c r="G20" s="2042"/>
      <c r="H20" s="2042"/>
      <c r="I20" s="2042"/>
      <c r="J20" s="2042"/>
      <c r="K20" s="301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5" t="s">
        <v>1825</v>
      </c>
      <c r="B27" s="2063" t="s">
        <v>1826</v>
      </c>
      <c r="C27" s="2120" t="s">
        <v>3059</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5"/>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5"/>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6"/>
      <c r="B30" s="2035" t="s">
        <v>1829</v>
      </c>
      <c r="C30" s="3007"/>
      <c r="D30" s="3008"/>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9" t="s">
        <v>1830</v>
      </c>
      <c r="B31" s="2127" t="s">
        <v>3060</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0"/>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0"/>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t="s">
        <v>3061</v>
      </c>
      <c r="C34" s="2134" t="s">
        <v>3063</v>
      </c>
      <c r="D34" s="2134" t="s">
        <v>3062</v>
      </c>
      <c r="E34" s="2134" t="s">
        <v>3064</v>
      </c>
      <c r="F34" s="2134" t="s">
        <v>3065</v>
      </c>
      <c r="G34" s="2134" t="s">
        <v>3066</v>
      </c>
      <c r="H34" s="2134" t="s">
        <v>3067</v>
      </c>
      <c r="I34" s="2042"/>
      <c r="J34" s="2042"/>
      <c r="K34" s="1795">
        <f>COUNTIF(B34:H34,"——")</f>
        <v>0</v>
      </c>
      <c r="L34" s="2075" t="s">
        <v>1832</v>
      </c>
      <c r="M34" s="2075" t="s">
        <v>1833</v>
      </c>
      <c r="N34" s="2075" t="s">
        <v>1834</v>
      </c>
      <c r="O34" s="2075" t="s">
        <v>1835</v>
      </c>
      <c r="P34" s="2075" t="s">
        <v>1836</v>
      </c>
      <c r="Q34" s="2075" t="s">
        <v>1837</v>
      </c>
      <c r="R34" s="2075" t="s">
        <v>1838</v>
      </c>
      <c r="S34" s="3004" t="s">
        <v>1839</v>
      </c>
      <c r="T34" s="2135" t="str">
        <f>NUMBERSTRING(7-K34,1)&amp;"通"</f>
        <v>七通</v>
      </c>
      <c r="U34" s="2029"/>
      <c r="V34" s="2029"/>
    </row>
    <row r="35" spans="1:22" ht="18" customHeight="1">
      <c r="A35" s="2136"/>
      <c r="B35" s="3011" t="s">
        <v>1840</v>
      </c>
      <c r="C35" s="3011"/>
      <c r="D35" s="3011"/>
      <c r="E35" s="3011"/>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4"/>
      <c r="T35" s="48" t="str">
        <f>IF(T34="一通",L35,IF(T34="二通",M35,IF(T34="三通",N35,IF(T34="四通",O35,IF(T34="五通",P35,IF(T34="六通",Q35,R35))))))</f>
        <v>通路、通电、通讯、通上水、通下水、通热、燃气</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46801</v>
      </c>
      <c r="B3" s="14">
        <f>IF(C3="否",G5-AT5,G5)</f>
        <v>208285.34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208285.34</v>
      </c>
      <c r="H5" s="16">
        <f t="shared" ref="H5:AT5" si="0">SUM(H13:H656)</f>
        <v>206608.22</v>
      </c>
      <c r="I5" s="16">
        <f t="shared" si="0"/>
        <v>48286.98</v>
      </c>
      <c r="J5" s="16">
        <f t="shared" si="0"/>
        <v>0</v>
      </c>
      <c r="K5" s="16">
        <f t="shared" si="0"/>
        <v>12376.44</v>
      </c>
      <c r="L5" s="16">
        <f t="shared" si="0"/>
        <v>0</v>
      </c>
      <c r="M5" s="16">
        <f t="shared" si="0"/>
        <v>48099.55</v>
      </c>
      <c r="N5" s="16">
        <f t="shared" si="0"/>
        <v>0</v>
      </c>
      <c r="O5" s="16">
        <f t="shared" si="0"/>
        <v>60102.84</v>
      </c>
      <c r="P5" s="16">
        <f t="shared" si="0"/>
        <v>0</v>
      </c>
      <c r="Q5" s="16">
        <f t="shared" si="0"/>
        <v>37742.410000000003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1677.12</v>
      </c>
      <c r="AD5" s="16">
        <f t="shared" si="0"/>
        <v>1677.12</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94992.88</v>
      </c>
      <c r="BA5" s="18">
        <f t="shared" si="1"/>
        <v>94992.88</v>
      </c>
      <c r="BB5" s="18">
        <f t="shared" si="1"/>
        <v>0</v>
      </c>
      <c r="BC5" s="18">
        <f t="shared" si="1"/>
        <v>12376.44</v>
      </c>
      <c r="BD5" s="18">
        <f t="shared" si="1"/>
        <v>24739.83</v>
      </c>
      <c r="BE5" s="18">
        <f t="shared" si="1"/>
        <v>20134.2</v>
      </c>
      <c r="BF5" s="18">
        <f t="shared" si="1"/>
        <v>37742.410000000003</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46800.989999999991</v>
      </c>
      <c r="F6" s="16" t="s">
        <v>1</v>
      </c>
      <c r="G6" s="16" t="s">
        <v>2</v>
      </c>
      <c r="H6" s="20">
        <f>SUMIF(I$12:AB$12,"总值",I6:AB6)</f>
        <v>46424.149999999994</v>
      </c>
      <c r="I6" s="16">
        <f t="shared" ref="I6:AB6" si="2">ROUND($A$3*I5/$B$3,2)</f>
        <v>10849.92</v>
      </c>
      <c r="J6" s="16">
        <f t="shared" si="2"/>
        <v>0</v>
      </c>
      <c r="K6" s="16">
        <f t="shared" si="2"/>
        <v>2780.94</v>
      </c>
      <c r="L6" s="16">
        <f t="shared" si="2"/>
        <v>0</v>
      </c>
      <c r="M6" s="16">
        <f t="shared" si="2"/>
        <v>10807.8</v>
      </c>
      <c r="N6" s="16">
        <f t="shared" si="2"/>
        <v>0</v>
      </c>
      <c r="O6" s="16">
        <f t="shared" si="2"/>
        <v>13504.9</v>
      </c>
      <c r="P6" s="16">
        <f t="shared" si="2"/>
        <v>0</v>
      </c>
      <c r="Q6" s="16">
        <f t="shared" si="2"/>
        <v>8480.59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376.84</v>
      </c>
      <c r="AD6" s="16">
        <f t="shared" ref="AD6:AS6" si="3">ROUND($A$3*AD5/$B$3,2)</f>
        <v>376.84</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21344.57</v>
      </c>
      <c r="AZ6" s="16" t="s">
        <v>3</v>
      </c>
      <c r="BA6" s="16">
        <f>ROUND($AY$6*BA5/$AZ$5,2)</f>
        <v>21344.57</v>
      </c>
      <c r="BB6" s="16">
        <f>ROUND($AY$6*BB5/$AZ$5,2)</f>
        <v>0</v>
      </c>
      <c r="BC6" s="16">
        <f t="shared" ref="BC6:BH6" si="4">ROUND($AY$6*BC5/$AZ$5,2)</f>
        <v>2780.94</v>
      </c>
      <c r="BD6" s="16">
        <f t="shared" si="4"/>
        <v>5558.95</v>
      </c>
      <c r="BE6" s="16">
        <f t="shared" si="4"/>
        <v>4524.08</v>
      </c>
      <c r="BF6" s="16">
        <f t="shared" si="4"/>
        <v>8480.59</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3070</v>
      </c>
      <c r="J9" s="981"/>
      <c r="K9" s="2192" t="s">
        <v>3070</v>
      </c>
      <c r="L9" s="981"/>
      <c r="M9" s="2192" t="s">
        <v>3070</v>
      </c>
      <c r="N9" s="981"/>
      <c r="O9" s="2192" t="s">
        <v>3078</v>
      </c>
      <c r="P9" s="981"/>
      <c r="Q9" s="2192" t="s">
        <v>3070</v>
      </c>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3071</v>
      </c>
      <c r="J10" s="981"/>
      <c r="K10" s="2198" t="s">
        <v>1373</v>
      </c>
      <c r="L10" s="981"/>
      <c r="M10" s="2198" t="s">
        <v>27</v>
      </c>
      <c r="N10" s="981"/>
      <c r="O10" s="2198" t="s">
        <v>3079</v>
      </c>
      <c r="P10" s="981"/>
      <c r="Q10" s="2198" t="s">
        <v>1373</v>
      </c>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地上</v>
      </c>
      <c r="BD10" s="29" t="str">
        <f>M9</f>
        <v>地上</v>
      </c>
      <c r="BE10" s="29" t="str">
        <f>O9</f>
        <v>地下</v>
      </c>
      <c r="BF10" s="29" t="str">
        <f>Q9</f>
        <v>地上</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t="s">
        <v>3074</v>
      </c>
      <c r="L11" s="2204"/>
      <c r="M11" s="2203"/>
      <c r="N11" s="2204"/>
      <c r="O11" s="2203"/>
      <c r="P11" s="2204"/>
      <c r="Q11" s="2203" t="s">
        <v>3081</v>
      </c>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商业</v>
      </c>
      <c r="BD11" s="2188" t="str">
        <f>M10</f>
        <v>办公</v>
      </c>
      <c r="BE11" s="2188" t="str">
        <f>O10</f>
        <v>车库</v>
      </c>
      <c r="BF11" s="2188" t="str">
        <f>Q10</f>
        <v>商业</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t="str">
        <f>K11</f>
        <v>公寓</v>
      </c>
      <c r="BD12" s="2213">
        <f>M11</f>
        <v>0</v>
      </c>
      <c r="BE12" s="2188">
        <f>O11</f>
        <v>0</v>
      </c>
      <c r="BF12" s="2188" t="str">
        <f>Q11</f>
        <v>独立商业</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
        <v>3068</v>
      </c>
      <c r="D13" s="2214" t="s">
        <v>3082</v>
      </c>
      <c r="E13" s="16">
        <f>IF($C$3="是",ROUND($A$3*G13/$B$3,2),ROUND($A$3*(G13-AT13)/$B$3,2))</f>
        <v>4513.92</v>
      </c>
      <c r="F13" s="32"/>
      <c r="G13" s="33">
        <f>H13+AC13+AT13</f>
        <v>20088.95</v>
      </c>
      <c r="H13" s="20">
        <f>SUMIF(I$12:AB$12,"总值",I13:AB13)</f>
        <v>20088.95</v>
      </c>
      <c r="I13" s="2215">
        <v>20088.95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1#住宅楼</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t="s">
        <v>3072</v>
      </c>
      <c r="D14" s="2214" t="s">
        <v>3082</v>
      </c>
      <c r="E14" s="16">
        <f>IF($C$3="是",ROUND($A$3*G14/$B$3,2),ROUND($A$3*(G14-AT14)/$B$3,2))</f>
        <v>4540.07</v>
      </c>
      <c r="F14" s="32"/>
      <c r="G14" s="33">
        <f>H14+AC14+AT14</f>
        <v>20205.32</v>
      </c>
      <c r="H14" s="20">
        <f>SUMIF(I$12:AB$12,"总值",I14:AB14)</f>
        <v>20205.32</v>
      </c>
      <c r="I14" s="2215">
        <v>20205.32</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2#住宅楼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t="s">
        <v>3073</v>
      </c>
      <c r="D15" s="2214" t="s">
        <v>3082</v>
      </c>
      <c r="E15" s="16">
        <f>IF($C$3="是",ROUND($A$3*G15/$B$3,2),ROUND($A$3*(G15-AT15)/$B$3,2))</f>
        <v>1795.93</v>
      </c>
      <c r="F15" s="32"/>
      <c r="G15" s="33">
        <f>H15+AC15+AT15</f>
        <v>7992.71</v>
      </c>
      <c r="H15" s="20">
        <f>SUMIF(I$12:AB$12,"总值",I15:AB15)</f>
        <v>7992.71</v>
      </c>
      <c r="I15" s="2215">
        <v>7992.71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3#商住楼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t="s">
        <v>3075</v>
      </c>
      <c r="D16" s="2214" t="s">
        <v>3082</v>
      </c>
      <c r="E16" s="16">
        <f>IF($C$3="是",ROUND($A$3*G16/$B$3,2),ROUND($A$3*(G16-AT16)/$B$3,2))</f>
        <v>376.84</v>
      </c>
      <c r="F16" s="32"/>
      <c r="G16" s="33">
        <f>H16+AC16+AT16</f>
        <v>1677.12</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1677.12</v>
      </c>
      <c r="AD16" s="2216">
        <v>1677.12</v>
      </c>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4#社区配套</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t="s">
        <v>3076</v>
      </c>
      <c r="D17" s="2214" t="s">
        <v>3069</v>
      </c>
      <c r="E17" s="16">
        <f>IF($C$3="是",ROUND($A$3*G17/$B$3,2),ROUND($A$3*(G17-AT17)/$B$3,2))</f>
        <v>5558.95</v>
      </c>
      <c r="F17" s="32"/>
      <c r="G17" s="33">
        <f>H17+AC17+AT17</f>
        <v>24739.83</v>
      </c>
      <c r="H17" s="20">
        <f>SUMIF(I$12:AB$12,"总值",I17:AB17)</f>
        <v>24739.83</v>
      </c>
      <c r="I17" s="2215"/>
      <c r="J17" s="2215"/>
      <c r="K17" s="2215"/>
      <c r="L17" s="2215"/>
      <c r="M17" s="2215">
        <v>24739.83</v>
      </c>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6#办公楼</v>
      </c>
      <c r="AY17" s="1806">
        <f>ROUND($AY$6*AZ17/$AZ$5,2)</f>
        <v>5558.95</v>
      </c>
      <c r="AZ17" s="16">
        <f>BA17+BL17</f>
        <v>24739.83</v>
      </c>
      <c r="BA17" s="16">
        <f>SUM(BB17:BK17)</f>
        <v>24739.83</v>
      </c>
      <c r="BB17" s="16">
        <f>IF($D17="是",I17-J17,0)</f>
        <v>0</v>
      </c>
      <c r="BC17" s="16">
        <f>IF($D17="是",K17-L17,0)</f>
        <v>0</v>
      </c>
      <c r="BD17" s="16">
        <f>IF($D17="是",M17-N17,0)</f>
        <v>24739.83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3" t="s">
        <v>3077</v>
      </c>
      <c r="D18" s="2214" t="s">
        <v>3082</v>
      </c>
      <c r="E18" s="35">
        <f t="shared" ref="E18:E112" si="7">IF($C$3="是",ROUND($A$3*G18/$B$3,2),ROUND($A$3*(G18-AT18)/$B$3,2))</f>
        <v>8980.82</v>
      </c>
      <c r="F18" s="36"/>
      <c r="G18" s="37">
        <f t="shared" ref="G18:G109" si="8">H18+AC18+AT18</f>
        <v>39968.639999999999</v>
      </c>
      <c r="H18" s="38">
        <f t="shared" ref="H18:H109" si="9">SUMIF(I$12:AB$12,"总值",I18:AB18)</f>
        <v>39968.639999999999</v>
      </c>
      <c r="I18" s="39"/>
      <c r="J18" s="39"/>
      <c r="K18" s="39"/>
      <c r="L18" s="39"/>
      <c r="M18" s="39"/>
      <c r="N18" s="39"/>
      <c r="O18" s="39">
        <v>39968.639999999999</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地下车库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3080</v>
      </c>
      <c r="D19" s="2214" t="s">
        <v>3069</v>
      </c>
      <c r="E19" s="35">
        <f t="shared" si="7"/>
        <v>13004.68</v>
      </c>
      <c r="F19" s="36"/>
      <c r="G19" s="37">
        <f t="shared" si="8"/>
        <v>57876.61</v>
      </c>
      <c r="H19" s="38">
        <f t="shared" si="9"/>
        <v>57876.61</v>
      </c>
      <c r="I19" s="39"/>
      <c r="J19" s="39"/>
      <c r="K19" s="39"/>
      <c r="L19" s="39"/>
      <c r="M19" s="39"/>
      <c r="N19" s="39"/>
      <c r="O19" s="39">
        <v>20134.2</v>
      </c>
      <c r="P19" s="39"/>
      <c r="Q19" s="39">
        <v>37742.410000000003</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t="str">
        <f t="shared" si="13"/>
        <v>9#集中商业楼</v>
      </c>
      <c r="AY19" s="42">
        <f t="shared" si="14"/>
        <v>13004.67</v>
      </c>
      <c r="AZ19" s="35">
        <f t="shared" si="15"/>
        <v>57876.61</v>
      </c>
      <c r="BA19" s="35">
        <f t="shared" si="16"/>
        <v>57876.61</v>
      </c>
      <c r="BB19" s="35">
        <f t="shared" si="17"/>
        <v>0</v>
      </c>
      <c r="BC19" s="35">
        <f t="shared" si="18"/>
        <v>0</v>
      </c>
      <c r="BD19" s="35">
        <f t="shared" si="19"/>
        <v>0</v>
      </c>
      <c r="BE19" s="35">
        <f t="shared" si="20"/>
        <v>20134.2</v>
      </c>
      <c r="BF19" s="35">
        <f t="shared" si="21"/>
        <v>37742.410000000003</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3163</v>
      </c>
      <c r="D20" s="2214" t="s">
        <v>3082</v>
      </c>
      <c r="E20" s="35">
        <f t="shared" si="7"/>
        <v>5248.85</v>
      </c>
      <c r="F20" s="36"/>
      <c r="G20" s="37">
        <f t="shared" si="8"/>
        <v>23359.72</v>
      </c>
      <c r="H20" s="38">
        <f t="shared" si="9"/>
        <v>23359.72</v>
      </c>
      <c r="I20" s="39"/>
      <c r="J20" s="39"/>
      <c r="K20" s="39"/>
      <c r="L20" s="39"/>
      <c r="M20" s="39">
        <v>23359.72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t="str">
        <f t="shared" si="13"/>
        <v>9#办公楼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34" t="s">
        <v>3164</v>
      </c>
      <c r="D21" s="2219" t="s">
        <v>3069</v>
      </c>
      <c r="E21" s="35">
        <f t="shared" si="7"/>
        <v>2780.94</v>
      </c>
      <c r="F21" s="36"/>
      <c r="G21" s="37">
        <f t="shared" si="8"/>
        <v>12376.44</v>
      </c>
      <c r="H21" s="38">
        <f t="shared" si="9"/>
        <v>12376.44</v>
      </c>
      <c r="I21" s="39"/>
      <c r="J21" s="39"/>
      <c r="K21" s="2215">
        <v>12376.44</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t="str">
        <f t="shared" si="13"/>
        <v>3#商住楼公寓</v>
      </c>
      <c r="AY21" s="42">
        <f t="shared" si="14"/>
        <v>2780.94</v>
      </c>
      <c r="AZ21" s="35">
        <f t="shared" si="15"/>
        <v>12376.44</v>
      </c>
      <c r="BA21" s="35">
        <f t="shared" si="16"/>
        <v>12376.44</v>
      </c>
      <c r="BB21" s="35">
        <f t="shared" si="17"/>
        <v>0</v>
      </c>
      <c r="BC21" s="35">
        <f t="shared" si="18"/>
        <v>12376.44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45" t="s">
        <v>1936</v>
      </c>
      <c r="B2" s="3045"/>
      <c r="C2" s="3045"/>
      <c r="D2" s="967" t="s">
        <v>1912</v>
      </c>
      <c r="E2" s="2228" t="s">
        <v>1913</v>
      </c>
      <c r="F2" s="1392"/>
      <c r="G2" s="2229"/>
      <c r="H2" s="2230"/>
      <c r="I2" s="2231" t="s">
        <v>1937</v>
      </c>
      <c r="J2" s="1392"/>
      <c r="K2" s="1392"/>
      <c r="L2" s="1392"/>
      <c r="M2" s="1392"/>
      <c r="N2" s="1427"/>
      <c r="O2" s="1392"/>
      <c r="P2" s="1392"/>
    </row>
    <row r="3" spans="1:16" ht="15.75" thickBot="1">
      <c r="A3" s="3046" t="s">
        <v>1910</v>
      </c>
      <c r="B3" s="3046"/>
      <c r="C3" s="3046"/>
      <c r="D3" s="46">
        <f>'数据-基础表'!AY6</f>
        <v>21344.57</v>
      </c>
      <c r="E3" s="46">
        <f>'数据-基础表'!AZ5</f>
        <v>94992.88</v>
      </c>
      <c r="F3" s="1392"/>
      <c r="G3" s="1399"/>
      <c r="H3" s="1247" t="s">
        <v>1911</v>
      </c>
      <c r="I3" s="55">
        <f>ROUND('数据-基础表'!B3/'数据-基础表'!A3,2)</f>
        <v>4.45</v>
      </c>
      <c r="J3" s="1392"/>
      <c r="K3" s="1392"/>
      <c r="L3" s="1392"/>
      <c r="M3" s="1392"/>
      <c r="N3" s="1427"/>
      <c r="O3" s="1392"/>
      <c r="P3" s="1392"/>
    </row>
    <row r="4" spans="1:16" ht="15">
      <c r="A4" s="3047"/>
      <c r="B4" s="3048"/>
      <c r="C4" s="3049"/>
      <c r="D4" s="2232" t="s">
        <v>1912</v>
      </c>
      <c r="E4" s="2233" t="s">
        <v>1913</v>
      </c>
      <c r="F4" s="1392"/>
      <c r="G4" s="2234" t="s">
        <v>1938</v>
      </c>
      <c r="H4" s="1247" t="s">
        <v>1918</v>
      </c>
      <c r="I4" s="55">
        <f>ROUND(SUMIF('数据-基础表'!I9:AS9,"地上",'数据-基础表'!I5:AS5)/'数据-基础表'!A3,2)</f>
        <v>3.17</v>
      </c>
      <c r="J4" s="1392"/>
      <c r="K4" s="1392"/>
      <c r="L4" s="1392"/>
      <c r="M4" s="1392"/>
      <c r="N4" s="1427"/>
      <c r="O4" s="1392"/>
      <c r="P4" s="1392"/>
    </row>
    <row r="5" spans="1:16">
      <c r="A5" s="47" t="s">
        <v>1914</v>
      </c>
      <c r="B5" s="3050" t="s">
        <v>1915</v>
      </c>
      <c r="C5" s="3050"/>
      <c r="D5" s="48">
        <f>ROUND($D$3*E5/$E$3,2)</f>
        <v>0</v>
      </c>
      <c r="E5" s="49">
        <f>SUMIF('数据-基础表'!$11:$11,"住宅",'数据-基础表'!$5:$5)</f>
        <v>0</v>
      </c>
      <c r="F5" s="1392"/>
      <c r="G5" s="1399"/>
      <c r="H5" s="1247" t="s">
        <v>1911</v>
      </c>
      <c r="I5" s="55">
        <f>ROUND(E31/D31,2)</f>
        <v>4.45</v>
      </c>
      <c r="J5" s="1392"/>
      <c r="K5" s="1392"/>
      <c r="L5" s="1392"/>
      <c r="M5" s="1392"/>
      <c r="N5" s="1392"/>
      <c r="O5" s="1392"/>
      <c r="P5" s="1392"/>
    </row>
    <row r="6" spans="1:16" ht="15" thickBot="1">
      <c r="A6" s="2235"/>
      <c r="B6" s="3050" t="s">
        <v>1916</v>
      </c>
      <c r="C6" s="3050"/>
      <c r="D6" s="48">
        <f>ROUND($D$3*E6/$E$3,2)</f>
        <v>21344.57</v>
      </c>
      <c r="E6" s="49">
        <f>E3-E5</f>
        <v>94992.88</v>
      </c>
      <c r="F6" s="1392"/>
      <c r="G6" s="2236" t="s">
        <v>1917</v>
      </c>
      <c r="H6" s="1399" t="s">
        <v>1918</v>
      </c>
      <c r="I6" s="939">
        <f>ROUND(F31/D31,2)</f>
        <v>3.51</v>
      </c>
      <c r="J6" s="1392"/>
      <c r="K6" s="1392"/>
      <c r="L6" s="1392"/>
      <c r="M6" s="1392"/>
      <c r="N6" s="1392"/>
      <c r="O6" s="1392"/>
      <c r="P6" s="1392"/>
    </row>
    <row r="7" spans="1:16" ht="15">
      <c r="A7" s="3042"/>
      <c r="B7" s="3043"/>
      <c r="C7" s="3044"/>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16820.490000000002</v>
      </c>
      <c r="E8" s="51">
        <f>SUMIF('数据-基础表'!BB10:BK10,"地上",'数据-基础表'!BB5:BK5)</f>
        <v>74858.680000000008</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4524.08</v>
      </c>
      <c r="E13" s="51">
        <f>SUMPRODUCT(('数据-基础表'!BB10:BK10="地下")*('数据-基础表'!BB11:BK11="车库")*('数据-基础表'!BB5:BK5))</f>
        <v>20134.2</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21344.57</v>
      </c>
      <c r="E16" s="53">
        <f>SUM(E8:E15)</f>
        <v>94992.88</v>
      </c>
      <c r="F16" s="1392"/>
      <c r="G16" s="2238"/>
      <c r="H16" s="2241" t="s">
        <v>1940</v>
      </c>
      <c r="I16" s="2242"/>
      <c r="J16" s="1392"/>
      <c r="K16" s="3039" t="s">
        <v>1940</v>
      </c>
      <c r="L16" s="3040"/>
      <c r="M16" s="3040"/>
      <c r="N16" s="3040"/>
      <c r="O16" s="3040"/>
      <c r="P16" s="3041"/>
    </row>
    <row r="17" spans="1:19" ht="15">
      <c r="A17" s="2243" t="s">
        <v>1941</v>
      </c>
      <c r="B17" s="2244" t="s">
        <v>1942</v>
      </c>
      <c r="C17" s="2245" t="s">
        <v>1943</v>
      </c>
      <c r="D17" s="2246" t="s">
        <v>1931</v>
      </c>
      <c r="E17" s="2247" t="s">
        <v>1932</v>
      </c>
      <c r="F17" s="2248"/>
      <c r="G17" s="2249"/>
      <c r="H17" s="2250" t="s">
        <v>1944</v>
      </c>
      <c r="I17" s="2251" t="s">
        <v>1929</v>
      </c>
      <c r="J17" s="1392"/>
      <c r="K17" s="3036" t="s">
        <v>1945</v>
      </c>
      <c r="L17" s="3037"/>
      <c r="M17" s="3038"/>
      <c r="N17" s="3036" t="s">
        <v>1946</v>
      </c>
      <c r="O17" s="3037"/>
      <c r="P17" s="3038"/>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54" t="s">
        <v>3083</v>
      </c>
      <c r="D19" s="48">
        <f>ROUND($D$3*E19/$E$3,2)</f>
        <v>5558.95</v>
      </c>
      <c r="E19" s="56">
        <f t="shared" ref="E19:E26" si="1">SUM(F19:G19)</f>
        <v>24739.83</v>
      </c>
      <c r="F19" s="57">
        <f>'数据-基础表'!M17</f>
        <v>24739.83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5558.95</v>
      </c>
      <c r="S19" s="1248">
        <f t="shared" si="5"/>
        <v>24739.83</v>
      </c>
    </row>
    <row r="20" spans="1:19">
      <c r="A20" s="2263"/>
      <c r="B20" s="50" t="s">
        <v>1958</v>
      </c>
      <c r="C20" s="2954" t="s">
        <v>3084</v>
      </c>
      <c r="D20" s="48">
        <f t="shared" ref="D20:D26" si="6">ROUND($D$3*E20/$E$3,2)</f>
        <v>8480.59</v>
      </c>
      <c r="E20" s="56">
        <f t="shared" si="1"/>
        <v>37742.410000000003</v>
      </c>
      <c r="F20" s="57">
        <f>'数据-基础表'!Q5</f>
        <v>37742.410000000003</v>
      </c>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8480.59</v>
      </c>
      <c r="S20" s="1248">
        <f t="shared" si="5"/>
        <v>37742.410000000003</v>
      </c>
    </row>
    <row r="21" spans="1:19">
      <c r="A21" s="2263"/>
      <c r="B21" s="50" t="s">
        <v>1958</v>
      </c>
      <c r="C21" s="2954" t="s">
        <v>3085</v>
      </c>
      <c r="D21" s="48">
        <f t="shared" si="6"/>
        <v>4524.08</v>
      </c>
      <c r="E21" s="56">
        <f t="shared" si="1"/>
        <v>20134.2</v>
      </c>
      <c r="F21" s="57"/>
      <c r="G21" s="58">
        <f>'数据-基础表'!O19</f>
        <v>20134.2</v>
      </c>
      <c r="H21" s="723">
        <f t="shared" si="7"/>
        <v>0</v>
      </c>
      <c r="I21" s="51">
        <f t="shared" si="2"/>
        <v>0</v>
      </c>
      <c r="J21" s="1392"/>
      <c r="K21" s="1391">
        <f t="shared" si="3"/>
        <v>0</v>
      </c>
      <c r="L21" s="1247">
        <f t="shared" si="4"/>
        <v>0</v>
      </c>
      <c r="M21" s="1403">
        <f t="shared" si="8"/>
        <v>0</v>
      </c>
      <c r="N21" s="2261"/>
      <c r="O21" s="2262"/>
      <c r="P21" s="1403">
        <f t="shared" si="9"/>
        <v>0</v>
      </c>
      <c r="R21" s="1247">
        <f t="shared" si="5"/>
        <v>4524.08</v>
      </c>
      <c r="S21" s="1248">
        <f t="shared" si="5"/>
        <v>20134.2</v>
      </c>
    </row>
    <row r="22" spans="1:19">
      <c r="A22" s="2263"/>
      <c r="B22" s="50" t="s">
        <v>1958</v>
      </c>
      <c r="C22" s="2959" t="s">
        <v>3165</v>
      </c>
      <c r="D22" s="48">
        <f t="shared" si="6"/>
        <v>2780.94</v>
      </c>
      <c r="E22" s="56">
        <f t="shared" si="1"/>
        <v>12376.44</v>
      </c>
      <c r="F22" s="61">
        <f>'数据-基础表'!K5</f>
        <v>12376.44</v>
      </c>
      <c r="G22" s="62"/>
      <c r="H22" s="723">
        <f t="shared" si="7"/>
        <v>0</v>
      </c>
      <c r="I22" s="51">
        <f t="shared" si="2"/>
        <v>0</v>
      </c>
      <c r="J22" s="1392"/>
      <c r="K22" s="1391">
        <f t="shared" si="3"/>
        <v>0</v>
      </c>
      <c r="L22" s="1247">
        <f t="shared" si="4"/>
        <v>0</v>
      </c>
      <c r="M22" s="1403">
        <f t="shared" si="8"/>
        <v>0</v>
      </c>
      <c r="N22" s="2261"/>
      <c r="O22" s="2262"/>
      <c r="P22" s="1403">
        <f t="shared" si="9"/>
        <v>0</v>
      </c>
      <c r="R22" s="1247">
        <f t="shared" si="5"/>
        <v>2780.94</v>
      </c>
      <c r="S22" s="1248">
        <f t="shared" si="5"/>
        <v>12376.44</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29.25" thickBot="1">
      <c r="A27" s="2263"/>
      <c r="B27" s="48"/>
      <c r="C27" s="2266" t="s">
        <v>1959</v>
      </c>
      <c r="D27" s="1393">
        <f>SUM(D19:D26)</f>
        <v>21344.560000000001</v>
      </c>
      <c r="E27" s="1394">
        <f>IF(SUM(E19:E26)='数据-基础表'!BA5,SUM(E19:E26),IF(F27="地上面积有误","面积有误","地下面积有误"))</f>
        <v>94992.88</v>
      </c>
      <c r="F27" s="1393">
        <f>IF(SUM(F19:F26)=E8,SUM(F19:F26),"地上面积有误")</f>
        <v>74858.680000000008</v>
      </c>
      <c r="G27" s="1395">
        <f>SUM(G19:G26)</f>
        <v>20134.2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21344.56误差-0.01</v>
      </c>
      <c r="S27" s="1247">
        <f>IF(SUM(S19:S26)=$E$3,SUM(S19:S26),SUM(S19:S26)&amp;"误差"&amp;ROUND(SUM(S19:S26)-E3,2))</f>
        <v>94992.88</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21344.560000000001</v>
      </c>
      <c r="E31" s="729">
        <f>E27+E30</f>
        <v>94992.88</v>
      </c>
      <c r="F31" s="730">
        <f>F27+F30</f>
        <v>74858.680000000008</v>
      </c>
      <c r="G31" s="731">
        <f>G27+G30</f>
        <v>20134.2</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43614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7" t="s">
        <v>1993</v>
      </c>
      <c r="V5" s="1268" t="s">
        <v>1994</v>
      </c>
      <c r="W5" s="1268" t="s">
        <v>1995</v>
      </c>
      <c r="X5" s="71"/>
      <c r="Y5" s="70" t="s">
        <v>1996</v>
      </c>
      <c r="Z5" s="2303" t="s">
        <v>1993</v>
      </c>
      <c r="AA5" s="1268" t="s">
        <v>1994</v>
      </c>
      <c r="AB5" s="1268" t="s">
        <v>1995</v>
      </c>
      <c r="AC5" s="71"/>
      <c r="AD5" s="71" t="s">
        <v>1996</v>
      </c>
      <c r="AE5" s="1267" t="s">
        <v>1997</v>
      </c>
      <c r="AF5" s="1268" t="s">
        <v>1998</v>
      </c>
      <c r="AG5" s="70" t="s">
        <v>1999</v>
      </c>
      <c r="AH5" s="1267" t="s">
        <v>2000</v>
      </c>
      <c r="AI5" s="2303" t="s">
        <v>2001</v>
      </c>
      <c r="AJ5" s="2303" t="s">
        <v>2002</v>
      </c>
      <c r="AK5" s="1268" t="s">
        <v>2003</v>
      </c>
      <c r="AL5" s="1268" t="s">
        <v>2004</v>
      </c>
      <c r="AM5" s="70" t="s">
        <v>2005</v>
      </c>
      <c r="AN5" s="2304" t="s">
        <v>2006</v>
      </c>
      <c r="AO5" s="2075" t="s">
        <v>2007</v>
      </c>
      <c r="AP5" s="1249"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40</v>
      </c>
      <c r="E6" s="1048">
        <f>IF(B6="","",SUMIF(项目基本情况!D$12:I$12,C6,项目基本情况!D$13:I$13))</f>
        <v>56958</v>
      </c>
      <c r="F6" s="72">
        <f>SUMIF(项目基本情况!D$12:I$12,C6,项目基本情况!D$15:I$15)</f>
        <v>36.549999999999997</v>
      </c>
      <c r="G6" s="73">
        <f>IF(ISERROR(ROUND(POWER(1+H6,D6-F6)*(POWER(1+H6,F6)-1)/(POWER(1+H6,D6)-1),3)),0,ROUND(POWER(1+H6,D6-F6)*(POWER(1+H6,F6)-1)/(POWER(1+H6,D6)-1),3))</f>
        <v>0.96599999999999997</v>
      </c>
      <c r="H6" s="802">
        <v>4.4999999999999998E-2</v>
      </c>
      <c r="I6" s="802">
        <v>0.05</v>
      </c>
      <c r="J6" s="74">
        <v>8.5000000000000006E-2</v>
      </c>
      <c r="K6" s="1251">
        <f>SUMIF('数据-汇总表'!C$19:C$33,A6,'数据-汇总表'!E$19:E$33)</f>
        <v>24739.83</v>
      </c>
      <c r="L6" s="803">
        <v>3000</v>
      </c>
      <c r="M6" s="75">
        <f t="shared" ref="M6:M14" si="0">ROUND(K6*L6/10000,0)</f>
        <v>7422</v>
      </c>
      <c r="N6" s="801">
        <v>0.85</v>
      </c>
      <c r="O6" s="75">
        <f>IF($N$5="成新度","——",ROUND(M6*N6,0))</f>
        <v>6309</v>
      </c>
      <c r="P6" s="76">
        <f>IF($N$5="成新度","——",M6-O6)</f>
        <v>1113</v>
      </c>
      <c r="Q6" s="804">
        <v>0.15</v>
      </c>
      <c r="R6" s="77">
        <f ca="1">SUMIF('数据-汇总表'!C$19:C$33,A6,'数据-汇总表'!R$19:R$27)</f>
        <v>5558.95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1373</v>
      </c>
      <c r="D7" s="1051">
        <f>SUMIF(项目基本情况!D$12:I$12,C7,项目基本情况!D$14:I$14)</f>
        <v>40</v>
      </c>
      <c r="E7" s="1048">
        <f>IF(B7="","",SUMIF(项目基本情况!D$12:I$12,C7,项目基本情况!D$13:I$13))</f>
        <v>56958</v>
      </c>
      <c r="F7" s="72">
        <f>SUMIF(项目基本情况!D$12:I$12,C7,项目基本情况!D$15:I$15)</f>
        <v>36.549999999999997</v>
      </c>
      <c r="G7" s="73">
        <f t="shared" ref="G7:G11" si="2">IF(ISERROR(ROUND(POWER(1+H7,D7-F7)*(POWER(1+H7,F7)-1)/(POWER(1+H7,D7)-1),3)),0,ROUND(POWER(1+H7,D7-F7)*(POWER(1+H7,F7)-1)/(POWER(1+H7,D7)-1),3))</f>
        <v>0.96599999999999997</v>
      </c>
      <c r="H7" s="802">
        <v>4.4999999999999998E-2</v>
      </c>
      <c r="I7" s="802">
        <v>5.5E-2</v>
      </c>
      <c r="J7" s="74">
        <v>8.5000000000000006E-2</v>
      </c>
      <c r="K7" s="1251">
        <f>SUMIF('数据-汇总表'!C$19:C$33,A7,'数据-汇总表'!E$19:E$33)</f>
        <v>37742.410000000003</v>
      </c>
      <c r="L7" s="803">
        <v>3000</v>
      </c>
      <c r="M7" s="75">
        <f t="shared" si="0"/>
        <v>11323</v>
      </c>
      <c r="N7" s="801">
        <f>N6</f>
        <v>0.85</v>
      </c>
      <c r="O7" s="75">
        <f t="shared" ref="O7:O14" si="3">IF($N$5="成新度","——",ROUND(M7*N7,0))</f>
        <v>9625</v>
      </c>
      <c r="P7" s="76">
        <f t="shared" ref="P7:P14" si="4">IF($N$5="成新度","——",M7-O7)</f>
        <v>1698</v>
      </c>
      <c r="Q7" s="804">
        <v>0.2</v>
      </c>
      <c r="R7" s="77">
        <f ca="1">SUMIF('数据-汇总表'!C$19:C$33,A7,'数据-汇总表'!R$19:R$27)</f>
        <v>8480.59</v>
      </c>
      <c r="S7" s="54">
        <f>IF('数据-汇总表'!$I$17="按面积比例",SUMIF('数据-汇总表'!C$19:C$33,A7,'数据-汇总表'!K$19:K$33),SUMIF('数据-汇总表'!C$19:C$33,A7,'数据-汇总表'!N$19:N$33))</f>
        <v>0</v>
      </c>
      <c r="T7" s="1443">
        <f t="shared" ref="T7:T13" si="5">ROUND($L$14*S7/10000,0)</f>
        <v>0</v>
      </c>
      <c r="U7" s="78">
        <v>3.5</v>
      </c>
      <c r="V7" s="79">
        <v>0.03</v>
      </c>
      <c r="W7" s="79">
        <v>0.1</v>
      </c>
      <c r="X7" s="1261"/>
      <c r="Y7" s="80">
        <v>1</v>
      </c>
      <c r="Z7" s="81"/>
      <c r="AA7" s="74"/>
      <c r="AB7" s="74"/>
      <c r="AC7" s="1261"/>
      <c r="AD7" s="82"/>
      <c r="AE7" s="1262">
        <f t="shared" ref="AE7:AE13" ca="1" si="6">IF(AN7="",0,SUMIF(INDIRECT("'"&amp;AN7&amp;"'"&amp;"!E:E"),$AE$5,INDIRECT("'"&amp;AN7&amp;"'"&amp;"!F:F")))</f>
        <v>36.25</v>
      </c>
      <c r="AF7" s="1804"/>
      <c r="AG7" s="147">
        <f t="shared" ref="AG7:AG13" si="7">IF(AF7="",0,AE7-AF7)</f>
        <v>0</v>
      </c>
      <c r="AH7" s="83"/>
      <c r="AI7" s="85">
        <v>365</v>
      </c>
      <c r="AJ7" s="86"/>
      <c r="AK7" s="87">
        <v>1.4999999999999999E-2</v>
      </c>
      <c r="AL7" s="88">
        <v>1.5E-3</v>
      </c>
      <c r="AM7" s="89">
        <v>0.01</v>
      </c>
      <c r="AN7" s="2309" t="s">
        <v>3091</v>
      </c>
      <c r="AO7" s="55">
        <f t="shared" ref="AO7:AO13" ca="1" si="8">SUMIF(INDIRECT("'"&amp;AN7&amp;"'"&amp;"!A:A"),"总价",INDIRECT("'"&amp;AN7&amp;"'"&amp;"!B:B"))</f>
        <v>75431</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地下车库</v>
      </c>
      <c r="B8" s="2307" t="str">
        <f t="shared" si="1"/>
        <v>经营性</v>
      </c>
      <c r="C8" s="2308" t="s">
        <v>3079</v>
      </c>
      <c r="D8" s="1051">
        <f>SUMIF(项目基本情况!D$12:I$12,C8,项目基本情况!D$14:I$14)</f>
        <v>40</v>
      </c>
      <c r="E8" s="1048">
        <f>IF(B8="","",SUMIF(项目基本情况!D$12:I$12,C8,项目基本情况!D$13:I$13))</f>
        <v>56958</v>
      </c>
      <c r="F8" s="72">
        <f>SUMIF(项目基本情况!D$12:I$12,C8,项目基本情况!D$15:I$15)</f>
        <v>36.549999999999997</v>
      </c>
      <c r="G8" s="73">
        <f t="shared" si="2"/>
        <v>0.96199999999999997</v>
      </c>
      <c r="H8" s="802">
        <v>0.04</v>
      </c>
      <c r="I8" s="802">
        <v>4.4999999999999998E-2</v>
      </c>
      <c r="J8" s="74">
        <v>8.5000000000000006E-2</v>
      </c>
      <c r="K8" s="1251">
        <f>SUMIF('数据-汇总表'!C$19:C$33,A8,'数据-汇总表'!E$19:E$33)</f>
        <v>20134.2</v>
      </c>
      <c r="L8" s="803">
        <v>2200</v>
      </c>
      <c r="M8" s="75">
        <f>ROUND(K8*L8/10000,0)</f>
        <v>4430</v>
      </c>
      <c r="N8" s="801">
        <f>N6</f>
        <v>0.85</v>
      </c>
      <c r="O8" s="75">
        <f t="shared" si="3"/>
        <v>3766</v>
      </c>
      <c r="P8" s="76">
        <f t="shared" si="4"/>
        <v>664</v>
      </c>
      <c r="Q8" s="804">
        <v>0.05</v>
      </c>
      <c r="R8" s="77">
        <f ca="1">SUMIF('数据-汇总表'!C$19:C$33,A8,'数据-汇总表'!R$19:R$27)</f>
        <v>4524.08</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t="str">
        <f>'数据-汇总表'!C22</f>
        <v>公寓</v>
      </c>
      <c r="B9" s="2307" t="str">
        <f t="shared" si="1"/>
        <v>经营性</v>
      </c>
      <c r="C9" s="2308" t="s">
        <v>27</v>
      </c>
      <c r="D9" s="1051">
        <f>SUMIF(项目基本情况!D$12:I$12,C9,项目基本情况!D$14:I$14)</f>
        <v>40</v>
      </c>
      <c r="E9" s="1048">
        <f>IF(B9="","",SUMIF(项目基本情况!D$12:I$12,C9,项目基本情况!D$13:I$13))</f>
        <v>56958</v>
      </c>
      <c r="F9" s="72">
        <f>SUMIF(项目基本情况!D$12:I$12,C9,项目基本情况!D$15:I$15)</f>
        <v>36.549999999999997</v>
      </c>
      <c r="G9" s="73">
        <f t="shared" si="2"/>
        <v>0.96599999999999997</v>
      </c>
      <c r="H9" s="74">
        <v>4.4999999999999998E-2</v>
      </c>
      <c r="I9" s="74">
        <v>0.05</v>
      </c>
      <c r="J9" s="74">
        <v>8.5000000000000006E-2</v>
      </c>
      <c r="K9" s="1251">
        <f>SUMIF('数据-汇总表'!C$19:C$33,A9,'数据-汇总表'!E$19:E$33)</f>
        <v>12376.44</v>
      </c>
      <c r="L9" s="803">
        <v>3000</v>
      </c>
      <c r="M9" s="75">
        <f t="shared" si="0"/>
        <v>3713</v>
      </c>
      <c r="N9" s="801">
        <f>N6</f>
        <v>0.85</v>
      </c>
      <c r="O9" s="75">
        <f t="shared" si="3"/>
        <v>3156</v>
      </c>
      <c r="P9" s="76">
        <f t="shared" si="4"/>
        <v>557</v>
      </c>
      <c r="Q9" s="90">
        <v>0.15</v>
      </c>
      <c r="R9" s="77">
        <f ca="1">SUMIF('数据-汇总表'!C$19:C$33,A9,'数据-汇总表'!R$19:R$27)</f>
        <v>2780.94</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2011</v>
      </c>
      <c r="B14" s="2307" t="s">
        <v>2012</v>
      </c>
      <c r="C14" s="2312"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2013</v>
      </c>
      <c r="B15" s="2307" t="s">
        <v>2012</v>
      </c>
      <c r="C15" s="2312"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2015</v>
      </c>
      <c r="B16" s="97"/>
      <c r="C16" s="1005"/>
      <c r="D16" s="2314"/>
      <c r="E16" s="97"/>
      <c r="F16" s="97"/>
      <c r="G16" s="98">
        <f>ROUND(SUMPRODUCT(G6:G13,K6:K13)/SUMPRODUCT((G6:G13&gt;0)*(K6:K13)),3)</f>
        <v>0.96499999999999997</v>
      </c>
      <c r="H16" s="99">
        <f>ROUND(SUMPRODUCT(H6:H13,K6:K13)/SUMPRODUCT((H6:H13&gt;0)*(K6:K13)),3)</f>
        <v>4.3999999999999997E-2</v>
      </c>
      <c r="I16" s="100"/>
      <c r="J16" s="100"/>
      <c r="K16" s="101">
        <f>SUM(K6:K15)</f>
        <v>94992.88</v>
      </c>
      <c r="L16" s="102">
        <f>ROUND(M16*10000/SUM(K6:K14),0)</f>
        <v>2831</v>
      </c>
      <c r="M16" s="102">
        <f>SUM(M6:M14)</f>
        <v>26888</v>
      </c>
      <c r="N16" s="103">
        <f>ROUND(SUMPRODUCT(M6:M14,N6:N14)/M16,3)</f>
        <v>0.85</v>
      </c>
      <c r="O16" s="102">
        <f>SUM(O6:O14)</f>
        <v>22856</v>
      </c>
      <c r="P16" s="102">
        <f>SUM(P6:P14)</f>
        <v>4032</v>
      </c>
      <c r="Q16" s="104">
        <f>ROUND(SUMPRODUCT(Q6:Q13,K6:K13)/SUMPRODUCT((Q6:Q13&gt;0)*(K6:K13)),2)</f>
        <v>0.15</v>
      </c>
      <c r="R16" s="1255">
        <f ca="1">SUM(R6:R13)</f>
        <v>21344.560000000001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2017</v>
      </c>
      <c r="B19" s="112">
        <v>0</v>
      </c>
      <c r="C19" s="2277" t="s">
        <v>2018</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2019</v>
      </c>
      <c r="B20" s="113">
        <v>2</v>
      </c>
      <c r="C20" s="2277" t="s">
        <v>2020</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2021</v>
      </c>
      <c r="B21" s="113">
        <f>B20*N16</f>
        <v>1.7</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2022</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2023</v>
      </c>
      <c r="B23" s="114">
        <f>B19+B21</f>
        <v>1.7</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2024</v>
      </c>
      <c r="B24" s="115">
        <f>B20-B21</f>
        <v>0.30000000000000004</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2025</v>
      </c>
      <c r="B26" s="2320" t="s">
        <v>2026</v>
      </c>
      <c r="C26" s="2321" t="s">
        <v>2027</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2028</v>
      </c>
      <c r="B27" s="116"/>
      <c r="C27" s="1764" t="s">
        <v>2029</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9">
        <v>116</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1">
        <f ca="1">成本法!C10</f>
        <v>1102</v>
      </c>
      <c r="C29" s="1764" t="s">
        <v>2032</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6">
        <v>0.03</v>
      </c>
      <c r="C33" s="1763" t="s">
        <v>2037</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2">
        <v>0</v>
      </c>
      <c r="C34" s="1763" t="s">
        <v>2039</v>
      </c>
      <c r="D34" s="2278" t="s">
        <v>2040</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9">
        <v>200</v>
      </c>
      <c r="C35" s="1763" t="s">
        <v>2042</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3">
        <v>1.4999999999999999E-2</v>
      </c>
      <c r="C36" s="1763" t="s">
        <v>2044</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2045</v>
      </c>
      <c r="B37" s="124">
        <v>0.02</v>
      </c>
      <c r="C37" s="1763" t="s">
        <v>2046</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2047</v>
      </c>
      <c r="B38" s="122">
        <v>0.02</v>
      </c>
      <c r="C38" s="1763" t="s">
        <v>2046</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2048</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2049</v>
      </c>
      <c r="B40" s="1300">
        <f ca="1">存贷款利率!G1</f>
        <v>4.7500000000000001E-2</v>
      </c>
      <c r="C40" s="1763" t="s">
        <v>2050</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2051</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2052</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2053</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2054</v>
      </c>
      <c r="B44" s="128">
        <v>7.0000000000000007E-2</v>
      </c>
      <c r="C44" s="1763" t="s">
        <v>2055</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2056</v>
      </c>
      <c r="B45" s="126">
        <v>0.03</v>
      </c>
      <c r="C45" s="1764" t="s">
        <v>2057</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2058</v>
      </c>
      <c r="B46" s="126">
        <v>0.02</v>
      </c>
      <c r="C46" s="1764" t="s">
        <v>2059</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2060</v>
      </c>
      <c r="B47" s="129">
        <v>0</v>
      </c>
      <c r="C47" s="1764" t="s">
        <v>2061</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2062</v>
      </c>
      <c r="B48" s="130">
        <v>0.03</v>
      </c>
      <c r="C48" s="1771" t="s">
        <v>2063</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2064</v>
      </c>
      <c r="B49" s="126">
        <v>5.0000000000000001E-4</v>
      </c>
      <c r="C49" s="1771" t="s">
        <v>2065</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2066</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2067</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2068</v>
      </c>
      <c r="B52" s="133">
        <f>SUMIF(A54:A63,B53,B54:B63)</f>
        <v>16</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2069</v>
      </c>
      <c r="B53" s="2336" t="s">
        <v>212</v>
      </c>
      <c r="C53" s="1427" t="s">
        <v>2070</v>
      </c>
      <c r="D53" s="2337" t="s">
        <v>2071</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2072</v>
      </c>
      <c r="B54" s="84">
        <v>16</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2073</v>
      </c>
      <c r="B55" s="84">
        <v>12.8</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2074</v>
      </c>
      <c r="B56" s="84">
        <v>6.4</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2075</v>
      </c>
      <c r="B57" s="84">
        <v>4.8</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2076</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2077</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2078</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2079</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2080</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2081</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1" t="s">
        <v>2082</v>
      </c>
      <c r="B1" s="3052"/>
      <c r="C1" s="3052"/>
      <c r="D1" s="3052"/>
      <c r="E1" s="3052"/>
      <c r="F1" s="3052"/>
      <c r="G1" s="305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5" t="s">
        <v>2085</v>
      </c>
      <c r="B3" s="1268" t="s">
        <v>2086</v>
      </c>
      <c r="C3" s="2370" t="s">
        <v>2087</v>
      </c>
      <c r="D3" s="2371"/>
      <c r="E3" s="431" t="s">
        <v>2085</v>
      </c>
      <c r="F3" s="2372" t="s">
        <v>2088</v>
      </c>
      <c r="G3" s="2373" t="s">
        <v>2089</v>
      </c>
      <c r="H3" s="2368"/>
      <c r="I3" s="2368"/>
      <c r="J3" s="2368"/>
      <c r="K3" s="2368"/>
      <c r="L3" s="2368"/>
      <c r="M3" s="2368"/>
      <c r="N3" s="2368"/>
      <c r="O3" s="2368"/>
      <c r="P3" s="2368"/>
      <c r="Q3" s="2368"/>
      <c r="R3" s="2368"/>
    </row>
    <row r="4" spans="1:29" ht="41.25">
      <c r="A4" s="431"/>
      <c r="B4" s="1795" t="s">
        <v>2090</v>
      </c>
      <c r="C4" s="2374" t="s">
        <v>2091</v>
      </c>
      <c r="D4" s="2371"/>
      <c r="E4" s="2375"/>
      <c r="F4" s="42" t="s">
        <v>2092</v>
      </c>
      <c r="G4" s="2376" t="s">
        <v>2093</v>
      </c>
      <c r="H4" s="2368"/>
      <c r="I4" s="2368"/>
      <c r="J4" s="2368"/>
      <c r="K4" s="2368"/>
      <c r="L4" s="2368"/>
      <c r="M4" s="2368"/>
      <c r="N4" s="2368"/>
      <c r="O4" s="2368"/>
      <c r="P4" s="2368"/>
      <c r="Q4" s="2368"/>
      <c r="R4" s="2368"/>
    </row>
    <row r="5" spans="1:29" ht="41.25">
      <c r="A5" s="431"/>
      <c r="B5" s="1795" t="s">
        <v>2094</v>
      </c>
      <c r="C5" s="2374" t="s">
        <v>2095</v>
      </c>
      <c r="D5" s="2371"/>
      <c r="E5" s="2375"/>
      <c r="F5" s="1795" t="s">
        <v>2096</v>
      </c>
      <c r="G5" s="2376" t="s">
        <v>2097</v>
      </c>
      <c r="H5" s="2368"/>
      <c r="I5" s="2368"/>
      <c r="J5" s="2368"/>
      <c r="K5" s="2368"/>
      <c r="L5" s="2368"/>
      <c r="M5" s="2368"/>
      <c r="N5" s="2368"/>
      <c r="O5" s="2368"/>
      <c r="P5" s="2368"/>
      <c r="Q5" s="2368"/>
      <c r="R5" s="2368"/>
    </row>
    <row r="6" spans="1:29" ht="54">
      <c r="A6" s="431"/>
      <c r="B6" s="1795" t="s">
        <v>2098</v>
      </c>
      <c r="C6" s="2376" t="s">
        <v>2093</v>
      </c>
      <c r="D6" s="2371"/>
      <c r="E6" s="2375"/>
      <c r="F6" s="1795" t="s">
        <v>2099</v>
      </c>
      <c r="G6" s="2376" t="s">
        <v>2100</v>
      </c>
      <c r="H6" s="2368"/>
      <c r="I6" s="2368"/>
      <c r="J6" s="2368"/>
      <c r="K6" s="2368"/>
      <c r="L6" s="2368"/>
      <c r="M6" s="2368"/>
      <c r="N6" s="2368"/>
      <c r="O6" s="2368"/>
      <c r="P6" s="2368"/>
      <c r="Q6" s="2368"/>
      <c r="R6" s="2368"/>
    </row>
    <row r="7" spans="1:29" ht="41.25" thickBot="1">
      <c r="A7" s="431"/>
      <c r="B7" s="1795" t="s">
        <v>2096</v>
      </c>
      <c r="C7" s="2376" t="s">
        <v>2097</v>
      </c>
      <c r="D7" s="2377"/>
      <c r="E7" s="2378"/>
      <c r="F7" s="2379" t="s">
        <v>2101</v>
      </c>
      <c r="G7" s="2380" t="s">
        <v>2102</v>
      </c>
      <c r="H7" s="2368"/>
      <c r="I7" s="2368"/>
      <c r="J7" s="2368"/>
      <c r="K7" s="2368"/>
      <c r="L7" s="2368"/>
      <c r="M7" s="2368"/>
      <c r="N7" s="2368"/>
      <c r="O7" s="2368"/>
      <c r="P7" s="2368"/>
      <c r="Q7" s="2368"/>
      <c r="R7" s="2368"/>
    </row>
    <row r="8" spans="1:29" ht="27">
      <c r="A8" s="431"/>
      <c r="B8" s="1795" t="s">
        <v>2099</v>
      </c>
      <c r="C8" s="2376" t="s">
        <v>2100</v>
      </c>
      <c r="D8" s="2377"/>
      <c r="E8" s="2377"/>
      <c r="F8" s="1133"/>
      <c r="G8" s="1133"/>
      <c r="H8" s="2368"/>
      <c r="I8" s="2368"/>
      <c r="J8" s="2368"/>
      <c r="K8" s="2368"/>
      <c r="L8" s="2368"/>
      <c r="M8" s="2368"/>
      <c r="N8" s="2368"/>
      <c r="O8" s="2368"/>
      <c r="P8" s="2368"/>
      <c r="Q8" s="2368"/>
      <c r="R8" s="2368"/>
    </row>
    <row r="9" spans="1:29" ht="27">
      <c r="A9" s="431"/>
      <c r="B9" s="1795" t="s">
        <v>2103</v>
      </c>
      <c r="C9" s="2374" t="s">
        <v>2104</v>
      </c>
      <c r="D9" s="2371"/>
      <c r="E9" s="2377"/>
      <c r="F9" s="1133"/>
      <c r="G9" s="1133"/>
      <c r="H9" s="2368"/>
      <c r="I9" s="2368"/>
      <c r="J9" s="2368"/>
      <c r="K9" s="2368"/>
      <c r="L9" s="2368"/>
      <c r="M9" s="2368"/>
      <c r="N9" s="2368"/>
      <c r="O9" s="2368"/>
      <c r="P9" s="2368"/>
      <c r="Q9" s="2368"/>
      <c r="R9" s="2368"/>
    </row>
    <row r="10" spans="1:29" s="117" customFormat="1" ht="15.75" thickBot="1">
      <c r="A10" s="2381"/>
      <c r="B10" s="2382" t="s">
        <v>2105</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67" t="s">
        <v>2086</v>
      </c>
      <c r="C15" s="2403" t="str">
        <f>C3</f>
        <v>估价对象周边居住用地比例、居住小区规模和社区发展完善程度，综合评价居住社区成熟度一般</v>
      </c>
      <c r="D15" s="2371"/>
      <c r="E15" s="2404" t="s">
        <v>2110</v>
      </c>
      <c r="F15" s="1267" t="s">
        <v>2111</v>
      </c>
      <c r="G15" s="135" t="str">
        <f>G3</f>
        <v>估价对象位于XX开发区，园区建设成熟度XX，产业集聚程度XX</v>
      </c>
    </row>
    <row r="16" spans="1:29" ht="42.75">
      <c r="A16" s="645"/>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5"/>
      <c r="B17" s="2405" t="s">
        <v>2094</v>
      </c>
      <c r="C17" s="2406" t="str">
        <f>C5</f>
        <v>估价对象位于XX商圈，周边办公楼项目较多，入驻率高，办公集聚程度较好</v>
      </c>
      <c r="D17" s="2377"/>
      <c r="E17" s="2407"/>
      <c r="F17" s="2408" t="s">
        <v>2112</v>
      </c>
      <c r="G17" s="1569"/>
    </row>
    <row r="18" spans="1:18" ht="57">
      <c r="A18" s="645"/>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5"/>
      <c r="B19" s="2408" t="s">
        <v>2113</v>
      </c>
      <c r="C19" s="1569"/>
      <c r="D19" s="2371"/>
      <c r="E19" s="2407"/>
      <c r="F19" s="1795" t="s">
        <v>2096</v>
      </c>
      <c r="G19" s="136" t="str">
        <f>G5</f>
        <v>估价对象所在区域公共配套设施齐备情况</v>
      </c>
    </row>
    <row r="20" spans="1:18" ht="28.5">
      <c r="A20" s="645"/>
      <c r="B20" s="2408" t="s">
        <v>2114</v>
      </c>
      <c r="C20" s="2406" t="str">
        <f>C9</f>
        <v>区域自然环境：；人文环境；综合评价环境状况一般</v>
      </c>
      <c r="D20" s="2377"/>
      <c r="E20" s="2407"/>
      <c r="F20" s="1795" t="s">
        <v>2115</v>
      </c>
      <c r="G20" s="136" t="str">
        <f>G6</f>
        <v>估价对象所在区域基础设施水平</v>
      </c>
    </row>
    <row r="21" spans="1:18" ht="28.5">
      <c r="A21" s="645"/>
      <c r="B21" s="1795" t="s">
        <v>2096</v>
      </c>
      <c r="C21" s="136" t="str">
        <f>C7</f>
        <v>估价对象所在区域公共配套设施齐备情况</v>
      </c>
      <c r="D21" s="2371"/>
      <c r="E21" s="2407"/>
      <c r="F21" s="2408" t="s">
        <v>2116</v>
      </c>
      <c r="G21" s="2409"/>
    </row>
    <row r="22" spans="1:18" ht="13.5" customHeight="1">
      <c r="A22" s="645"/>
      <c r="B22" s="1795" t="s">
        <v>2099</v>
      </c>
      <c r="C22" s="136" t="str">
        <f>C8</f>
        <v>估价对象所在区域基础设施水平</v>
      </c>
      <c r="D22" s="2371"/>
      <c r="E22" s="2407"/>
      <c r="F22" s="2408" t="s">
        <v>2105</v>
      </c>
      <c r="G22" s="1569"/>
    </row>
    <row r="23" spans="1:18" s="2368" customFormat="1" ht="15.75" thickBot="1">
      <c r="A23" s="645"/>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94992.88</v>
      </c>
      <c r="C1" s="1742"/>
      <c r="D1" s="1742"/>
      <c r="E1" s="1742"/>
      <c r="F1" s="1742"/>
      <c r="G1" s="1740"/>
    </row>
    <row r="2" spans="1:10" ht="16.5">
      <c r="A2" s="1743" t="s">
        <v>1349</v>
      </c>
      <c r="B2" s="1743">
        <f>SUM(C14:C23)</f>
        <v>21344.57</v>
      </c>
      <c r="C2" s="1742"/>
      <c r="D2" s="1742"/>
      <c r="E2" s="1742"/>
      <c r="F2" s="1742"/>
      <c r="G2" s="1740"/>
    </row>
    <row r="3" spans="1:10" ht="16.5">
      <c r="A3" s="1743" t="s">
        <v>1358</v>
      </c>
      <c r="B3" s="1744">
        <f>项目基本情况!D3</f>
        <v>43614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81902</v>
      </c>
      <c r="C5" s="1743">
        <f ca="1">ROUND(B5*10000/$B$1,0)</f>
        <v>8622</v>
      </c>
      <c r="D5" s="1743">
        <f ca="1">ROUND(B5*10000/$B$2,0)</f>
        <v>38371</v>
      </c>
      <c r="E5" s="1742"/>
      <c r="F5" s="1740"/>
      <c r="G5" s="1740"/>
    </row>
    <row r="6" spans="1:10" ht="16.5">
      <c r="A6" s="1743" t="s">
        <v>1352</v>
      </c>
      <c r="B6" s="1743">
        <f ca="1">SUM(G14:G23)</f>
        <v>81902</v>
      </c>
      <c r="C6" s="1743">
        <f ca="1">ROUND(B6*10000/$B$1,0)</f>
        <v>8622</v>
      </c>
      <c r="D6" s="1743">
        <f ca="1">ROUND(B6*10000/$B$2,0)</f>
        <v>38371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 ca="1">SUM(I14:I23)</f>
        <v>35504</v>
      </c>
      <c r="C8" s="1743">
        <f ca="1">ROUND(B8*10000/$B$1,0)</f>
        <v>3738</v>
      </c>
      <c r="D8" s="1743">
        <f ca="1">ROUND(B8*10000/$B$2,0)</f>
        <v>16634</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94992.88</v>
      </c>
      <c r="C14" s="1741">
        <f>结果表!C118</f>
        <v>21344.57</v>
      </c>
      <c r="D14" s="1741">
        <f ca="1">结果表!H118</f>
        <v>81902</v>
      </c>
      <c r="E14" s="1741">
        <f ca="1">ROUND(D14*10000/B14,0)</f>
        <v>8622</v>
      </c>
      <c r="F14" s="1741">
        <f ca="1">ROUND(D14*10000/C14,0)</f>
        <v>38371</v>
      </c>
      <c r="G14" s="1741">
        <f ca="1">结果表!D122</f>
        <v>81902</v>
      </c>
      <c r="H14" s="1741" t="str">
        <f>结果表!D124</f>
        <v>——</v>
      </c>
      <c r="I14" s="1741">
        <f ca="1">结果表!D126</f>
        <v>35504</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1" sqref="I2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c r="D1" s="2419"/>
      <c r="E1" s="2419"/>
      <c r="F1" s="2421" t="s">
        <v>2120</v>
      </c>
      <c r="G1" s="2071" t="s">
        <v>2121</v>
      </c>
      <c r="H1" s="2422" t="str">
        <f>IF(G1="现房","——","估价对象范围")</f>
        <v>估价对象范围</v>
      </c>
      <c r="I1" s="2423" t="s">
        <v>3100</v>
      </c>
    </row>
    <row r="2" spans="1:12" ht="21.75" customHeight="1" thickBot="1">
      <c r="A2" s="3086" t="str">
        <f>项目基本情况!S2</f>
        <v>出让国有建设用地使用权及在建建筑物房地产</v>
      </c>
      <c r="B2" s="3087"/>
      <c r="C2" s="3087"/>
      <c r="D2" s="3087"/>
      <c r="E2" s="3087"/>
      <c r="F2" s="3087"/>
      <c r="G2" s="3087"/>
      <c r="H2" s="3087"/>
      <c r="I2" s="3088"/>
    </row>
    <row r="3" spans="1:12" ht="12.75">
      <c r="A3" s="3090" t="s">
        <v>2122</v>
      </c>
      <c r="B3" s="3091"/>
      <c r="C3" s="3091"/>
      <c r="D3" s="3091"/>
      <c r="E3" s="3091"/>
      <c r="F3" s="3091"/>
      <c r="G3" s="3091"/>
      <c r="H3" s="3091"/>
      <c r="I3" s="3091"/>
    </row>
    <row r="4" spans="1:12" ht="14.25">
      <c r="A4" s="2426" t="s">
        <v>2123</v>
      </c>
      <c r="B4" s="2427" t="s">
        <v>2124</v>
      </c>
      <c r="C4" s="2428" t="s">
        <v>3099</v>
      </c>
      <c r="D4" s="2428" t="s">
        <v>3098</v>
      </c>
      <c r="E4" s="3083" t="s">
        <v>2125</v>
      </c>
      <c r="F4" s="3084"/>
      <c r="G4" s="3084"/>
      <c r="H4" s="3084"/>
      <c r="I4" s="309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66" t="s">
        <v>2126</v>
      </c>
      <c r="B5" s="3004">
        <v>25</v>
      </c>
      <c r="C5" s="3069"/>
      <c r="D5" s="3089"/>
      <c r="E5" s="140" t="s">
        <v>2127</v>
      </c>
      <c r="F5" s="2430"/>
      <c r="G5" s="2430"/>
      <c r="H5" s="2430"/>
      <c r="I5" s="1831"/>
    </row>
    <row r="6" spans="1:12" ht="12.75">
      <c r="A6" s="3066"/>
      <c r="B6" s="3004"/>
      <c r="C6" s="3070"/>
      <c r="D6" s="3089"/>
      <c r="E6" s="140" t="s">
        <v>2128</v>
      </c>
      <c r="F6" s="2430"/>
      <c r="G6" s="2430"/>
      <c r="H6" s="2430"/>
      <c r="I6" s="1831"/>
    </row>
    <row r="7" spans="1:12" ht="12.75">
      <c r="A7" s="3066"/>
      <c r="B7" s="3004"/>
      <c r="C7" s="3071"/>
      <c r="D7" s="3089"/>
      <c r="E7" s="140" t="s">
        <v>2129</v>
      </c>
      <c r="F7" s="2430"/>
      <c r="G7" s="2430"/>
      <c r="H7" s="2430"/>
      <c r="I7" s="1831"/>
    </row>
    <row r="8" spans="1:12" ht="12.75">
      <c r="A8" s="3066" t="s">
        <v>2130</v>
      </c>
      <c r="B8" s="3004">
        <v>15</v>
      </c>
      <c r="C8" s="3069"/>
      <c r="D8" s="3089"/>
      <c r="E8" s="140" t="s">
        <v>2131</v>
      </c>
      <c r="F8" s="2430"/>
      <c r="G8" s="2430"/>
      <c r="H8" s="2430"/>
      <c r="I8" s="1831"/>
    </row>
    <row r="9" spans="1:12" ht="12.75">
      <c r="A9" s="3066"/>
      <c r="B9" s="3004"/>
      <c r="C9" s="3071"/>
      <c r="D9" s="3089"/>
      <c r="E9" s="140" t="s">
        <v>2132</v>
      </c>
      <c r="F9" s="2430"/>
      <c r="G9" s="2430"/>
      <c r="H9" s="2430"/>
      <c r="I9" s="1831"/>
    </row>
    <row r="10" spans="1:12" ht="12.75">
      <c r="A10" s="3066" t="s">
        <v>2133</v>
      </c>
      <c r="B10" s="3004">
        <v>15</v>
      </c>
      <c r="C10" s="3069"/>
      <c r="D10" s="3089"/>
      <c r="E10" s="140" t="s">
        <v>2134</v>
      </c>
      <c r="F10" s="2430"/>
      <c r="G10" s="2430"/>
      <c r="H10" s="2430"/>
      <c r="I10" s="1831"/>
    </row>
    <row r="11" spans="1:12" ht="12.75">
      <c r="A11" s="3066"/>
      <c r="B11" s="3004"/>
      <c r="C11" s="3071"/>
      <c r="D11" s="3089"/>
      <c r="E11" s="140" t="s">
        <v>2135</v>
      </c>
      <c r="F11" s="2430"/>
      <c r="G11" s="2430"/>
      <c r="H11" s="2430"/>
      <c r="I11" s="1831"/>
    </row>
    <row r="12" spans="1:12" ht="12.75">
      <c r="A12" s="3066" t="s">
        <v>2136</v>
      </c>
      <c r="B12" s="3004">
        <v>15</v>
      </c>
      <c r="C12" s="3069"/>
      <c r="D12" s="3089"/>
      <c r="E12" s="140" t="s">
        <v>2137</v>
      </c>
      <c r="F12" s="2430"/>
      <c r="G12" s="2430"/>
      <c r="H12" s="2430"/>
      <c r="I12" s="1831"/>
    </row>
    <row r="13" spans="1:12" ht="12.75">
      <c r="A13" s="3066"/>
      <c r="B13" s="3004"/>
      <c r="C13" s="3071"/>
      <c r="D13" s="3089"/>
      <c r="E13" s="140" t="s">
        <v>2138</v>
      </c>
      <c r="F13" s="2430"/>
      <c r="G13" s="2430"/>
      <c r="H13" s="2430"/>
      <c r="I13" s="1831"/>
    </row>
    <row r="14" spans="1:12" ht="12.75">
      <c r="A14" s="3066" t="s">
        <v>2139</v>
      </c>
      <c r="B14" s="3004">
        <v>30</v>
      </c>
      <c r="C14" s="3069">
        <v>3</v>
      </c>
      <c r="D14" s="3089">
        <v>7</v>
      </c>
      <c r="E14" s="140" t="s">
        <v>2140</v>
      </c>
      <c r="F14" s="2430"/>
      <c r="G14" s="2430"/>
      <c r="H14" s="2430"/>
      <c r="I14" s="1831"/>
    </row>
    <row r="15" spans="1:12" ht="12.75">
      <c r="A15" s="3066"/>
      <c r="B15" s="3004"/>
      <c r="C15" s="3070"/>
      <c r="D15" s="3089"/>
      <c r="E15" s="140" t="s">
        <v>2141</v>
      </c>
      <c r="F15" s="2430"/>
      <c r="G15" s="2430"/>
      <c r="H15" s="2430"/>
      <c r="I15" s="1831"/>
    </row>
    <row r="16" spans="1:12" ht="12.75">
      <c r="A16" s="3066"/>
      <c r="B16" s="3004"/>
      <c r="C16" s="3071"/>
      <c r="D16" s="3089"/>
      <c r="E16" s="140" t="s">
        <v>2142</v>
      </c>
      <c r="F16" s="2430"/>
      <c r="G16" s="2430"/>
      <c r="H16" s="2430"/>
      <c r="I16" s="1831"/>
    </row>
    <row r="17" spans="1:35" ht="15">
      <c r="A17" s="2431" t="s">
        <v>2143</v>
      </c>
      <c r="B17" s="64"/>
      <c r="C17" s="141">
        <f>SUM(C5:C16)</f>
        <v>3</v>
      </c>
      <c r="D17" s="141">
        <f>SUM(D5:D16)</f>
        <v>7</v>
      </c>
      <c r="E17" s="138"/>
      <c r="F17" s="138"/>
      <c r="G17" s="138"/>
      <c r="H17" s="138"/>
      <c r="I17" s="138"/>
      <c r="K17" s="2429"/>
      <c r="L17" s="2432" t="s">
        <v>2144</v>
      </c>
      <c r="M17" s="2432" t="s">
        <v>2145</v>
      </c>
    </row>
    <row r="18" spans="1:35" ht="15.75" thickBot="1">
      <c r="A18" s="2433" t="s">
        <v>2146</v>
      </c>
      <c r="B18" s="2434"/>
      <c r="C18" s="142">
        <f>ROUND(C17/SUM(C17:D17),2)</f>
        <v>0.3</v>
      </c>
      <c r="D18" s="142">
        <f>1-C18</f>
        <v>0.7</v>
      </c>
      <c r="E18" s="138"/>
      <c r="F18" s="138"/>
      <c r="G18" s="138"/>
      <c r="H18" s="138"/>
      <c r="I18" s="138"/>
      <c r="K18" s="2429" t="s">
        <v>2147</v>
      </c>
      <c r="L18" s="2429">
        <f>IF(C1="",'数据-汇总表'!E3,SUMIF(项目类型,C1,'数据-汇总表'!E17:E26)+SUMIF(项目类型,C1,'数据-汇总表'!I17:I26))</f>
        <v>94992.88</v>
      </c>
      <c r="M18" s="2429">
        <f>IF(C1="",'数据-汇总表'!E3,SUMIF(项目类型,C1,'数据-汇总表'!E17:E26))</f>
        <v>94992.88</v>
      </c>
    </row>
    <row r="19" spans="1:35" ht="15">
      <c r="A19" s="2435" t="s">
        <v>2148</v>
      </c>
      <c r="B19" s="2436" t="s">
        <v>2149</v>
      </c>
      <c r="C19" s="143">
        <f ca="1">SUMIF(INDIRECT("'"&amp;C4&amp;"'"&amp;"!A:A"),结果表!B19,INDIRECT("'"&amp;C4&amp;"'"&amp;"!B:B"))</f>
        <v>63880</v>
      </c>
      <c r="D19" s="144">
        <f ca="1">SUMIF(INDIRECT("'"&amp;D4&amp;"'"&amp;"!A:A"),结果表!B19,INDIRECT("'"&amp;D4&amp;"'"&amp;"!B:B"))</f>
        <v>89626</v>
      </c>
      <c r="E19" s="2435" t="s">
        <v>2150</v>
      </c>
      <c r="F19" s="2436" t="s">
        <v>2149</v>
      </c>
      <c r="G19" s="145">
        <f ca="1">ROUND(C19*$C$18+D19*$D$18,0)</f>
        <v>81902</v>
      </c>
      <c r="H19" s="2437" t="s">
        <v>2151</v>
      </c>
      <c r="I19" s="138"/>
      <c r="K19" s="2429" t="s">
        <v>2152</v>
      </c>
      <c r="L19" s="2429">
        <f>IF(C1="",'数据-汇总表'!D3,SUMIF(项目类型,C1,'数据-汇总表'!D17:D26)+SUMIF(项目类型,C1,'数据-汇总表'!H17:H27))</f>
        <v>21344.57</v>
      </c>
      <c r="M19" s="2429">
        <f>IF(C1="",'数据-汇总表'!D3,SUMIF(项目类型,C1,'数据-汇总表'!D17:D26))</f>
        <v>21344.57</v>
      </c>
    </row>
    <row r="20" spans="1:35" ht="15">
      <c r="A20" s="2438"/>
      <c r="B20" s="1247" t="s">
        <v>2153</v>
      </c>
      <c r="C20" s="146">
        <f ca="1">SUMIF(INDIRECT("'"&amp;C4&amp;"'"&amp;"!A:A"),结果表!B20,INDIRECT("'"&amp;C4&amp;"'"&amp;"!B:B"))</f>
        <v>6725</v>
      </c>
      <c r="D20" s="147">
        <f ca="1">SUMIF(INDIRECT("'"&amp;D4&amp;"'"&amp;"!A:A"),结果表!B20,INDIRECT("'"&amp;D4&amp;"'"&amp;"!B:B"))</f>
        <v>9435</v>
      </c>
      <c r="E20" s="2438"/>
      <c r="F20" s="1247" t="s">
        <v>2153</v>
      </c>
      <c r="G20" s="148">
        <f ca="1">ROUND(C20*$C$18+D20*$D$18,0)</f>
        <v>8622</v>
      </c>
      <c r="H20" s="980" t="s">
        <v>2154</v>
      </c>
      <c r="I20" s="138"/>
    </row>
    <row r="21" spans="1:35" ht="15" customHeight="1" thickBot="1">
      <c r="A21" s="1000"/>
      <c r="B21" s="2439" t="s">
        <v>2155</v>
      </c>
      <c r="C21" s="789">
        <f ca="1">ROUND(C19*10000/L19,0)</f>
        <v>29928</v>
      </c>
      <c r="D21" s="790">
        <f ca="1">ROUND(D19*10000/L19,0)</f>
        <v>41990</v>
      </c>
      <c r="E21" s="1000"/>
      <c r="F21" s="2439" t="s">
        <v>2155</v>
      </c>
      <c r="G21" s="149">
        <f ca="1">ROUND(G19*10000/L19,0)</f>
        <v>38371</v>
      </c>
      <c r="H21" s="2440" t="s">
        <v>2154</v>
      </c>
      <c r="I21" s="138"/>
    </row>
    <row r="22" spans="1:35" ht="15" thickBot="1">
      <c r="A22" s="2281" t="s">
        <v>2156</v>
      </c>
      <c r="B22" s="2441"/>
      <c r="C22" s="2442"/>
      <c r="D22" s="791">
        <f ca="1">IF(C19&lt;D19,D19/C19-1,C19/D19-1)</f>
        <v>0.40303694427050729</v>
      </c>
      <c r="E22" s="138"/>
      <c r="F22" s="138"/>
      <c r="G22" s="138"/>
      <c r="H22" s="138"/>
      <c r="I22" s="138"/>
    </row>
    <row r="23" spans="1:35" ht="13.5" thickBot="1">
      <c r="A23" s="2419"/>
      <c r="B23" s="2419"/>
      <c r="C23" s="2419"/>
      <c r="D23" s="2419"/>
      <c r="E23" s="138"/>
      <c r="F23" s="138"/>
      <c r="G23" s="138"/>
      <c r="H23" s="138"/>
      <c r="I23" s="138"/>
    </row>
    <row r="24" spans="1:35" ht="14.25">
      <c r="A24" s="3060" t="s">
        <v>2157</v>
      </c>
      <c r="B24" s="2436" t="s">
        <v>2149</v>
      </c>
      <c r="C24" s="145">
        <f>IF(B30=0,0,D30)</f>
        <v>0</v>
      </c>
      <c r="D24" s="2443"/>
      <c r="E24" s="138"/>
      <c r="F24" s="138"/>
      <c r="G24" s="138"/>
      <c r="H24" s="138"/>
      <c r="I24" s="138"/>
    </row>
    <row r="25" spans="1:35" ht="14.25">
      <c r="A25" s="3061"/>
      <c r="B25" s="1247"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1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81902</v>
      </c>
      <c r="D32" s="2450" t="s">
        <v>2164</v>
      </c>
      <c r="E32" s="138"/>
      <c r="F32" s="138"/>
      <c r="G32" s="138"/>
      <c r="H32" s="138"/>
      <c r="I32" s="138"/>
    </row>
    <row r="33" spans="1:15" ht="15">
      <c r="A33" s="957"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078" t="s">
        <v>2171</v>
      </c>
      <c r="B36" s="2462" t="s">
        <v>2172</v>
      </c>
      <c r="C36" s="154"/>
      <c r="D36" s="2463"/>
      <c r="E36" s="2464"/>
      <c r="F36" s="2465"/>
      <c r="G36" s="138"/>
      <c r="H36" s="138"/>
      <c r="I36" s="138"/>
    </row>
    <row r="37" spans="1:15" ht="15.75" thickBot="1">
      <c r="A37" s="3079"/>
      <c r="B37" s="2267" t="s">
        <v>2173</v>
      </c>
      <c r="C37" s="156"/>
      <c r="D37" s="1392"/>
      <c r="E37" s="1392"/>
      <c r="F37" s="2465"/>
      <c r="G37" s="138"/>
      <c r="H37" s="138"/>
      <c r="I37" s="138"/>
    </row>
    <row r="38" spans="1:15" ht="15.75" thickBot="1">
      <c r="A38" s="3080"/>
      <c r="B38" s="2466" t="s">
        <v>2174</v>
      </c>
      <c r="C38" s="727"/>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57" t="s">
        <v>2185</v>
      </c>
      <c r="B45" s="3058"/>
      <c r="C45" s="3059"/>
      <c r="D45" s="164">
        <f ca="1">ROUND(H101*F45,0)</f>
        <v>81902</v>
      </c>
      <c r="E45" s="165" t="s">
        <v>2186</v>
      </c>
      <c r="F45" s="166">
        <v>1</v>
      </c>
      <c r="G45" s="167" t="s">
        <v>2187</v>
      </c>
      <c r="H45" s="138"/>
      <c r="I45" s="138"/>
      <c r="J45" s="3117" t="s">
        <v>2188</v>
      </c>
      <c r="K45" s="3117"/>
      <c r="L45" s="3117"/>
      <c r="M45" s="3117"/>
      <c r="N45" s="3117"/>
      <c r="O45" s="3117"/>
    </row>
    <row r="46" spans="1:15" ht="14.25" customHeight="1">
      <c r="A46" s="3054" t="s">
        <v>2189</v>
      </c>
      <c r="B46" s="3055"/>
      <c r="C46" s="3055"/>
      <c r="D46" s="3055"/>
      <c r="E46" s="3055"/>
      <c r="F46" s="3055"/>
      <c r="G46" s="3056"/>
      <c r="H46" s="2481"/>
      <c r="I46" s="168"/>
      <c r="J46" s="1809">
        <v>1</v>
      </c>
      <c r="K46" s="3117" t="s">
        <v>2190</v>
      </c>
      <c r="L46" s="3117"/>
      <c r="M46" s="3137"/>
      <c r="N46" s="3137"/>
      <c r="O46" s="3137"/>
    </row>
    <row r="47" spans="1:15" ht="12" customHeight="1">
      <c r="A47" s="169" t="s">
        <v>2191</v>
      </c>
      <c r="B47" s="170"/>
      <c r="C47" s="171"/>
      <c r="D47" s="172" t="s">
        <v>2192</v>
      </c>
      <c r="E47" s="24" t="s">
        <v>2193</v>
      </c>
      <c r="F47" s="173" t="s">
        <v>2194</v>
      </c>
      <c r="G47" s="174" t="s">
        <v>2195</v>
      </c>
      <c r="H47" s="2481"/>
      <c r="I47" s="168"/>
      <c r="J47" s="1809">
        <v>2</v>
      </c>
      <c r="K47" s="3117" t="s">
        <v>2196</v>
      </c>
      <c r="L47" s="3117"/>
      <c r="M47" s="3138">
        <f>'数据-取费表'!B2</f>
        <v>43614</v>
      </c>
      <c r="N47" s="3138"/>
      <c r="O47" s="3138"/>
    </row>
    <row r="48" spans="1:15" ht="25.5">
      <c r="A48" s="3085" t="s">
        <v>2197</v>
      </c>
      <c r="B48" s="3068"/>
      <c r="C48" s="3068"/>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17" t="s">
        <v>2200</v>
      </c>
      <c r="L48" s="3117"/>
      <c r="M48" s="3139">
        <f ca="1">H101</f>
        <v>81902</v>
      </c>
      <c r="N48" s="3139"/>
      <c r="O48" s="3139"/>
    </row>
    <row r="49" spans="1:35" ht="25.5" customHeight="1">
      <c r="A49" s="176" t="s">
        <v>2201</v>
      </c>
      <c r="B49" s="3053" t="s">
        <v>2202</v>
      </c>
      <c r="C49" s="3053"/>
      <c r="D49" s="177">
        <v>0</v>
      </c>
      <c r="E49" s="23" t="s">
        <v>2203</v>
      </c>
      <c r="F49" s="28" t="s">
        <v>34</v>
      </c>
      <c r="G49" s="3123"/>
      <c r="H49" s="138"/>
      <c r="I49" s="2484"/>
      <c r="J49" s="1809">
        <v>4</v>
      </c>
      <c r="K49" s="3117" t="str">
        <f>IF(项目基本情况!E8="房地产抵押价值","房地产抵押价值","抵押担保权已注销时的房地产抵押价值")</f>
        <v>房地产抵押价值</v>
      </c>
      <c r="L49" s="3117"/>
      <c r="M49" s="3139">
        <f ca="1">IF(项目基本情况!E8="房地产抵押价值",H107,H109)</f>
        <v>81902</v>
      </c>
      <c r="N49" s="3139"/>
      <c r="O49" s="3139"/>
    </row>
    <row r="50" spans="1:35" ht="25.5" customHeight="1">
      <c r="A50" s="178"/>
      <c r="B50" s="3053" t="s">
        <v>2204</v>
      </c>
      <c r="C50" s="3053"/>
      <c r="D50" s="179"/>
      <c r="E50" s="31"/>
      <c r="F50" s="180"/>
      <c r="G50" s="3124"/>
      <c r="H50" s="138"/>
      <c r="I50" s="2484"/>
      <c r="J50" s="3117" t="s">
        <v>2205</v>
      </c>
      <c r="K50" s="3117"/>
      <c r="L50" s="3117"/>
      <c r="M50" s="3117"/>
      <c r="N50" s="3117"/>
      <c r="O50" s="3117"/>
    </row>
    <row r="51" spans="1:35" ht="12" customHeight="1">
      <c r="A51" s="181"/>
      <c r="B51" s="3053" t="s">
        <v>2206</v>
      </c>
      <c r="C51" s="3053"/>
      <c r="D51" s="182"/>
      <c r="E51" s="30"/>
      <c r="F51" s="180"/>
      <c r="G51" s="3125"/>
      <c r="H51" s="138"/>
      <c r="I51" s="2484"/>
      <c r="J51" s="2485" t="s">
        <v>2207</v>
      </c>
      <c r="K51" s="3117" t="s">
        <v>2208</v>
      </c>
      <c r="L51" s="3117"/>
      <c r="M51" s="2485" t="s">
        <v>2209</v>
      </c>
      <c r="N51" s="2485" t="s">
        <v>2210</v>
      </c>
      <c r="O51" s="2485" t="s">
        <v>2211</v>
      </c>
    </row>
    <row r="52" spans="1:35" ht="24" customHeight="1">
      <c r="A52" s="183" t="s">
        <v>2212</v>
      </c>
      <c r="B52" s="3053" t="s">
        <v>2213</v>
      </c>
      <c r="C52" s="3053"/>
      <c r="D52" s="182">
        <f ca="1">ROUND(D45*'数据-取费表'!B41/(1+'数据-取费表'!C42),0)</f>
        <v>4368</v>
      </c>
      <c r="E52" s="11" t="s">
        <v>2214</v>
      </c>
      <c r="F52" s="184">
        <f>'数据-取费表'!B41</f>
        <v>5.6000000000000001E-2</v>
      </c>
      <c r="G52" s="2486"/>
      <c r="H52" s="138"/>
      <c r="I52" s="2484"/>
      <c r="J52" s="1809">
        <v>1</v>
      </c>
      <c r="K52" s="3118" t="s">
        <v>2215</v>
      </c>
      <c r="L52" s="3118"/>
      <c r="M52" s="1751">
        <f>D48</f>
        <v>0</v>
      </c>
      <c r="N52" s="1809" t="str">
        <f>E48</f>
        <v>销售额×税（费）率</v>
      </c>
      <c r="O52" s="1752" t="str">
        <f>F48</f>
        <v>免征</v>
      </c>
    </row>
    <row r="53" spans="1:35" ht="12" customHeight="1">
      <c r="A53" s="183" t="s">
        <v>2216</v>
      </c>
      <c r="B53" s="3076" t="s">
        <v>2217</v>
      </c>
      <c r="C53" s="3077"/>
      <c r="D53" s="182">
        <f ca="1">ROUND(D45*'数据-取费表'!B41/(1+'数据-取费表'!C42),0)</f>
        <v>4368</v>
      </c>
      <c r="E53" s="11" t="s">
        <v>2214</v>
      </c>
      <c r="F53" s="184">
        <f>'数据-取费表'!B41</f>
        <v>5.6000000000000001E-2</v>
      </c>
      <c r="G53" s="2486"/>
      <c r="H53" s="138"/>
      <c r="I53" s="2484"/>
      <c r="J53" s="1809">
        <v>2</v>
      </c>
      <c r="K53" s="3118" t="s">
        <v>2218</v>
      </c>
      <c r="L53" s="3118"/>
      <c r="M53" s="1751">
        <f t="shared" ref="M53:O54" ca="1" si="0">D55</f>
        <v>41</v>
      </c>
      <c r="N53" s="1809" t="str">
        <f t="shared" si="0"/>
        <v>销售额×税（费）率</v>
      </c>
      <c r="O53" s="1752">
        <f t="shared" si="0"/>
        <v>5.0000000000000001E-4</v>
      </c>
    </row>
    <row r="54" spans="1:35" ht="12" customHeight="1">
      <c r="A54" s="183" t="s">
        <v>2219</v>
      </c>
      <c r="B54" s="3076" t="s">
        <v>2220</v>
      </c>
      <c r="C54" s="3077"/>
      <c r="D54" s="182">
        <f ca="1">C68</f>
        <v>4368</v>
      </c>
      <c r="E54" s="30" t="s">
        <v>2221</v>
      </c>
      <c r="F54" s="184">
        <f>'数据-取费表'!B41</f>
        <v>5.6000000000000001E-2</v>
      </c>
      <c r="G54" s="2486"/>
      <c r="H54" s="2487"/>
      <c r="I54" s="2484"/>
      <c r="J54" s="1809">
        <v>3</v>
      </c>
      <c r="K54" s="3118" t="s">
        <v>2222</v>
      </c>
      <c r="L54" s="3118"/>
      <c r="M54" s="1751">
        <f t="shared" ca="1" si="0"/>
        <v>46357</v>
      </c>
      <c r="N54" s="1809" t="str">
        <f t="shared" si="0"/>
        <v>增值额×税（费）率</v>
      </c>
      <c r="O54" s="1753" t="str">
        <f t="shared" si="0"/>
        <v>——</v>
      </c>
    </row>
    <row r="55" spans="1:35" ht="24" customHeight="1">
      <c r="A55" s="3067" t="s">
        <v>2223</v>
      </c>
      <c r="B55" s="3068"/>
      <c r="C55" s="3068"/>
      <c r="D55" s="185">
        <f ca="1">IF(H55="个人住宅",0,ROUND(D45*I55,0))</f>
        <v>41</v>
      </c>
      <c r="E55" s="11" t="s">
        <v>2224</v>
      </c>
      <c r="F55" s="184">
        <f>IF(H55="正常",I55,"免征")</f>
        <v>5.0000000000000001E-4</v>
      </c>
      <c r="G55" s="2486"/>
      <c r="H55" s="2483" t="s">
        <v>2225</v>
      </c>
      <c r="I55" s="186">
        <f>'数据-取费表'!B49</f>
        <v>5.0000000000000001E-4</v>
      </c>
      <c r="J55" s="1809" t="str">
        <f>IF(H59="非个人房产","",4)</f>
        <v/>
      </c>
      <c r="K55" s="3118" t="str">
        <f>IF(H59="非个人房产","——","个人所得税")</f>
        <v>——</v>
      </c>
      <c r="L55" s="3118"/>
      <c r="M55" s="1754" t="str">
        <f>D59</f>
        <v>——</v>
      </c>
      <c r="N55" s="1807" t="str">
        <f>E59</f>
        <v>——</v>
      </c>
      <c r="O55" s="1755" t="str">
        <f>F59</f>
        <v>——</v>
      </c>
    </row>
    <row r="56" spans="1:35" ht="24.75">
      <c r="A56" s="3067" t="s">
        <v>2226</v>
      </c>
      <c r="B56" s="3068"/>
      <c r="C56" s="3068"/>
      <c r="D56" s="185">
        <f ca="1">IF(H56="个人住宅",D57,D58)</f>
        <v>46357</v>
      </c>
      <c r="E56" s="11" t="s">
        <v>2227</v>
      </c>
      <c r="F56" s="184" t="str">
        <f>IF(H56="正常",F58,"免征")</f>
        <v>——</v>
      </c>
      <c r="G56" s="2488" t="s">
        <v>2228</v>
      </c>
      <c r="H56" s="2489" t="s">
        <v>2225</v>
      </c>
      <c r="I56" s="2490"/>
      <c r="J56" s="1809" t="str">
        <f>IF(项目基本情况!K6="上海银行",IF(J55="",4,J55+1),"")</f>
        <v/>
      </c>
      <c r="K56" s="3141" t="str">
        <f>IF(项目基本情况!K6="上海银行","其他处置费用","")</f>
        <v/>
      </c>
      <c r="L56" s="3142"/>
      <c r="M56" s="1751" t="str">
        <f>IF(项目基本情况!K6="上海银行",M69,"")</f>
        <v/>
      </c>
      <c r="N56" s="3144" t="str">
        <f>IF(项目基本情况!K6="上海银行","包含处置中涉及的律师、诉讼、拍卖、评估等费用","")</f>
        <v/>
      </c>
      <c r="O56" s="3145"/>
    </row>
    <row r="57" spans="1:35" ht="12.75">
      <c r="A57" s="183" t="s">
        <v>2201</v>
      </c>
      <c r="B57" s="3083" t="s">
        <v>2229</v>
      </c>
      <c r="C57" s="3092"/>
      <c r="D57" s="187">
        <v>0</v>
      </c>
      <c r="E57" s="23" t="s">
        <v>2203</v>
      </c>
      <c r="F57" s="155"/>
      <c r="G57" s="2486"/>
      <c r="H57" s="2490"/>
      <c r="I57" s="2490"/>
      <c r="J57" s="3118">
        <f>IF(AND(J55="",J56=""),4,IF(项目基本情况!K6="上海银行",结果表!J56+1,结果表!J55+1))</f>
        <v>4</v>
      </c>
      <c r="K57" s="3118" t="s">
        <v>2230</v>
      </c>
      <c r="L57" s="2491" t="s">
        <v>2231</v>
      </c>
      <c r="M57" s="1756"/>
      <c r="N57" s="1757">
        <f ca="1">SUMIF(M52:M56,"&lt;9e307")</f>
        <v>46398</v>
      </c>
      <c r="O57" s="2492"/>
      <c r="P57" s="1750">
        <f ca="1">N57/M49</f>
        <v>0.56650631242216309</v>
      </c>
    </row>
    <row r="58" spans="1:35" ht="24.75">
      <c r="A58" s="183" t="s">
        <v>2212</v>
      </c>
      <c r="B58" s="3083" t="s">
        <v>2232</v>
      </c>
      <c r="C58" s="3084"/>
      <c r="D58" s="185">
        <f ca="1">IF(H58="转让取得",C81,C97)</f>
        <v>46357</v>
      </c>
      <c r="E58" s="11" t="s">
        <v>2227</v>
      </c>
      <c r="F58" s="24" t="s">
        <v>34</v>
      </c>
      <c r="G58" s="2486"/>
      <c r="H58" s="2489" t="s">
        <v>2233</v>
      </c>
      <c r="I58" s="2490"/>
      <c r="J58" s="3118"/>
      <c r="K58" s="3118"/>
      <c r="L58" s="2491" t="s">
        <v>2234</v>
      </c>
      <c r="M58" s="1758"/>
      <c r="N58" s="2493" t="str">
        <f ca="1">NUMBERSTRING(INT(N57*10000),2)&amp;"元整"</f>
        <v>肆亿陆仟叁佰玖拾捌万元整</v>
      </c>
      <c r="O58" s="2494"/>
    </row>
    <row r="59" spans="1:35" ht="24.75" thickBot="1">
      <c r="A59" s="3121" t="s">
        <v>2235</v>
      </c>
      <c r="B59" s="3122"/>
      <c r="C59" s="3122"/>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19">
        <f>J57+1</f>
        <v>5</v>
      </c>
      <c r="K59" s="3118" t="s">
        <v>2237</v>
      </c>
      <c r="L59" s="1809" t="s">
        <v>2231</v>
      </c>
      <c r="M59" s="1759"/>
      <c r="N59" s="1760">
        <f ca="1">M49-N57</f>
        <v>35504</v>
      </c>
      <c r="O59" s="2496"/>
    </row>
    <row r="60" spans="1:35" ht="12" customHeight="1">
      <c r="A60" s="2497"/>
      <c r="B60" s="2419"/>
      <c r="C60" s="2419"/>
      <c r="D60" s="2419"/>
      <c r="E60" s="2167"/>
      <c r="F60" s="2490"/>
      <c r="G60" s="2490"/>
      <c r="H60" s="2498"/>
      <c r="I60" s="138"/>
      <c r="J60" s="3120"/>
      <c r="K60" s="3118"/>
      <c r="L60" s="2491" t="s">
        <v>2234</v>
      </c>
      <c r="M60" s="1758"/>
      <c r="N60" s="2493" t="str">
        <f ca="1">NUMBERSTRING(INT(N59*10000),2)&amp;"元整"</f>
        <v>叁亿伍仟伍佰零肆万元整</v>
      </c>
      <c r="O60" s="2494"/>
    </row>
    <row r="61" spans="1:35" ht="13.5" thickBot="1">
      <c r="A61" s="3065" t="s">
        <v>2238</v>
      </c>
      <c r="B61" s="3065"/>
      <c r="C61" s="3065"/>
      <c r="D61" s="3065"/>
      <c r="E61" s="3065"/>
      <c r="F61" s="2490"/>
      <c r="G61" s="2490"/>
      <c r="H61" s="2498"/>
      <c r="I61" s="138"/>
      <c r="J61" s="1809">
        <f>J59+1</f>
        <v>6</v>
      </c>
      <c r="K61" s="3118" t="s">
        <v>2239</v>
      </c>
      <c r="L61" s="3118"/>
      <c r="M61" s="1761"/>
      <c r="N61" s="1762">
        <f ca="1">ROUND(N59*10000/'数据-汇总表'!E3,0)</f>
        <v>3738</v>
      </c>
      <c r="O61" s="2499"/>
    </row>
    <row r="62" spans="1:35" ht="12.75">
      <c r="A62" s="3081" t="s">
        <v>2240</v>
      </c>
      <c r="B62" s="3082"/>
      <c r="C62" s="1801"/>
      <c r="D62" s="1801" t="s">
        <v>2241</v>
      </c>
      <c r="E62" s="192" t="s">
        <v>2242</v>
      </c>
      <c r="F62" s="2490"/>
      <c r="G62" s="2490"/>
      <c r="H62" s="2498"/>
      <c r="I62" s="138"/>
    </row>
    <row r="63" spans="1:35" ht="12.75">
      <c r="A63" s="203" t="s">
        <v>775</v>
      </c>
      <c r="B63" s="193" t="s">
        <v>2243</v>
      </c>
      <c r="C63" s="194">
        <f ca="1">ROUND((C64+C65)/(1+'数据-取费表'!C42),0)</f>
        <v>78002</v>
      </c>
      <c r="D63" s="195"/>
      <c r="E63" s="196"/>
      <c r="F63" s="2490"/>
      <c r="G63" s="2490"/>
      <c r="H63" s="2498"/>
      <c r="I63" s="138"/>
      <c r="J63" s="3143" t="s">
        <v>2244</v>
      </c>
      <c r="K63" s="2500" t="s">
        <v>2245</v>
      </c>
      <c r="L63" s="1749">
        <f ca="1">IF(M49&gt;10000,M49*0.5%,IF(AND(M49&gt;1000,M49&lt;=10000),M49*1%,IF(AND(M49&gt;100,M49&lt;=1000),M49*3%,IF(AND(M49&gt;10,M49&lt;=100),M49*5%,M49*8%))))</f>
        <v>409.51</v>
      </c>
      <c r="M63" s="24">
        <f ca="1">ROUND(L63,1)</f>
        <v>409.5</v>
      </c>
      <c r="Z63" s="2424"/>
      <c r="AI63" s="2425"/>
    </row>
    <row r="64" spans="1:35" ht="14.25" customHeight="1">
      <c r="A64" s="197" t="s">
        <v>770</v>
      </c>
      <c r="B64" s="198" t="s">
        <v>2246</v>
      </c>
      <c r="C64" s="199">
        <f ca="1">D45</f>
        <v>81902</v>
      </c>
      <c r="D64" s="200" t="s">
        <v>32</v>
      </c>
      <c r="E64" s="201"/>
      <c r="F64" s="2490"/>
      <c r="G64" s="2490"/>
      <c r="H64" s="2498"/>
      <c r="I64" s="138"/>
      <c r="J64" s="3143"/>
      <c r="K64" s="2500" t="s">
        <v>2247</v>
      </c>
      <c r="L64" s="1749">
        <f ca="1">IF(M49&gt;2000,M49*0.5%,IF(AND(M49&gt;1000,M49&lt;=2000),M49*0.6%,IF(AND(M49&gt;500,M49&lt;=1000),M49*0.7%,IF(AND(M49&gt;200,M49&lt;=500),M49*0.8%,IF(AND(M49&gt;100,M49&lt;=200),M49*0.9%,IF(AND(M49&gt;50,M49&lt;=100),M49*1%,IF(AND(M49&gt;20,M49&lt;=50),M49*1.5%,IF(AND(M49&gt;10,M49&lt;=20),M49*2%,IF(AND(M49&gt;1,M49&lt;=10),M49*2.5%)))))))))</f>
        <v>409.51</v>
      </c>
      <c r="M64" s="24">
        <f t="shared" ref="M64:M65" ca="1" si="1">ROUND(L64,1)</f>
        <v>409.5</v>
      </c>
      <c r="N64" s="138" t="s">
        <v>2248</v>
      </c>
      <c r="Z64" s="2424"/>
      <c r="AI64" s="2425"/>
    </row>
    <row r="65" spans="1:35" ht="14.25" customHeight="1">
      <c r="A65" s="197" t="s">
        <v>771</v>
      </c>
      <c r="B65" s="198" t="s">
        <v>2249</v>
      </c>
      <c r="C65" s="202"/>
      <c r="D65" s="200"/>
      <c r="E65" s="201"/>
      <c r="F65" s="2490"/>
      <c r="G65" s="2490"/>
      <c r="H65" s="2498"/>
      <c r="I65" s="138"/>
      <c r="J65" s="3143"/>
      <c r="K65" s="2500" t="s">
        <v>2250</v>
      </c>
      <c r="L65" s="1749">
        <f ca="1">IF(M49&gt;1000,M49*0.1%,IF(AND(M49&gt;500,M49&lt;=1000),M49*0.5%,IF(AND(M49&gt;50,M49&lt;=500),M49*1%,IF(AND(M49&gt;1,M49&lt;=50),M49*1.5%))))</f>
        <v>81.902000000000001</v>
      </c>
      <c r="M65" s="24">
        <f t="shared" ca="1" si="1"/>
        <v>81.900000000000006</v>
      </c>
      <c r="N65" s="138" t="s">
        <v>2248</v>
      </c>
      <c r="Z65" s="2424"/>
      <c r="AI65" s="2425"/>
    </row>
    <row r="66" spans="1:35" ht="14.25" customHeight="1">
      <c r="A66" s="203" t="s">
        <v>772</v>
      </c>
      <c r="B66" s="204" t="s">
        <v>2251</v>
      </c>
      <c r="C66" s="205"/>
      <c r="D66" s="206" t="s">
        <v>32</v>
      </c>
      <c r="E66" s="1773" t="s">
        <v>1367</v>
      </c>
      <c r="F66" s="2490"/>
      <c r="G66" s="2490"/>
      <c r="H66" s="2498"/>
      <c r="I66" s="138"/>
      <c r="J66" s="3143"/>
      <c r="K66" s="2500" t="s">
        <v>2252</v>
      </c>
      <c r="L66" s="1749">
        <f ca="1">M49*0.5%</f>
        <v>409.51</v>
      </c>
      <c r="M66" s="24">
        <f ca="1">IF(L66&gt;0.5,0.5,ROUND(L66,0))</f>
        <v>0.5</v>
      </c>
      <c r="N66" s="138" t="s">
        <v>2253</v>
      </c>
      <c r="Z66" s="2424"/>
      <c r="AI66" s="2425"/>
    </row>
    <row r="67" spans="1:35" ht="14.25" customHeight="1">
      <c r="A67" s="203" t="s">
        <v>773</v>
      </c>
      <c r="B67" s="204" t="s">
        <v>2254</v>
      </c>
      <c r="C67" s="207">
        <f ca="1">C63-C66</f>
        <v>78002</v>
      </c>
      <c r="D67" s="200" t="s">
        <v>32</v>
      </c>
      <c r="E67" s="201"/>
      <c r="F67" s="2490"/>
      <c r="G67" s="2490"/>
      <c r="H67" s="2498"/>
      <c r="I67" s="138"/>
      <c r="J67" s="3143"/>
      <c r="K67" s="2500" t="s">
        <v>2255</v>
      </c>
      <c r="L67" s="1749">
        <f ca="1">IF(M49&gt;=10000,(8.25+(M49-10000)*0.01%),IF(AND(M49&gt;=8000,M49&lt;10000),(7.85+(M49-8000)*0.02%),IF(AND(M49&gt;=5000,M49&lt;8000),(6.65+(M49-5000)*0.04%),IF(AND(M49&gt;=2000,M49&lt;5000),(4.25+(PM49-2000)*0.08%),IF(AND(M49&gt;=1000,M49&lt;2000),(2.75+(M49-1000)*0.15%),IF(AND(M49&gt;=100,M49&lt;1000),(0.5+(M49-100)*0.25%),IF(AND(M49&gt;0,M49&lt;100),M49*0.5%)))))))</f>
        <v>15.440200000000001</v>
      </c>
      <c r="M67" s="24">
        <f ca="1">ROUND(L67*0.9,1)</f>
        <v>13.9</v>
      </c>
      <c r="Z67" s="2424"/>
      <c r="AI67" s="2425"/>
    </row>
    <row r="68" spans="1:35" ht="14.25" customHeight="1" thickBot="1">
      <c r="A68" s="208" t="s">
        <v>774</v>
      </c>
      <c r="B68" s="209" t="s">
        <v>2256</v>
      </c>
      <c r="C68" s="210">
        <f ca="1">IF(C67&lt;=0,0,ROUND(C67*D68,0))</f>
        <v>4368</v>
      </c>
      <c r="D68" s="211">
        <f>'数据-取费表'!B41</f>
        <v>5.6000000000000001E-2</v>
      </c>
      <c r="E68" s="212"/>
      <c r="F68" s="2490"/>
      <c r="G68" s="2490"/>
      <c r="H68" s="2498"/>
      <c r="I68" s="138"/>
      <c r="J68" s="3143"/>
      <c r="K68" s="2500" t="s">
        <v>2257</v>
      </c>
      <c r="L68" s="1749">
        <f ca="1">IF(M49&gt;10000,M49*0.5%,IF(AND(M49&gt;5000,M49&lt;=10000),M49*1%,IF(AND(M49&gt;1000,M49&lt;=5000),M49*2%,IF(AND(M49&gt;200,M49&lt;=1000),M49*3%,M49*5%))))</f>
        <v>409.51</v>
      </c>
      <c r="M68" s="24">
        <f ca="1">ROUND(L68,1)</f>
        <v>409.5</v>
      </c>
      <c r="Z68" s="2424"/>
      <c r="AI68" s="2425"/>
    </row>
    <row r="69" spans="1:35" s="2447" customFormat="1" ht="16.5" customHeight="1">
      <c r="A69" s="2501"/>
      <c r="B69" s="2502"/>
      <c r="C69" s="2503"/>
      <c r="D69" s="2504"/>
      <c r="E69" s="2505"/>
      <c r="F69" s="2167"/>
      <c r="G69" s="2167"/>
      <c r="H69" s="2166"/>
      <c r="I69" s="2419"/>
      <c r="J69" s="3143"/>
      <c r="K69" s="2500" t="s">
        <v>2258</v>
      </c>
      <c r="L69" s="2506"/>
      <c r="M69" s="24">
        <f ca="1">ROUND(SUM(M63:M68),0)</f>
        <v>1325</v>
      </c>
      <c r="N69" s="1750">
        <f ca="1">M69/M49</f>
        <v>1.6177871114258505E-2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2" t="s">
        <v>2259</v>
      </c>
      <c r="B70" s="3103"/>
      <c r="C70" s="3103"/>
      <c r="D70" s="3103"/>
      <c r="E70" s="3103"/>
      <c r="F70" s="3103"/>
      <c r="G70" s="3103"/>
      <c r="H70" s="310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1" t="s">
        <v>2240</v>
      </c>
      <c r="B71" s="3082"/>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78002</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468</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076" t="s">
        <v>2268</v>
      </c>
      <c r="F76" s="3053"/>
      <c r="G76" s="3053"/>
      <c r="H76" s="310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468</v>
      </c>
      <c r="D78" s="226">
        <f>'数据-取费表'!B43</f>
        <v>6.000000000000001E-3</v>
      </c>
      <c r="E78" s="3062" t="s">
        <v>2273</v>
      </c>
      <c r="F78" s="3063"/>
      <c r="G78" s="3063"/>
      <c r="H78" s="307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77534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165.67094017094018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46357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2" t="s">
        <v>2277</v>
      </c>
      <c r="B83" s="3103"/>
      <c r="C83" s="3103"/>
      <c r="D83" s="3103"/>
      <c r="E83" s="3103"/>
      <c r="F83" s="3103"/>
      <c r="G83" s="3103"/>
      <c r="H83" s="310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1" t="s">
        <v>2240</v>
      </c>
      <c r="B84" s="3082"/>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78002</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468</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062" t="s">
        <v>2286</v>
      </c>
      <c r="F91" s="3063"/>
      <c r="G91" s="3063"/>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062" t="s">
        <v>2290</v>
      </c>
      <c r="F92" s="3063"/>
      <c r="G92" s="3063"/>
      <c r="H92" s="307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f ca="1">ROUND(D45*D93/(1+'数据-取费表'!C42),0)</f>
        <v>468</v>
      </c>
      <c r="D93" s="226">
        <f>'数据-取费表'!B43</f>
        <v>6.000000000000001E-3</v>
      </c>
      <c r="E93" s="3062" t="s">
        <v>2273</v>
      </c>
      <c r="F93" s="3063"/>
      <c r="G93" s="3063"/>
      <c r="H93" s="307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073" t="s">
        <v>2294</v>
      </c>
      <c r="F94" s="3074"/>
      <c r="G94" s="3074"/>
      <c r="H94" s="307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77534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165.67094017094018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46357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047" t="s">
        <v>2296</v>
      </c>
      <c r="B100" s="3048"/>
      <c r="C100" s="3048"/>
      <c r="D100" s="3064"/>
      <c r="E100" s="3048" t="s">
        <v>2297</v>
      </c>
      <c r="F100" s="3048"/>
      <c r="G100" s="3048"/>
      <c r="H100" s="3064"/>
      <c r="I100" s="138"/>
    </row>
    <row r="101" spans="1:35" ht="18.75" customHeight="1">
      <c r="A101" s="3126" t="s">
        <v>2298</v>
      </c>
      <c r="B101" s="3127"/>
      <c r="C101" s="736" t="str">
        <f>C4</f>
        <v>成本法</v>
      </c>
      <c r="D101" s="737" t="str">
        <f>D4</f>
        <v>假设开发法</v>
      </c>
      <c r="E101" s="3140" t="s">
        <v>2299</v>
      </c>
      <c r="F101" s="3094"/>
      <c r="G101" s="2521" t="s">
        <v>2300</v>
      </c>
      <c r="H101" s="1045">
        <f ca="1">H118</f>
        <v>81902</v>
      </c>
      <c r="I101" s="138"/>
    </row>
    <row r="102" spans="1:35" ht="18.75" customHeight="1">
      <c r="A102" s="3096" t="s">
        <v>2301</v>
      </c>
      <c r="B102" s="2521" t="s">
        <v>2300</v>
      </c>
      <c r="C102" s="736">
        <f ca="1">C19</f>
        <v>63880</v>
      </c>
      <c r="D102" s="737">
        <f ca="1">D19</f>
        <v>89626</v>
      </c>
      <c r="E102" s="3140"/>
      <c r="F102" s="3094"/>
      <c r="G102" s="2521" t="s">
        <v>2302</v>
      </c>
      <c r="H102" s="371">
        <f ca="1">I118</f>
        <v>8622</v>
      </c>
      <c r="I102" s="138"/>
    </row>
    <row r="103" spans="1:35" ht="42.75" customHeight="1">
      <c r="A103" s="3096"/>
      <c r="B103" s="2521" t="s">
        <v>2302</v>
      </c>
      <c r="C103" s="738">
        <f ca="1">C20</f>
        <v>6725</v>
      </c>
      <c r="D103" s="739">
        <f ca="1">D20</f>
        <v>9435</v>
      </c>
      <c r="E103" s="3135" t="s">
        <v>2303</v>
      </c>
      <c r="F103" s="3136"/>
      <c r="G103" s="2522" t="s">
        <v>2304</v>
      </c>
      <c r="H103" s="1045">
        <f>IF(D36="正常操作",H104+H105+H106,H105+H106)</f>
        <v>0</v>
      </c>
      <c r="I103" s="138"/>
    </row>
    <row r="104" spans="1:35" ht="18.75" customHeight="1">
      <c r="A104" s="3096" t="s">
        <v>2305</v>
      </c>
      <c r="B104" s="2523" t="s">
        <v>2300</v>
      </c>
      <c r="C104" s="740">
        <f ca="1">H118</f>
        <v>81902</v>
      </c>
      <c r="D104" s="741"/>
      <c r="E104" s="2267" t="s">
        <v>2306</v>
      </c>
      <c r="F104" s="2259"/>
      <c r="G104" s="2522" t="s">
        <v>2304</v>
      </c>
      <c r="H104" s="1046">
        <f>IF(D36="同一抵押权人同一抵押物续贷",C36&amp;"（未扣减，详见特别提示）",C36)</f>
        <v>0</v>
      </c>
      <c r="I104" s="138"/>
    </row>
    <row r="105" spans="1:35" ht="18.75" customHeight="1" thickBot="1">
      <c r="A105" s="3097"/>
      <c r="B105" s="2524" t="s">
        <v>2302</v>
      </c>
      <c r="C105" s="742">
        <f ca="1">I118</f>
        <v>8622</v>
      </c>
      <c r="D105" s="743"/>
      <c r="E105" s="2267" t="s">
        <v>2307</v>
      </c>
      <c r="F105" s="2259"/>
      <c r="G105" s="2522" t="s">
        <v>2304</v>
      </c>
      <c r="H105" s="1046">
        <f>C37</f>
        <v>0</v>
      </c>
      <c r="I105" s="138"/>
    </row>
    <row r="106" spans="1:35" ht="18.75" customHeight="1">
      <c r="A106" s="2419" t="s">
        <v>2308</v>
      </c>
      <c r="B106" s="2419"/>
      <c r="C106" s="2419"/>
      <c r="D106" s="2419"/>
      <c r="E106" s="2525" t="s">
        <v>2309</v>
      </c>
      <c r="F106" s="2259"/>
      <c r="G106" s="2522" t="s">
        <v>2304</v>
      </c>
      <c r="H106" s="1046">
        <f>C38</f>
        <v>0</v>
      </c>
      <c r="I106" s="138"/>
    </row>
    <row r="107" spans="1:35" ht="18.75" customHeight="1">
      <c r="A107" s="138"/>
      <c r="B107" s="138"/>
      <c r="C107" s="138"/>
      <c r="D107" s="138"/>
      <c r="E107" s="3093" t="str">
        <f>IF(项目基本情况!E8="已注销","——","3.房地产抵押价值")</f>
        <v>3.房地产抵押价值</v>
      </c>
      <c r="F107" s="3094"/>
      <c r="G107" s="2521" t="s">
        <v>2300</v>
      </c>
      <c r="H107" s="1045">
        <f ca="1">IF(E107="——","——",H101-H103)</f>
        <v>81902</v>
      </c>
      <c r="I107" s="138"/>
    </row>
    <row r="108" spans="1:35" ht="18.75" customHeight="1">
      <c r="A108" s="138"/>
      <c r="B108" s="138"/>
      <c r="C108" s="138"/>
      <c r="D108" s="138"/>
      <c r="E108" s="3093"/>
      <c r="F108" s="3094"/>
      <c r="G108" s="2521" t="s">
        <v>2302</v>
      </c>
      <c r="H108" s="371">
        <f ca="1">ROUND(H107*10000/'数据-汇总表'!E3,0)</f>
        <v>8622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1" t="s">
        <v>2300</v>
      </c>
      <c r="H109" s="348" t="str">
        <f>IF(E109="——","——",H101-H105-H106)</f>
        <v>——</v>
      </c>
      <c r="I109" s="138"/>
    </row>
    <row r="110" spans="1:35" ht="18.75" customHeight="1">
      <c r="A110" s="138"/>
      <c r="B110" s="138"/>
      <c r="C110" s="138"/>
      <c r="D110" s="138"/>
      <c r="E110" s="3093"/>
      <c r="F110" s="3094"/>
      <c r="G110" s="2521" t="s">
        <v>2302</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4.抵押净值</v>
      </c>
      <c r="F111" s="3129"/>
      <c r="G111" s="2521" t="s">
        <v>2300</v>
      </c>
      <c r="H111" s="1045">
        <f ca="1">IF(E111="——","——",N59)</f>
        <v>35504</v>
      </c>
      <c r="I111" s="138"/>
    </row>
    <row r="112" spans="1:35" ht="18.75" customHeight="1" thickBot="1">
      <c r="A112" s="138"/>
      <c r="B112" s="138"/>
      <c r="C112" s="138"/>
      <c r="D112" s="138"/>
      <c r="E112" s="3130"/>
      <c r="F112" s="3131"/>
      <c r="G112" s="2526" t="s">
        <v>2302</v>
      </c>
      <c r="H112" s="790">
        <f ca="1">IF(E111="——","——",N61)</f>
        <v>3738</v>
      </c>
      <c r="I112" s="138"/>
    </row>
    <row r="113" spans="1:11" ht="18.75" customHeight="1">
      <c r="A113" s="138"/>
      <c r="B113" s="138"/>
      <c r="C113" s="138"/>
      <c r="D113" s="138"/>
      <c r="E113" s="3098" t="s">
        <v>2308</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2310</v>
      </c>
      <c r="B115" s="3112"/>
      <c r="C115" s="3112"/>
      <c r="D115" s="3112"/>
      <c r="E115" s="3112"/>
      <c r="F115" s="3112"/>
      <c r="G115" s="3112"/>
      <c r="H115" s="3112"/>
      <c r="I115" s="3113"/>
    </row>
    <row r="116" spans="1:11" ht="27" customHeight="1">
      <c r="A116" s="3004" t="s">
        <v>2311</v>
      </c>
      <c r="B116" s="3099" t="s">
        <v>2312</v>
      </c>
      <c r="C116" s="3099" t="s">
        <v>2313</v>
      </c>
      <c r="D116" s="3115" t="s">
        <v>2314</v>
      </c>
      <c r="E116" s="3116"/>
      <c r="F116" s="3107" t="s">
        <v>2315</v>
      </c>
      <c r="G116" s="3107"/>
      <c r="H116" s="3004" t="s">
        <v>2316</v>
      </c>
      <c r="I116" s="3004"/>
    </row>
    <row r="117" spans="1:11" ht="18.75" customHeight="1">
      <c r="A117" s="3004"/>
      <c r="B117" s="3100"/>
      <c r="C117" s="3100"/>
      <c r="D117" s="1795" t="s">
        <v>2317</v>
      </c>
      <c r="E117" s="1795" t="s">
        <v>2318</v>
      </c>
      <c r="F117" s="1795" t="s">
        <v>2317</v>
      </c>
      <c r="G117" s="1795" t="s">
        <v>2319</v>
      </c>
      <c r="H117" s="1795" t="s">
        <v>2317</v>
      </c>
      <c r="I117" s="1795" t="s">
        <v>2319</v>
      </c>
    </row>
    <row r="118" spans="1:11" ht="24.75" customHeight="1">
      <c r="A118" s="2527" t="str">
        <f>项目基本情况!S2</f>
        <v>出让国有建设用地使用权及在建建筑物房地产</v>
      </c>
      <c r="B118" s="1795">
        <f>M18</f>
        <v>94992.88</v>
      </c>
      <c r="C118" s="1795">
        <f>M19</f>
        <v>21344.57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81902</v>
      </c>
      <c r="I118" s="1795">
        <f ca="1">ROUND(IF(D32="楼面单价",C32,H118*10000/B118),0)</f>
        <v>8622</v>
      </c>
    </row>
    <row r="119" spans="1:11" ht="18.75" customHeight="1">
      <c r="A119" s="3004" t="s">
        <v>2320</v>
      </c>
      <c r="B119" s="3004"/>
      <c r="C119" s="3004"/>
      <c r="D119" s="3104" t="e">
        <f ca="1">NUMBERSTRING(INT(D118*10000),2)&amp;"元整"</f>
        <v>#REF!</v>
      </c>
      <c r="E119" s="3106"/>
      <c r="F119" s="3104" t="e">
        <f ca="1">NUMBERSTRING(INT(F118*10000),2)&amp;"元整"</f>
        <v>#REF!</v>
      </c>
      <c r="G119" s="3106"/>
      <c r="H119" s="3104" t="str">
        <f ca="1">NUMBERSTRING(INT(H118*10000),2)&amp;"元整"</f>
        <v>捌亿壹仟玖佰零贰万元整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4" t="str">
        <f>IF(D120=0,"故，本次评估不存在"&amp;A120,"故，本次评估"&amp;A120&amp;"为人民币"&amp;D120&amp;"万元整。")</f>
        <v>故，本次评估不存在估价师知悉的法定优先受偿款</v>
      </c>
    </row>
    <row r="121" spans="1:11" ht="18.75" customHeight="1">
      <c r="A121" s="3108" t="s">
        <v>2320</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81902</v>
      </c>
      <c r="E122" s="3133"/>
      <c r="F122" s="3133"/>
      <c r="G122" s="3133"/>
      <c r="H122" s="3133"/>
      <c r="I122" s="3134"/>
    </row>
    <row r="123" spans="1:11" ht="18.75" customHeight="1">
      <c r="A123" s="3004" t="s">
        <v>2320</v>
      </c>
      <c r="B123" s="3004"/>
      <c r="C123" s="3004"/>
      <c r="D123" s="3104" t="str">
        <f ca="1">NUMBERSTRING(INT(D122*10000),2)&amp;"元整"</f>
        <v>捌亿壹仟玖佰零贰万元整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2320</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抵押净值</v>
      </c>
      <c r="B126" s="3095"/>
      <c r="C126" s="3095"/>
      <c r="D126" s="3132">
        <f ca="1">H111</f>
        <v>35504</v>
      </c>
      <c r="E126" s="3133"/>
      <c r="F126" s="3133"/>
      <c r="G126" s="3133"/>
      <c r="H126" s="3133"/>
      <c r="I126" s="3134"/>
    </row>
    <row r="127" spans="1:11" ht="18.75" customHeight="1">
      <c r="A127" s="3004" t="s">
        <v>2320</v>
      </c>
      <c r="B127" s="3004"/>
      <c r="C127" s="3004"/>
      <c r="D127" s="3104" t="str">
        <f ca="1">NUMBERSTRING(INT(D126*10000),2)&amp;"元整"</f>
        <v>叁亿伍仟伍佰零肆万元整</v>
      </c>
      <c r="E127" s="3105"/>
      <c r="F127" s="3105"/>
      <c r="G127" s="3105"/>
      <c r="H127" s="3105"/>
      <c r="I127" s="3106"/>
    </row>
    <row r="128" spans="1:11" ht="21.75" customHeight="1">
      <c r="A128" s="3114" t="s">
        <v>2321</v>
      </c>
      <c r="B128" s="3114"/>
      <c r="C128" s="3114"/>
      <c r="D128" s="3114"/>
      <c r="E128" s="3114"/>
      <c r="F128" s="3114"/>
      <c r="G128" s="3114"/>
      <c r="H128" s="3114"/>
      <c r="I128" s="3114"/>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H23" sqref="H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79">
        <f>MATCH(B1,'数据-取费表'!A6:A16,0)+5</f>
        <v>10</v>
      </c>
    </row>
    <row r="2" spans="1:9" s="244" customFormat="1" ht="18" customHeight="1">
      <c r="A2" s="245" t="s">
        <v>2330</v>
      </c>
      <c r="B2" s="246">
        <f ca="1">IF(D2="——",C52,C52-E2)</f>
        <v>63880</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6725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22717</v>
      </c>
      <c r="D5" s="255" t="s">
        <v>2337</v>
      </c>
      <c r="E5" s="256" t="s">
        <v>2338</v>
      </c>
      <c r="F5" s="256" t="s">
        <v>2339</v>
      </c>
      <c r="G5" s="257"/>
    </row>
    <row r="6" spans="1:9" s="258" customFormat="1" ht="13.5" customHeight="1">
      <c r="A6" s="949" t="s">
        <v>2340</v>
      </c>
      <c r="B6" s="259" t="s">
        <v>2341</v>
      </c>
      <c r="C6" s="260">
        <f>'土地比较法-住宅、综合'!B2</f>
        <v>20975</v>
      </c>
      <c r="D6" s="261"/>
      <c r="E6" s="262"/>
      <c r="F6" s="262"/>
      <c r="G6" s="263"/>
    </row>
    <row r="7" spans="1:9" s="258" customFormat="1" ht="13.5" customHeight="1">
      <c r="A7" s="949" t="s">
        <v>2342</v>
      </c>
      <c r="B7" s="259" t="s">
        <v>2343</v>
      </c>
      <c r="C7" s="264">
        <f>ROUND(C6*F7,0)</f>
        <v>640</v>
      </c>
      <c r="D7" s="264"/>
      <c r="E7" s="262"/>
      <c r="F7" s="265">
        <f>'数据-取费表'!B48+'数据-取费表'!B49</f>
        <v>3.0499999999999999E-2</v>
      </c>
      <c r="G7" s="263"/>
    </row>
    <row r="8" spans="1:9" s="267" customFormat="1">
      <c r="A8" s="949" t="s">
        <v>2344</v>
      </c>
      <c r="B8" s="259" t="s">
        <v>2345</v>
      </c>
      <c r="C8" s="264">
        <f ca="1">IF(G8="已包含在土地购买价格中","0",IF(B1="",'数据-取费表'!B29,IF(G9="全部缴纳",C9+C10,H9)))</f>
        <v>1102</v>
      </c>
      <c r="D8" s="266"/>
      <c r="E8" s="264"/>
      <c r="F8" s="265"/>
      <c r="G8" s="2553" t="s">
        <v>3166</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54" t="s">
        <v>3167</v>
      </c>
      <c r="H9" s="1390"/>
      <c r="I9" s="2555" t="s">
        <v>2347</v>
      </c>
    </row>
    <row r="10" spans="1:9" s="258" customFormat="1" ht="13.5" customHeight="1">
      <c r="A10" s="950" t="s">
        <v>801</v>
      </c>
      <c r="B10" s="268" t="s">
        <v>2348</v>
      </c>
      <c r="C10" s="269">
        <f ca="1">ROUND(D10*E10/10000,0)</f>
        <v>1102</v>
      </c>
      <c r="D10" s="1032">
        <f ca="1">IF(B1="",'数据-汇总表'!E6,IF(INDIRECT("'数据-取费表'!c"&amp;$G$1)="住宅",INDIRECT("'数据-取费表'!s"&amp;$G$1),INDIRECT("'数据-取费表'!k"&amp;$G$1)+INDIRECT("'数据-取费表'!s"&amp;$G$1)))</f>
        <v>94992.88</v>
      </c>
      <c r="E10" s="269">
        <f>'数据-取费表'!B28</f>
        <v>116</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94992.88</v>
      </c>
      <c r="E19" s="255">
        <f>'数据-取费表'!B31</f>
        <v>200</v>
      </c>
      <c r="F19" s="275"/>
      <c r="G19" s="2553" t="s">
        <v>3168</v>
      </c>
    </row>
    <row r="20" spans="1:7" s="258" customFormat="1" ht="13.5" customHeight="1">
      <c r="A20" s="299" t="s">
        <v>2361</v>
      </c>
      <c r="B20" s="254" t="s">
        <v>2362</v>
      </c>
      <c r="C20" s="276">
        <f ca="1">ROUND((C5+C19)*F20,0)</f>
        <v>454</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1883</v>
      </c>
      <c r="D22" s="279">
        <f ca="1">C26</f>
        <v>8.0000000000000004E-4</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1865</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18</v>
      </c>
      <c r="D25" s="282"/>
      <c r="E25" s="285"/>
      <c r="F25" s="283"/>
      <c r="G25" s="286" t="s">
        <v>2378</v>
      </c>
    </row>
    <row r="26" spans="1:7" s="258" customFormat="1">
      <c r="A26" s="951" t="s">
        <v>795</v>
      </c>
      <c r="B26" s="259" t="s">
        <v>2379</v>
      </c>
      <c r="C26" s="282">
        <f ca="1">ROUND(IF('数据-取费表'!B22&lt;=1,F21*F22*'数据-取费表'!B23/2,F21*(POWER((1+F22),'数据-取费表'!B23/2)-1)),4)</f>
        <v>8.0000000000000004E-4</v>
      </c>
      <c r="D26" s="282"/>
      <c r="E26" s="285"/>
      <c r="F26" s="283"/>
      <c r="G26" s="287"/>
    </row>
    <row r="27" spans="1:7" s="258" customFormat="1" ht="24.75">
      <c r="A27" s="299" t="s">
        <v>2380</v>
      </c>
      <c r="B27" s="288" t="s">
        <v>2381</v>
      </c>
      <c r="C27" s="289">
        <f ca="1">C28</f>
        <v>2954</v>
      </c>
      <c r="D27" s="279">
        <f ca="1">C29</f>
        <v>2.5999999999999999E-3</v>
      </c>
      <c r="E27" s="280" t="s">
        <v>2382</v>
      </c>
      <c r="F27" s="290">
        <f ca="1">IF(B1="",'数据-取费表'!Q16,INDIRECT("'数据-取费表'!q"&amp;$G$1))</f>
        <v>0.15</v>
      </c>
      <c r="G27" s="291" t="s">
        <v>2383</v>
      </c>
    </row>
    <row r="28" spans="1:7" s="258" customFormat="1" ht="13.5" customHeight="1">
      <c r="A28" s="951" t="s">
        <v>791</v>
      </c>
      <c r="B28" s="292" t="s">
        <v>2384</v>
      </c>
      <c r="C28" s="293">
        <f ca="1">ROUND((C5+C19+C20)*F27*'数据-取费表'!B21/'数据-取费表'!B20,0)</f>
        <v>2954</v>
      </c>
      <c r="D28" s="279"/>
      <c r="E28" s="280"/>
      <c r="F28" s="290"/>
      <c r="G28" s="291"/>
    </row>
    <row r="29" spans="1:7" s="258" customFormat="1" ht="13.5" customHeight="1">
      <c r="A29" s="951" t="s">
        <v>792</v>
      </c>
      <c r="B29" s="292" t="s">
        <v>2385</v>
      </c>
      <c r="C29" s="282">
        <f ca="1">ROUND(C21*F27*'数据-取费表'!B21/'数据-取费表'!B20,4)</f>
        <v>2.5999999999999999E-3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30335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25500</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22856</v>
      </c>
      <c r="D34" s="261"/>
      <c r="E34" s="264"/>
      <c r="F34" s="301">
        <f ca="1">IF('数据-取费表'!B24=0,1,IF(B1="",'数据-取费表'!N16,INDIRECT("'数据-取费表'!n"&amp;$G$1)))</f>
        <v>0.85</v>
      </c>
      <c r="G34" s="263" t="s">
        <v>2394</v>
      </c>
    </row>
    <row r="35" spans="1:7" ht="13.5" customHeight="1">
      <c r="A35" s="951" t="s">
        <v>796</v>
      </c>
      <c r="B35" s="259" t="s">
        <v>2395</v>
      </c>
      <c r="C35" s="264">
        <f ca="1">ROUND(C34*F35,0)</f>
        <v>686</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1615</v>
      </c>
      <c r="D37" s="261">
        <f ca="1">D19</f>
        <v>94992.88</v>
      </c>
      <c r="E37" s="293">
        <f>'数据-取费表'!B35</f>
        <v>200</v>
      </c>
      <c r="F37" s="303"/>
      <c r="G37" s="305" t="s">
        <v>2400</v>
      </c>
    </row>
    <row r="38" spans="1:7" ht="13.5" customHeight="1">
      <c r="A38" s="951" t="s">
        <v>799</v>
      </c>
      <c r="B38" s="259" t="s">
        <v>2401</v>
      </c>
      <c r="C38" s="264">
        <f ca="1">ROUND(C34*F38,0)</f>
        <v>343</v>
      </c>
      <c r="D38" s="264"/>
      <c r="E38" s="264"/>
      <c r="F38" s="303">
        <f>'数据-取费表'!B36</f>
        <v>1.4999999999999999E-2</v>
      </c>
      <c r="G38" s="263" t="s">
        <v>2396</v>
      </c>
    </row>
    <row r="39" spans="1:7" s="258" customFormat="1" ht="13.5" customHeight="1">
      <c r="A39" s="299" t="s">
        <v>2402</v>
      </c>
      <c r="B39" s="254" t="s">
        <v>2403</v>
      </c>
      <c r="C39" s="276">
        <f ca="1">ROUND(C33*F20,0)</f>
        <v>510</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1047</v>
      </c>
      <c r="D41" s="279">
        <f ca="1">C44</f>
        <v>8.0000000000000004E-4</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1026</v>
      </c>
      <c r="D42" s="282"/>
      <c r="E42" s="282"/>
      <c r="F42" s="283"/>
      <c r="G42" s="3146" t="s">
        <v>2412</v>
      </c>
    </row>
    <row r="43" spans="1:7" ht="13.5" customHeight="1">
      <c r="A43" s="951" t="s">
        <v>792</v>
      </c>
      <c r="B43" s="259" t="s">
        <v>2413</v>
      </c>
      <c r="C43" s="282">
        <f ca="1">ROUND(IF('数据-取费表'!B22&lt;=1,C39*F22*'数据-取费表'!B21/2,C39*(POWER((1+F22),'数据-取费表'!B21/2)-1)),0)</f>
        <v>21</v>
      </c>
      <c r="D43" s="282"/>
      <c r="E43" s="282"/>
      <c r="F43" s="283"/>
      <c r="G43" s="3147"/>
    </row>
    <row r="44" spans="1:7" ht="13.5" customHeight="1">
      <c r="A44" s="951" t="s">
        <v>793</v>
      </c>
      <c r="B44" s="259" t="s">
        <v>2414</v>
      </c>
      <c r="C44" s="282">
        <f ca="1">ROUND(IF('数据-取费表'!B22&lt;=1,C40*F22*'数据-取费表'!B21/2,C40*(POWER((1+F22),'数据-取费表'!B21/2)-1)),4)</f>
        <v>8.0000000000000004E-4</v>
      </c>
      <c r="D44" s="282"/>
      <c r="E44" s="282"/>
      <c r="F44" s="283"/>
      <c r="G44" s="3148"/>
    </row>
    <row r="45" spans="1:7" s="258" customFormat="1" ht="13.5" customHeight="1">
      <c r="A45" s="299" t="s">
        <v>2415</v>
      </c>
      <c r="B45" s="288" t="s">
        <v>2381</v>
      </c>
      <c r="C45" s="289">
        <f ca="1">C46</f>
        <v>3902</v>
      </c>
      <c r="D45" s="279">
        <f ca="1">C47</f>
        <v>3.0000000000000001E-3</v>
      </c>
      <c r="E45" s="280" t="s">
        <v>2407</v>
      </c>
      <c r="F45" s="290"/>
      <c r="G45" s="291" t="s">
        <v>2416</v>
      </c>
    </row>
    <row r="46" spans="1:7" s="258" customFormat="1" ht="13.5" customHeight="1">
      <c r="A46" s="951" t="s">
        <v>791</v>
      </c>
      <c r="B46" s="292" t="s">
        <v>2417</v>
      </c>
      <c r="C46" s="293">
        <f ca="1">ROUND((C33+C39)*F27,0)</f>
        <v>3902</v>
      </c>
      <c r="D46" s="307"/>
      <c r="E46" s="280"/>
      <c r="F46" s="290"/>
      <c r="G46" s="291"/>
    </row>
    <row r="47" spans="1:7" s="258" customFormat="1" ht="13.5" customHeight="1">
      <c r="A47" s="951" t="s">
        <v>792</v>
      </c>
      <c r="B47" s="292" t="s">
        <v>2418</v>
      </c>
      <c r="C47" s="282">
        <f ca="1">ROUND(C40*F27,4)</f>
        <v>3.0000000000000001E-3</v>
      </c>
      <c r="D47" s="307"/>
      <c r="E47" s="280"/>
      <c r="F47" s="290"/>
      <c r="G47" s="291"/>
    </row>
    <row r="48" spans="1:7" s="258" customFormat="1" ht="13.5" customHeight="1">
      <c r="A48" s="299" t="s">
        <v>2380</v>
      </c>
      <c r="B48" s="254" t="s">
        <v>2419</v>
      </c>
      <c r="C48" s="1728">
        <f>ROUND(F30/(1+'数据-取费表'!C42),4)</f>
        <v>5.33E-2</v>
      </c>
      <c r="D48" s="280" t="s">
        <v>2407</v>
      </c>
      <c r="E48" s="276"/>
      <c r="F48" s="281"/>
      <c r="G48" s="278" t="s">
        <v>2420</v>
      </c>
    </row>
    <row r="49" spans="1:7" ht="16.5" customHeight="1">
      <c r="A49" s="299" t="s">
        <v>2386</v>
      </c>
      <c r="B49" s="254" t="s">
        <v>2421</v>
      </c>
      <c r="C49" s="276">
        <f ca="1">ROUND((C33+C39+C41+C45)/(1-C40-D41-D45-C48),0)</f>
        <v>33545</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33545</v>
      </c>
      <c r="D51" s="276"/>
      <c r="E51" s="276"/>
      <c r="F51" s="308"/>
      <c r="G51" s="278" t="s">
        <v>2428</v>
      </c>
    </row>
    <row r="52" spans="1:7" s="252" customFormat="1" ht="16.5" thickBot="1">
      <c r="A52" s="309" t="s">
        <v>2429</v>
      </c>
      <c r="B52" s="310"/>
      <c r="C52" s="311">
        <f ca="1">C31+C51</f>
        <v>63880</v>
      </c>
      <c r="D52" s="310"/>
      <c r="E52" s="310"/>
      <c r="F52" s="310"/>
      <c r="G52" s="312"/>
    </row>
    <row r="55" spans="1:7" ht="15">
      <c r="B55" s="314" t="s">
        <v>2430</v>
      </c>
      <c r="C55" s="315"/>
    </row>
    <row r="56" spans="1:7">
      <c r="B56" s="317" t="s">
        <v>1509</v>
      </c>
      <c r="C56" s="319">
        <f ca="1">1-C57</f>
        <v>0.47499999999999998</v>
      </c>
    </row>
    <row r="57" spans="1:7">
      <c r="B57" s="317" t="s">
        <v>1510</v>
      </c>
      <c r="C57" s="318">
        <f ca="1">ROUND(C51/C52,3)</f>
        <v>0.52500000000000002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出让国有建设用地使用权及在建建筑物房地产抵押价值预评估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6" t="s">
        <v>2431</v>
      </c>
      <c r="D1" s="242"/>
      <c r="E1" s="242"/>
      <c r="F1" s="242"/>
      <c r="G1" s="1379">
        <f>MATCH(B1,'数据-取费表'!A6:A16,0)+5</f>
        <v>10</v>
      </c>
      <c r="H1" s="1282" t="str">
        <f>IF(ISERROR(FIND("住宅",B1)),"非住宅","住宅")</f>
        <v>非住宅</v>
      </c>
    </row>
    <row r="2" spans="1:8" s="244" customFormat="1" ht="18" customHeight="1">
      <c r="A2" s="245" t="s">
        <v>2330</v>
      </c>
      <c r="B2" s="246">
        <f ca="1">ROUND(IF(D2="——",C52/10000,C52/10000-E2),0)</f>
        <v>43845</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4616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11019174</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11019174</v>
      </c>
      <c r="D8" s="266"/>
      <c r="E8" s="264"/>
      <c r="F8" s="265"/>
      <c r="G8" s="2553"/>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11019174</v>
      </c>
      <c r="D10" s="1032">
        <f ca="1">IF(B1="",'数据-汇总表'!E6,IF(INDIRECT("'数据-取费表'!c"&amp;$G$1)="住宅",INDIRECT("'数据-取费表'!s"&amp;$G$1),INDIRECT("'数据-取费表'!k"&amp;$G$1)+INDIRECT("'数据-取费表'!s"&amp;$G$1)))</f>
        <v>94992.88</v>
      </c>
      <c r="E10" s="269">
        <f>'数据-取费表'!B28</f>
        <v>116</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18998576</v>
      </c>
      <c r="D19" s="1036">
        <f ca="1">D9+D10</f>
        <v>94992.88</v>
      </c>
      <c r="E19" s="255">
        <f>'数据-取费表'!B31</f>
        <v>200</v>
      </c>
      <c r="F19" s="275"/>
      <c r="G19" s="2553"/>
    </row>
    <row r="20" spans="1:7" s="258" customFormat="1" ht="13.5" customHeight="1">
      <c r="A20" s="299" t="s">
        <v>2442</v>
      </c>
      <c r="B20" s="254" t="s">
        <v>2443</v>
      </c>
      <c r="C20" s="276">
        <f ca="1">ROUND((C5+C19)*F20,0)</f>
        <v>600355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2947931</v>
      </c>
      <c r="D22" s="279">
        <f ca="1">C26</f>
        <v>1E-3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1071684</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1847730</v>
      </c>
      <c r="D24" s="282"/>
      <c r="E24" s="282"/>
      <c r="F24" s="283"/>
      <c r="G24" s="284" t="s">
        <v>2454</v>
      </c>
    </row>
    <row r="25" spans="1:7" s="258" customFormat="1" ht="24">
      <c r="A25" s="951" t="s">
        <v>2344</v>
      </c>
      <c r="B25" s="259" t="s">
        <v>2455</v>
      </c>
      <c r="C25" s="1381">
        <f ca="1">ROUND(IF('数据-取费表'!B22&lt;=1,C20*F22*'数据-取费表'!B22/2,C20*(POWER((1+F22),'数据-取费表'!B22/2)-1)),0)</f>
        <v>28517</v>
      </c>
      <c r="D25" s="282"/>
      <c r="E25" s="285"/>
      <c r="F25" s="283"/>
      <c r="G25" s="286" t="s">
        <v>2456</v>
      </c>
    </row>
    <row r="26" spans="1:7" s="258" customFormat="1">
      <c r="A26" s="951"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4592716</v>
      </c>
      <c r="D27" s="279">
        <f ca="1">C29</f>
        <v>3.0000000000000001E-3</v>
      </c>
      <c r="E27" s="280" t="s">
        <v>2382</v>
      </c>
      <c r="F27" s="290">
        <f ca="1">IF(B1="",'数据-取费表'!Q16,INDIRECT("'数据-取费表'!q"&amp;$G$1))</f>
        <v>0.15</v>
      </c>
      <c r="G27" s="291" t="s">
        <v>2383</v>
      </c>
    </row>
    <row r="28" spans="1:7" s="258" customFormat="1" ht="13.5" customHeight="1">
      <c r="A28" s="951" t="s">
        <v>791</v>
      </c>
      <c r="B28" s="292" t="s">
        <v>2384</v>
      </c>
      <c r="C28" s="293">
        <f ca="1">ROUND((C5+C19+C20)*F27,0)</f>
        <v>4592716</v>
      </c>
      <c r="D28" s="279"/>
      <c r="E28" s="280"/>
      <c r="F28" s="290"/>
      <c r="G28" s="291"/>
    </row>
    <row r="29" spans="1:7" s="258" customFormat="1" ht="13.5" customHeight="1">
      <c r="A29" s="951"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41355535</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299969063</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268871280</v>
      </c>
      <c r="D34" s="261"/>
      <c r="E34" s="264"/>
      <c r="F34" s="301"/>
      <c r="G34" s="263"/>
    </row>
    <row r="35" spans="1:7" ht="13.5" customHeight="1">
      <c r="A35" s="951" t="s">
        <v>796</v>
      </c>
      <c r="B35" s="259" t="s">
        <v>2395</v>
      </c>
      <c r="C35" s="264">
        <f ca="1">ROUND(C34*F35,0)</f>
        <v>8066138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18998576</v>
      </c>
      <c r="D37" s="261">
        <f ca="1">D19</f>
        <v>94992.88</v>
      </c>
      <c r="E37" s="293">
        <f>'数据-取费表'!B35</f>
        <v>200</v>
      </c>
      <c r="F37" s="303"/>
      <c r="G37" s="305"/>
    </row>
    <row r="38" spans="1:7" ht="13.5" customHeight="1">
      <c r="A38" s="951" t="s">
        <v>799</v>
      </c>
      <c r="B38" s="259" t="s">
        <v>2401</v>
      </c>
      <c r="C38" s="264">
        <f ca="1">ROUND(C34*F38,0)</f>
        <v>4033069</v>
      </c>
      <c r="D38" s="264"/>
      <c r="E38" s="264"/>
      <c r="F38" s="303">
        <f>'数据-取费表'!B36</f>
        <v>1.4999999999999999E-2</v>
      </c>
      <c r="G38" s="263" t="s">
        <v>2396</v>
      </c>
    </row>
    <row r="39" spans="1:7" s="258" customFormat="1" ht="13.5" customHeight="1">
      <c r="A39" s="299" t="s">
        <v>2402</v>
      </c>
      <c r="B39" s="254" t="s">
        <v>2403</v>
      </c>
      <c r="C39" s="276">
        <f ca="1">ROUND(C33*F20,0)</f>
        <v>5999381</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14533501</v>
      </c>
      <c r="D41" s="279">
        <f ca="1">C44</f>
        <v>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14248530</v>
      </c>
      <c r="D42" s="282"/>
      <c r="E42" s="282"/>
      <c r="F42" s="283"/>
      <c r="G42" s="3146" t="s">
        <v>2459</v>
      </c>
    </row>
    <row r="43" spans="1:7" ht="13.5" customHeight="1">
      <c r="A43" s="951" t="s">
        <v>792</v>
      </c>
      <c r="B43" s="259" t="s">
        <v>2413</v>
      </c>
      <c r="C43" s="282">
        <f ca="1">ROUND(IF('数据-取费表'!B22&lt;=1,C39*F22*'数据-取费表'!B20/2,C39*(POWER((1+F22),'数据-取费表'!B20/2)-1)),0)</f>
        <v>284971</v>
      </c>
      <c r="D43" s="282"/>
      <c r="E43" s="282"/>
      <c r="F43" s="283"/>
      <c r="G43" s="3147"/>
    </row>
    <row r="44" spans="1:7" ht="13.5" customHeight="1">
      <c r="A44" s="951" t="s">
        <v>793</v>
      </c>
      <c r="B44" s="259" t="s">
        <v>2414</v>
      </c>
      <c r="C44" s="282">
        <f ca="1">ROUND(IF('数据-取费表'!B22&lt;=1,C40*F22*'数据-取费表'!B20/2,C40*(POWER((1+F22),'数据-取费表'!B20/2)-1)),4)</f>
        <v>1E-3</v>
      </c>
      <c r="D44" s="282"/>
      <c r="E44" s="282"/>
      <c r="F44" s="283"/>
      <c r="G44" s="3148"/>
    </row>
    <row r="45" spans="1:7" s="258" customFormat="1" ht="13.5" customHeight="1">
      <c r="A45" s="299" t="s">
        <v>2415</v>
      </c>
      <c r="B45" s="288" t="s">
        <v>2381</v>
      </c>
      <c r="C45" s="289">
        <f ca="1">C46</f>
        <v>45895267</v>
      </c>
      <c r="D45" s="279">
        <f ca="1">C47</f>
        <v>3.0000000000000001E-3</v>
      </c>
      <c r="E45" s="280" t="s">
        <v>2407</v>
      </c>
      <c r="F45" s="290"/>
      <c r="G45" s="291" t="s">
        <v>2416</v>
      </c>
    </row>
    <row r="46" spans="1:7" s="258" customFormat="1" ht="13.5" customHeight="1">
      <c r="A46" s="951" t="s">
        <v>791</v>
      </c>
      <c r="B46" s="292" t="s">
        <v>2417</v>
      </c>
      <c r="C46" s="293">
        <f ca="1">ROUND((C33+C39)*F27,0)</f>
        <v>45895267</v>
      </c>
      <c r="D46" s="307"/>
      <c r="E46" s="280"/>
      <c r="F46" s="290"/>
      <c r="G46" s="291"/>
    </row>
    <row r="47" spans="1:7" s="258" customFormat="1" ht="13.5" customHeight="1">
      <c r="A47" s="951"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397092459</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397092459</v>
      </c>
      <c r="D51" s="276"/>
      <c r="E51" s="276"/>
      <c r="F51" s="308"/>
      <c r="G51" s="278" t="s">
        <v>2428</v>
      </c>
    </row>
    <row r="52" spans="1:7" s="252" customFormat="1" ht="16.5" thickBot="1">
      <c r="A52" s="309" t="s">
        <v>2429</v>
      </c>
      <c r="B52" s="310"/>
      <c r="C52" s="311">
        <f ca="1">C31+C51</f>
        <v>438447994</v>
      </c>
      <c r="D52" s="310"/>
      <c r="E52" s="310"/>
      <c r="F52" s="310"/>
      <c r="G52" s="312"/>
    </row>
    <row r="55" spans="1:7" ht="15">
      <c r="B55" s="314" t="s">
        <v>2430</v>
      </c>
      <c r="C55" s="315"/>
    </row>
    <row r="56" spans="1:7">
      <c r="B56" s="317" t="s">
        <v>1509</v>
      </c>
      <c r="C56" s="319">
        <f ca="1">1-C57</f>
        <v>9.3999999999999972E-2</v>
      </c>
    </row>
    <row r="57" spans="1:7">
      <c r="B57" s="317" t="s">
        <v>1510</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20975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2208</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4" t="s">
        <v>2648</v>
      </c>
      <c r="AC4" s="3163" t="s">
        <v>2649</v>
      </c>
    </row>
    <row r="5" spans="1:30"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4"/>
      <c r="AC5" s="3164"/>
    </row>
    <row r="6" spans="1:30" ht="15.75" thickBot="1">
      <c r="A6" s="406"/>
      <c r="B6" s="407"/>
      <c r="C6" s="3181" t="s">
        <v>2546</v>
      </c>
      <c r="D6" s="3182"/>
      <c r="E6" s="3188" t="s">
        <v>2546</v>
      </c>
      <c r="F6" s="3189"/>
      <c r="G6" s="3181" t="s">
        <v>2546</v>
      </c>
      <c r="H6" s="3182"/>
      <c r="I6" s="3181" t="s">
        <v>2546</v>
      </c>
      <c r="J6" s="3182"/>
      <c r="K6" s="610" t="s">
        <v>2547</v>
      </c>
      <c r="L6" s="1130"/>
      <c r="M6" s="1131"/>
      <c r="N6" s="1131"/>
      <c r="O6" s="1131"/>
      <c r="P6" s="3173"/>
      <c r="Q6" s="3174"/>
      <c r="R6" s="3177"/>
      <c r="S6" s="3178"/>
      <c r="T6" s="3179"/>
      <c r="U6" s="3180"/>
      <c r="V6" s="3162"/>
      <c r="W6" s="3162"/>
      <c r="X6" s="1813"/>
      <c r="Y6" s="3179"/>
      <c r="Z6" s="3180"/>
      <c r="AA6" s="3165"/>
      <c r="AB6" s="3165"/>
      <c r="AC6" s="3165"/>
    </row>
    <row r="7" spans="1:30" s="117" customFormat="1" ht="15.75" thickBot="1">
      <c r="A7" s="408" t="s">
        <v>2548</v>
      </c>
      <c r="B7" s="409"/>
      <c r="C7" s="410">
        <f>'数据-取费表'!B2</f>
        <v>43614</v>
      </c>
      <c r="D7" s="411">
        <v>100</v>
      </c>
      <c r="E7" s="412" t="str">
        <f>Sheet2!H4</f>
        <v>2019-04-29</v>
      </c>
      <c r="F7" s="413">
        <f>SUMIF(70:70,YEAR(E7)&amp;"-"&amp;INT((MONTH(E7)+2)/3),71:71)</f>
        <v>100</v>
      </c>
      <c r="G7" s="2699" t="str">
        <f>Sheet2!H5</f>
        <v>2019-04-29</v>
      </c>
      <c r="H7" s="411">
        <f>SUMIF(70:70,YEAR(G7)&amp;"-"&amp;INT((MONTH(G7)+2)/3),71:71)</f>
        <v>100</v>
      </c>
      <c r="I7" s="2699" t="str">
        <f>Sheet2!H8</f>
        <v>2019-02-21</v>
      </c>
      <c r="J7" s="411">
        <f>SUMIF(70:70,YEAR(I7)&amp;"-"&amp;INT((MONTH(I7)+2)/3),71:71)</f>
        <v>99.5</v>
      </c>
      <c r="K7" s="611"/>
      <c r="L7" s="1132"/>
      <c r="M7" s="1133"/>
      <c r="N7" s="1133"/>
      <c r="O7" s="1133"/>
      <c r="P7" s="3185" t="s">
        <v>2549</v>
      </c>
      <c r="Q7" s="3187"/>
      <c r="R7" s="770" t="s">
        <v>17</v>
      </c>
      <c r="S7" s="771">
        <f t="shared" ref="S7:S15" si="0">F7</f>
        <v>100</v>
      </c>
      <c r="T7" s="770" t="s">
        <v>17</v>
      </c>
      <c r="U7" s="771">
        <f t="shared" ref="U7:U15" si="1">H7</f>
        <v>100</v>
      </c>
      <c r="V7" s="770" t="s">
        <v>17</v>
      </c>
      <c r="W7" s="771">
        <f t="shared" ref="W7:W15" si="2">J7</f>
        <v>99.5</v>
      </c>
      <c r="X7" s="772"/>
      <c r="Y7" s="3185" t="s">
        <v>2549</v>
      </c>
      <c r="Z7" s="3186"/>
      <c r="AA7" s="773">
        <f>D7/F7</f>
        <v>1</v>
      </c>
      <c r="AB7" s="773">
        <f>D7/H7</f>
        <v>1</v>
      </c>
      <c r="AC7" s="773">
        <f>D7/J7</f>
        <v>1.0050251256281406</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2"/>
      <c r="M8" s="1133"/>
      <c r="N8" s="1133"/>
      <c r="O8" s="1133"/>
      <c r="P8" s="3185" t="s">
        <v>2552</v>
      </c>
      <c r="Q8" s="3186"/>
      <c r="R8" s="770" t="s">
        <v>17</v>
      </c>
      <c r="S8" s="771">
        <f t="shared" si="0"/>
        <v>100</v>
      </c>
      <c r="T8" s="770" t="s">
        <v>17</v>
      </c>
      <c r="U8" s="771">
        <f t="shared" si="1"/>
        <v>100</v>
      </c>
      <c r="V8" s="770" t="s">
        <v>17</v>
      </c>
      <c r="W8" s="771">
        <f t="shared" si="2"/>
        <v>100</v>
      </c>
      <c r="X8" s="772"/>
      <c r="Y8" s="3185" t="s">
        <v>2552</v>
      </c>
      <c r="Z8" s="3186"/>
      <c r="AA8" s="773">
        <f t="shared" ref="AA8:AA45" si="3">D8/F8</f>
        <v>1</v>
      </c>
      <c r="AB8" s="773">
        <f t="shared" ref="AB8:AB45" si="4">D8/H8</f>
        <v>1</v>
      </c>
      <c r="AC8" s="773">
        <f t="shared" ref="AC8:AC45" si="5">D8/J8</f>
        <v>1</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56"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56"/>
      <c r="Q10" s="1795" t="str">
        <f t="shared" si="6"/>
        <v>土地使用年限（年）</v>
      </c>
      <c r="R10" s="770" t="s">
        <v>17</v>
      </c>
      <c r="S10" s="771">
        <f t="shared" si="0"/>
        <v>104</v>
      </c>
      <c r="T10" s="770" t="s">
        <v>17</v>
      </c>
      <c r="U10" s="771">
        <f t="shared" si="1"/>
        <v>104</v>
      </c>
      <c r="V10" s="770" t="s">
        <v>17</v>
      </c>
      <c r="W10" s="771">
        <f t="shared" si="2"/>
        <v>104</v>
      </c>
      <c r="X10" s="772"/>
      <c r="Y10" s="3004"/>
      <c r="Z10" s="55" t="str">
        <f t="shared" si="7"/>
        <v>土地使用年限（年）</v>
      </c>
      <c r="AA10" s="773">
        <f t="shared" si="3"/>
        <v>0.96153846153846156</v>
      </c>
      <c r="AB10" s="773">
        <f t="shared" si="4"/>
        <v>0.96153846153846156</v>
      </c>
      <c r="AC10" s="773">
        <f t="shared" si="5"/>
        <v>0.96153846153846156</v>
      </c>
    </row>
    <row r="11" spans="1:30" ht="15">
      <c r="A11" s="428"/>
      <c r="B11" s="422" t="s">
        <v>2558</v>
      </c>
      <c r="C11" s="429">
        <f>'数据-汇总表'!I4</f>
        <v>3.17</v>
      </c>
      <c r="D11" s="136">
        <v>100</v>
      </c>
      <c r="E11" s="429">
        <v>2</v>
      </c>
      <c r="F11" s="136">
        <f>LOOKUP(E11,80:80,81:81)-LOOKUP(C11,80:80,81:81)+100</f>
        <v>102</v>
      </c>
      <c r="G11" s="430">
        <v>1.3</v>
      </c>
      <c r="H11" s="136">
        <f>LOOKUP(G11,80:80,81:81)-LOOKUP(C11,80:80,81:81)+100</f>
        <v>104</v>
      </c>
      <c r="I11" s="429">
        <v>2</v>
      </c>
      <c r="J11" s="136">
        <f>LOOKUP(I11,80:80,81:81)-LOOKUP(C11,80:80,81:81)+100</f>
        <v>102</v>
      </c>
      <c r="K11" s="673">
        <v>2</v>
      </c>
      <c r="L11" s="1138"/>
      <c r="M11" s="1131"/>
      <c r="N11" s="1131"/>
      <c r="O11" s="1139"/>
      <c r="P11" s="3156"/>
      <c r="Q11" s="1795" t="str">
        <f t="shared" si="6"/>
        <v>容积率</v>
      </c>
      <c r="R11" s="770" t="s">
        <v>17</v>
      </c>
      <c r="S11" s="771">
        <f t="shared" si="0"/>
        <v>102</v>
      </c>
      <c r="T11" s="770" t="s">
        <v>17</v>
      </c>
      <c r="U11" s="771">
        <f t="shared" si="1"/>
        <v>104</v>
      </c>
      <c r="V11" s="770" t="s">
        <v>17</v>
      </c>
      <c r="W11" s="771">
        <f t="shared" si="2"/>
        <v>102</v>
      </c>
      <c r="X11" s="772"/>
      <c r="Y11" s="3004"/>
      <c r="Z11" s="55" t="str">
        <f t="shared" si="7"/>
        <v>容积率</v>
      </c>
      <c r="AA11" s="773">
        <f t="shared" si="3"/>
        <v>0.98039215686274506</v>
      </c>
      <c r="AB11" s="773">
        <f t="shared" si="4"/>
        <v>0.96153846153846156</v>
      </c>
      <c r="AC11" s="773">
        <f t="shared" si="5"/>
        <v>0.98039215686274506</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6"/>
      <c r="Q12" s="1795"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6"/>
      <c r="Q13" s="1795">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6"/>
      <c r="Q14" s="1795">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9.75">
      <c r="A15" s="440" t="s">
        <v>2559</v>
      </c>
      <c r="B15" s="69" t="s">
        <v>2086</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8" t="s">
        <v>2560</v>
      </c>
      <c r="Q15" s="1810" t="str">
        <f t="shared" si="6"/>
        <v>居住社区成熟度</v>
      </c>
      <c r="R15" s="774" t="s">
        <v>17</v>
      </c>
      <c r="S15" s="775">
        <f t="shared" si="0"/>
        <v>100</v>
      </c>
      <c r="T15" s="774" t="s">
        <v>17</v>
      </c>
      <c r="U15" s="775">
        <f t="shared" si="1"/>
        <v>100</v>
      </c>
      <c r="V15" s="774" t="s">
        <v>17</v>
      </c>
      <c r="W15" s="775">
        <f t="shared" si="2"/>
        <v>100</v>
      </c>
      <c r="X15" s="1813"/>
      <c r="Y15" s="3158"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59"/>
      <c r="Q16" s="1810"/>
      <c r="R16" s="774"/>
      <c r="S16" s="775"/>
      <c r="T16" s="774"/>
      <c r="U16" s="775"/>
      <c r="V16" s="774"/>
      <c r="W16" s="775"/>
      <c r="X16" s="1813"/>
      <c r="Y16" s="3159"/>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9"/>
      <c r="Q17" s="1810" t="str">
        <f>B17</f>
        <v>商业繁华度</v>
      </c>
      <c r="R17" s="774" t="s">
        <v>17</v>
      </c>
      <c r="S17" s="775">
        <f>F17</f>
        <v>100</v>
      </c>
      <c r="T17" s="774" t="s">
        <v>17</v>
      </c>
      <c r="U17" s="775">
        <f>H17</f>
        <v>100</v>
      </c>
      <c r="V17" s="774" t="s">
        <v>17</v>
      </c>
      <c r="W17" s="775">
        <f>J17</f>
        <v>100</v>
      </c>
      <c r="X17" s="1813"/>
      <c r="Y17" s="315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59"/>
      <c r="Q18" s="1810"/>
      <c r="R18" s="774"/>
      <c r="S18" s="775"/>
      <c r="T18" s="774"/>
      <c r="U18" s="775"/>
      <c r="V18" s="774"/>
      <c r="W18" s="775"/>
      <c r="X18" s="1813"/>
      <c r="Y18" s="3159"/>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9"/>
      <c r="Q19" s="1810" t="str">
        <f>B19</f>
        <v>办公集聚程度</v>
      </c>
      <c r="R19" s="774" t="s">
        <v>17</v>
      </c>
      <c r="S19" s="775">
        <f>F19</f>
        <v>100</v>
      </c>
      <c r="T19" s="774" t="s">
        <v>17</v>
      </c>
      <c r="U19" s="775">
        <f>H19</f>
        <v>100</v>
      </c>
      <c r="V19" s="774" t="s">
        <v>17</v>
      </c>
      <c r="W19" s="775">
        <f>J19</f>
        <v>100</v>
      </c>
      <c r="X19" s="1813"/>
      <c r="Y19" s="315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59"/>
      <c r="Q20" s="1810"/>
      <c r="R20" s="774"/>
      <c r="S20" s="775"/>
      <c r="T20" s="774"/>
      <c r="U20" s="775"/>
      <c r="V20" s="774"/>
      <c r="W20" s="775"/>
      <c r="X20" s="1813"/>
      <c r="Y20" s="3159"/>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9"/>
      <c r="Q21" s="1810" t="str">
        <f>B21</f>
        <v>交通便捷度</v>
      </c>
      <c r="R21" s="774" t="s">
        <v>17</v>
      </c>
      <c r="S21" s="775">
        <f>F21</f>
        <v>100</v>
      </c>
      <c r="T21" s="774" t="s">
        <v>17</v>
      </c>
      <c r="U21" s="775">
        <f>H21</f>
        <v>100</v>
      </c>
      <c r="V21" s="774" t="s">
        <v>17</v>
      </c>
      <c r="W21" s="775">
        <f>J21</f>
        <v>100</v>
      </c>
      <c r="X21" s="1813"/>
      <c r="Y21" s="315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59"/>
      <c r="Q22" s="1810"/>
      <c r="R22" s="774"/>
      <c r="S22" s="775"/>
      <c r="T22" s="774"/>
      <c r="U22" s="775"/>
      <c r="V22" s="774"/>
      <c r="W22" s="775"/>
      <c r="X22" s="1813"/>
      <c r="Y22" s="3159"/>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9"/>
      <c r="Q23" s="1810" t="str">
        <f t="shared" ref="Q23:Q37" si="8">B23</f>
        <v>区域土地利用方向</v>
      </c>
      <c r="R23" s="774" t="s">
        <v>17</v>
      </c>
      <c r="S23" s="775">
        <f>F23</f>
        <v>100</v>
      </c>
      <c r="T23" s="774" t="s">
        <v>17</v>
      </c>
      <c r="U23" s="775">
        <f>H23</f>
        <v>100</v>
      </c>
      <c r="V23" s="774" t="s">
        <v>17</v>
      </c>
      <c r="W23" s="775">
        <f>J23</f>
        <v>100</v>
      </c>
      <c r="X23" s="1813"/>
      <c r="Y23" s="315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59"/>
      <c r="Q24" s="1810"/>
      <c r="R24" s="774"/>
      <c r="S24" s="775"/>
      <c r="T24" s="774"/>
      <c r="U24" s="775"/>
      <c r="V24" s="774"/>
      <c r="W24" s="775"/>
      <c r="X24" s="1813"/>
      <c r="Y24" s="3159"/>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9"/>
      <c r="Q25" s="1810" t="str">
        <f t="shared" si="8"/>
        <v>自然及人文环境状况</v>
      </c>
      <c r="R25" s="774" t="s">
        <v>17</v>
      </c>
      <c r="S25" s="775">
        <f>F25</f>
        <v>100</v>
      </c>
      <c r="T25" s="774" t="s">
        <v>17</v>
      </c>
      <c r="U25" s="775">
        <f>H25</f>
        <v>100</v>
      </c>
      <c r="V25" s="774" t="s">
        <v>17</v>
      </c>
      <c r="W25" s="775">
        <f>J25</f>
        <v>100</v>
      </c>
      <c r="X25" s="1813"/>
      <c r="Y25" s="315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59"/>
      <c r="Q26" s="1810"/>
      <c r="R26" s="774"/>
      <c r="S26" s="775"/>
      <c r="T26" s="774"/>
      <c r="U26" s="775"/>
      <c r="V26" s="774"/>
      <c r="W26" s="775"/>
      <c r="X26" s="1813"/>
      <c r="Y26" s="3159"/>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9"/>
      <c r="Q27" s="1795" t="str">
        <f t="shared" si="8"/>
        <v>公共配套设施</v>
      </c>
      <c r="R27" s="770" t="s">
        <v>17</v>
      </c>
      <c r="S27" s="771">
        <f>F27</f>
        <v>100</v>
      </c>
      <c r="T27" s="770" t="s">
        <v>17</v>
      </c>
      <c r="U27" s="771">
        <f>H27</f>
        <v>100</v>
      </c>
      <c r="V27" s="770" t="s">
        <v>17</v>
      </c>
      <c r="W27" s="771">
        <f>J27</f>
        <v>100</v>
      </c>
      <c r="X27" s="772"/>
      <c r="Y27" s="315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59"/>
      <c r="Q28" s="1795"/>
      <c r="R28" s="770"/>
      <c r="S28" s="771"/>
      <c r="T28" s="770"/>
      <c r="U28" s="771"/>
      <c r="V28" s="770"/>
      <c r="W28" s="771"/>
      <c r="X28" s="772"/>
      <c r="Y28" s="3159"/>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9"/>
      <c r="Q29" s="1795"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59"/>
      <c r="Q30" s="1795"/>
      <c r="R30" s="770"/>
      <c r="S30" s="771"/>
      <c r="T30" s="770"/>
      <c r="U30" s="771"/>
      <c r="V30" s="770"/>
      <c r="W30" s="771"/>
      <c r="X30" s="772"/>
      <c r="Y30" s="3159"/>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9"/>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9"/>
      <c r="Q32" s="1810" t="str">
        <f t="shared" si="8"/>
        <v>毗邻道路的类型与等级</v>
      </c>
      <c r="R32" s="774" t="s">
        <v>17</v>
      </c>
      <c r="S32" s="775">
        <f t="shared" si="10"/>
        <v>100</v>
      </c>
      <c r="T32" s="774" t="s">
        <v>17</v>
      </c>
      <c r="U32" s="775">
        <f t="shared" si="11"/>
        <v>100</v>
      </c>
      <c r="V32" s="774" t="s">
        <v>17</v>
      </c>
      <c r="W32" s="775">
        <f t="shared" si="12"/>
        <v>100</v>
      </c>
      <c r="X32" s="1813"/>
      <c r="Y32" s="315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59"/>
      <c r="Q33" s="1810"/>
      <c r="R33" s="774"/>
      <c r="S33" s="775"/>
      <c r="T33" s="774"/>
      <c r="U33" s="775"/>
      <c r="V33" s="774"/>
      <c r="W33" s="775"/>
      <c r="X33" s="1813"/>
      <c r="Y33" s="3159"/>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9"/>
      <c r="Q34" s="1810" t="str">
        <f t="shared" si="8"/>
        <v>土地级别</v>
      </c>
      <c r="R34" s="774" t="s">
        <v>17</v>
      </c>
      <c r="S34" s="775">
        <f t="shared" si="10"/>
        <v>100</v>
      </c>
      <c r="T34" s="774" t="s">
        <v>17</v>
      </c>
      <c r="U34" s="775">
        <f t="shared" si="11"/>
        <v>100</v>
      </c>
      <c r="V34" s="774" t="s">
        <v>17</v>
      </c>
      <c r="W34" s="775">
        <f t="shared" si="12"/>
        <v>100</v>
      </c>
      <c r="X34" s="1813"/>
      <c r="Y34" s="315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9"/>
      <c r="Q35" s="1810">
        <f t="shared" si="8"/>
        <v>111</v>
      </c>
      <c r="R35" s="774" t="s">
        <v>17</v>
      </c>
      <c r="S35" s="775">
        <f t="shared" si="10"/>
        <v>100</v>
      </c>
      <c r="T35" s="774" t="s">
        <v>17</v>
      </c>
      <c r="U35" s="775">
        <f t="shared" si="11"/>
        <v>100</v>
      </c>
      <c r="V35" s="774" t="s">
        <v>17</v>
      </c>
      <c r="W35" s="775">
        <f t="shared" si="12"/>
        <v>100</v>
      </c>
      <c r="X35" s="1813"/>
      <c r="Y35" s="315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0" t="s">
        <v>2565</v>
      </c>
      <c r="Q36" s="1810">
        <f t="shared" si="8"/>
        <v>111</v>
      </c>
      <c r="R36" s="774" t="s">
        <v>17</v>
      </c>
      <c r="S36" s="775">
        <f t="shared" si="10"/>
        <v>100</v>
      </c>
      <c r="T36" s="774" t="s">
        <v>17</v>
      </c>
      <c r="U36" s="775">
        <f t="shared" si="11"/>
        <v>100</v>
      </c>
      <c r="V36" s="774" t="s">
        <v>17</v>
      </c>
      <c r="W36" s="775">
        <f t="shared" si="12"/>
        <v>100</v>
      </c>
      <c r="X36" s="1813"/>
      <c r="Y36" s="3161"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1"/>
      <c r="Q37" s="1810">
        <f t="shared" si="8"/>
        <v>111</v>
      </c>
      <c r="R37" s="777" t="s">
        <v>17</v>
      </c>
      <c r="S37" s="778">
        <f t="shared" si="10"/>
        <v>100</v>
      </c>
      <c r="T37" s="777" t="s">
        <v>17</v>
      </c>
      <c r="U37" s="778">
        <f t="shared" si="11"/>
        <v>100</v>
      </c>
      <c r="V37" s="777" t="s">
        <v>17</v>
      </c>
      <c r="W37" s="778">
        <f t="shared" si="12"/>
        <v>100</v>
      </c>
      <c r="X37" s="779"/>
      <c r="Y37" s="3161"/>
      <c r="Z37" s="780">
        <f t="shared" si="13"/>
        <v>111</v>
      </c>
      <c r="AA37" s="1811">
        <f t="shared" si="3"/>
        <v>1</v>
      </c>
      <c r="AB37" s="1811">
        <f t="shared" si="4"/>
        <v>1</v>
      </c>
      <c r="AC37" s="1811">
        <f t="shared" si="5"/>
        <v>1</v>
      </c>
    </row>
    <row r="38" spans="1:29" ht="15">
      <c r="A38" s="472" t="s">
        <v>2563</v>
      </c>
      <c r="B38" s="456" t="s">
        <v>2751</v>
      </c>
      <c r="C38" s="679">
        <f>'数据-基础表'!A3</f>
        <v>46801</v>
      </c>
      <c r="D38" s="467">
        <v>100</v>
      </c>
      <c r="E38" s="679">
        <f>Sheet2!D4</f>
        <v>29047</v>
      </c>
      <c r="F38" s="467">
        <f>LOOKUP(E38,117:117,118:118)-LOOKUP(C38,117:117,118:118)+100</f>
        <v>100</v>
      </c>
      <c r="G38" s="679">
        <f>Sheet2!D5</f>
        <v>93007</v>
      </c>
      <c r="H38" s="467">
        <f>LOOKUP(G38,117:117,118:118)-LOOKUP(C38,117:117,118:118)+100</f>
        <v>102</v>
      </c>
      <c r="I38" s="530">
        <f>Sheet2!D8</f>
        <v>19001</v>
      </c>
      <c r="J38" s="467">
        <f>LOOKUP(I38,117:117,118:118)-LOOKUP(C38,117:117,118:118)+100</f>
        <v>100</v>
      </c>
      <c r="K38" s="613"/>
      <c r="L38" s="1140"/>
      <c r="M38" s="1131"/>
      <c r="N38" s="1131"/>
      <c r="O38" s="1139"/>
      <c r="P38" s="3161"/>
      <c r="Q38" s="1810" t="str">
        <f>B38</f>
        <v>宗地面积</v>
      </c>
      <c r="R38" s="774" t="s">
        <v>17</v>
      </c>
      <c r="S38" s="775">
        <f t="shared" si="10"/>
        <v>100</v>
      </c>
      <c r="T38" s="774" t="s">
        <v>17</v>
      </c>
      <c r="U38" s="775">
        <f t="shared" si="11"/>
        <v>102</v>
      </c>
      <c r="V38" s="774" t="s">
        <v>17</v>
      </c>
      <c r="W38" s="775">
        <f t="shared" si="12"/>
        <v>100</v>
      </c>
      <c r="X38" s="1813"/>
      <c r="Y38" s="3161"/>
      <c r="Z38" s="1814" t="str">
        <f t="shared" si="13"/>
        <v>宗地面积</v>
      </c>
      <c r="AA38" s="1811">
        <f t="shared" si="3"/>
        <v>1</v>
      </c>
      <c r="AB38" s="1811">
        <f t="shared" si="4"/>
        <v>0.98039215686274506</v>
      </c>
      <c r="AC38" s="1811">
        <f t="shared" si="5"/>
        <v>1</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61"/>
      <c r="Q39" s="1810" t="str">
        <f t="shared" ref="Q39:Q45" si="14">B39</f>
        <v>宗地形状</v>
      </c>
      <c r="R39" s="774" t="s">
        <v>17</v>
      </c>
      <c r="S39" s="775">
        <f t="shared" si="10"/>
        <v>100</v>
      </c>
      <c r="T39" s="774" t="s">
        <v>17</v>
      </c>
      <c r="U39" s="775">
        <f t="shared" si="11"/>
        <v>100</v>
      </c>
      <c r="V39" s="774" t="s">
        <v>17</v>
      </c>
      <c r="W39" s="775">
        <f t="shared" si="12"/>
        <v>100</v>
      </c>
      <c r="X39" s="1813"/>
      <c r="Y39" s="3161"/>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61"/>
      <c r="Q40" s="1810" t="str">
        <f t="shared" si="14"/>
        <v>临街宽度及深度</v>
      </c>
      <c r="R40" s="774" t="s">
        <v>17</v>
      </c>
      <c r="S40" s="775">
        <f t="shared" si="10"/>
        <v>100</v>
      </c>
      <c r="T40" s="774" t="s">
        <v>17</v>
      </c>
      <c r="U40" s="775">
        <f t="shared" si="11"/>
        <v>100</v>
      </c>
      <c r="V40" s="774" t="s">
        <v>17</v>
      </c>
      <c r="W40" s="775">
        <f t="shared" si="12"/>
        <v>100</v>
      </c>
      <c r="X40" s="1813"/>
      <c r="Y40" s="3161"/>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61"/>
      <c r="Q41" s="1810"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61" t="s">
        <v>2565</v>
      </c>
      <c r="Q42" s="1810" t="str">
        <f t="shared" si="14"/>
        <v>工程地质条件</v>
      </c>
      <c r="R42" s="774" t="s">
        <v>17</v>
      </c>
      <c r="S42" s="775">
        <f t="shared" si="10"/>
        <v>100</v>
      </c>
      <c r="T42" s="774" t="s">
        <v>17</v>
      </c>
      <c r="U42" s="775">
        <f t="shared" si="11"/>
        <v>100</v>
      </c>
      <c r="V42" s="774" t="s">
        <v>17</v>
      </c>
      <c r="W42" s="775">
        <f t="shared" si="12"/>
        <v>100</v>
      </c>
      <c r="X42" s="1813"/>
      <c r="Y42" s="3161"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1"/>
      <c r="Q43" s="1810">
        <f t="shared" si="14"/>
        <v>111</v>
      </c>
      <c r="R43" s="774" t="s">
        <v>17</v>
      </c>
      <c r="S43" s="775">
        <f t="shared" si="10"/>
        <v>100</v>
      </c>
      <c r="T43" s="774" t="s">
        <v>17</v>
      </c>
      <c r="U43" s="775">
        <f t="shared" si="11"/>
        <v>100</v>
      </c>
      <c r="V43" s="774" t="s">
        <v>17</v>
      </c>
      <c r="W43" s="775">
        <f t="shared" si="12"/>
        <v>100</v>
      </c>
      <c r="X43" s="1813"/>
      <c r="Y43" s="316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1"/>
      <c r="Q44" s="1810">
        <f t="shared" si="14"/>
        <v>111</v>
      </c>
      <c r="R44" s="774" t="s">
        <v>17</v>
      </c>
      <c r="S44" s="775">
        <f t="shared" si="10"/>
        <v>100</v>
      </c>
      <c r="T44" s="774" t="s">
        <v>17</v>
      </c>
      <c r="U44" s="775">
        <f t="shared" si="11"/>
        <v>100</v>
      </c>
      <c r="V44" s="774" t="s">
        <v>17</v>
      </c>
      <c r="W44" s="775">
        <f t="shared" si="12"/>
        <v>100</v>
      </c>
      <c r="X44" s="1813"/>
      <c r="Y44" s="3161"/>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1"/>
      <c r="Q45" s="1810">
        <f t="shared" si="14"/>
        <v>111</v>
      </c>
      <c r="R45" s="777" t="s">
        <v>17</v>
      </c>
      <c r="S45" s="778">
        <f t="shared" si="10"/>
        <v>100</v>
      </c>
      <c r="T45" s="777" t="s">
        <v>17</v>
      </c>
      <c r="U45" s="778">
        <f t="shared" si="11"/>
        <v>100</v>
      </c>
      <c r="V45" s="777" t="s">
        <v>17</v>
      </c>
      <c r="W45" s="778">
        <f t="shared" si="12"/>
        <v>100</v>
      </c>
      <c r="X45" s="779"/>
      <c r="Y45" s="3161"/>
      <c r="Z45" s="780">
        <f t="shared" si="13"/>
        <v>111</v>
      </c>
      <c r="AA45" s="1811">
        <f t="shared" si="3"/>
        <v>1</v>
      </c>
      <c r="AB45" s="1811">
        <f t="shared" si="4"/>
        <v>1</v>
      </c>
      <c r="AC45" s="1811">
        <f t="shared" si="5"/>
        <v>1</v>
      </c>
    </row>
    <row r="46" spans="1:29" ht="15">
      <c r="A46" s="479" t="s">
        <v>2720</v>
      </c>
      <c r="B46" s="2707" t="s">
        <v>2756</v>
      </c>
      <c r="C46" s="682" t="s">
        <v>1</v>
      </c>
      <c r="D46" s="481"/>
      <c r="E46" s="482">
        <f>ROUND(Sheet2!K4,0)</f>
        <v>3018</v>
      </c>
      <c r="F46" s="483"/>
      <c r="G46" s="484">
        <f>ROUND(Sheet2!K5,0)</f>
        <v>3000</v>
      </c>
      <c r="H46" s="485"/>
      <c r="I46" s="482">
        <f>ROUND(Sheet2!K8,0)</f>
        <v>3000</v>
      </c>
      <c r="J46" s="485"/>
      <c r="K46" s="783"/>
      <c r="L46" s="1143"/>
      <c r="M46" s="1144"/>
      <c r="N46" s="1131"/>
      <c r="O46" s="1144"/>
      <c r="P46" s="3156" t="str">
        <f>A46</f>
        <v>成交单价</v>
      </c>
      <c r="Q46" s="3156"/>
      <c r="R46" s="3162">
        <f>E46</f>
        <v>3018</v>
      </c>
      <c r="S46" s="3162"/>
      <c r="T46" s="3162">
        <f>G46</f>
        <v>3000</v>
      </c>
      <c r="U46" s="3162"/>
      <c r="V46" s="3162">
        <f>I46</f>
        <v>3000</v>
      </c>
      <c r="W46" s="3162"/>
      <c r="X46" s="759"/>
      <c r="Y46" s="781"/>
      <c r="Z46" s="759"/>
      <c r="AA46" s="759"/>
      <c r="AB46" s="759"/>
      <c r="AC46" s="759"/>
    </row>
    <row r="47" spans="1:29" ht="15.75" thickBot="1">
      <c r="A47" s="486" t="s">
        <v>2669</v>
      </c>
      <c r="B47" s="683"/>
      <c r="C47" s="490">
        <f>R48</f>
        <v>2802</v>
      </c>
      <c r="D47" s="489"/>
      <c r="E47" s="490">
        <f>R47</f>
        <v>2845</v>
      </c>
      <c r="F47" s="491"/>
      <c r="G47" s="488">
        <f>T47</f>
        <v>2719</v>
      </c>
      <c r="H47" s="489"/>
      <c r="I47" s="490">
        <f>V47</f>
        <v>2842</v>
      </c>
      <c r="J47" s="489"/>
      <c r="K47" s="784"/>
      <c r="L47" s="1143"/>
      <c r="M47" s="1144"/>
      <c r="N47" s="1144"/>
      <c r="O47" s="1144"/>
      <c r="P47" s="3156" t="str">
        <f>A47</f>
        <v>比较价值（元/平方米）</v>
      </c>
      <c r="Q47" s="3156"/>
      <c r="R47" s="3149">
        <f>ROUND(PRODUCT(R46,AA7:AA45),0)</f>
        <v>2845</v>
      </c>
      <c r="S47" s="3149"/>
      <c r="T47" s="3149">
        <f>ROUND(PRODUCT(T46,AB7:AB45),0)</f>
        <v>2719</v>
      </c>
      <c r="U47" s="3149"/>
      <c r="V47" s="3149">
        <f>ROUND(PRODUCT(V46,AC7:AC45),0)</f>
        <v>2842</v>
      </c>
      <c r="W47" s="3149"/>
      <c r="X47" s="759"/>
      <c r="Y47" s="759"/>
      <c r="Z47" s="759"/>
      <c r="AA47" s="759"/>
      <c r="AB47" s="759"/>
      <c r="AC47" s="759"/>
    </row>
    <row r="48" spans="1:29" ht="15.75" thickBot="1">
      <c r="A48" s="492" t="s">
        <v>2757</v>
      </c>
      <c r="B48" s="493"/>
      <c r="C48" s="494">
        <f>R48</f>
        <v>2802</v>
      </c>
      <c r="D48" s="494"/>
      <c r="E48" s="494"/>
      <c r="F48" s="494"/>
      <c r="G48" s="494"/>
      <c r="H48" s="494"/>
      <c r="I48" s="494"/>
      <c r="J48" s="494"/>
      <c r="K48" s="785"/>
      <c r="L48" s="1143"/>
      <c r="M48" s="1144"/>
      <c r="N48" s="1144"/>
      <c r="O48" s="1144"/>
      <c r="P48" s="3150" t="str">
        <f>A48</f>
        <v>估价对象XX用房的比较价值（楼面单价，元/平方米）</v>
      </c>
      <c r="Q48" s="3151"/>
      <c r="R48" s="3152">
        <f>ROUND(AVERAGE(R47:V47),0)</f>
        <v>2802</v>
      </c>
      <c r="S48" s="3152"/>
      <c r="T48" s="3152"/>
      <c r="U48" s="3152"/>
      <c r="V48" s="3152"/>
      <c r="W48" s="315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6.0808435852372611E-2</v>
      </c>
      <c r="F51" s="500" t="str">
        <f>IF(OR(E51&gt;=0.3,E51&lt;=-0.3),"超过30%","")</f>
        <v/>
      </c>
      <c r="G51" s="499">
        <f>IF(G46&lt;G47,G47/G46-1,G46/G47-1)</f>
        <v>0.1033468186833395</v>
      </c>
      <c r="H51" s="500" t="str">
        <f>IF(OR(G51&gt;=0.3,G51&lt;=-0.3),"超过30%","")</f>
        <v/>
      </c>
      <c r="I51" s="499">
        <f>IF(I46&lt;I47,I47/I46-1,I46/I47-1)</f>
        <v>5.5594651653764871E-2</v>
      </c>
      <c r="J51" s="500" t="str">
        <f>IF(OR(I51&gt;=0.3,I51&lt;=-0.3),"超过30%","")</f>
        <v/>
      </c>
      <c r="K51" s="1105"/>
      <c r="L51" s="1106"/>
      <c r="M51" s="1144"/>
      <c r="N51" s="1144"/>
      <c r="O51" s="1144"/>
    </row>
    <row r="52" spans="1:15" ht="13.5" customHeight="1">
      <c r="A52" s="1144"/>
      <c r="B52" s="1144"/>
      <c r="C52" s="497" t="s">
        <v>2672</v>
      </c>
      <c r="D52" s="501"/>
      <c r="E52" s="499">
        <f>IF(E47&lt;G47,G47/E47-1,E47/G47-1)</f>
        <v>4.6340566384700299E-2</v>
      </c>
      <c r="F52" s="500" t="str">
        <f>IF(OR(E52&gt;=0.2,E52&lt;=-0.2),"超过20%","")</f>
        <v/>
      </c>
      <c r="G52" s="499">
        <f>IF(G47&lt;I47,I47/G47-1,G47/I47-1)</f>
        <v>4.5237219566016895E-2</v>
      </c>
      <c r="H52" s="500" t="str">
        <f>IF(OR(G52&gt;=0.2,G52&lt;=-0.2),"超过20%","")</f>
        <v/>
      </c>
      <c r="I52" s="499">
        <f>IF(I47&lt;E47,E47/I47-1,I47/E47-1)</f>
        <v>1.055594651653724E-3</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6.0000000000000053E-3</v>
      </c>
      <c r="F53" s="500" t="str">
        <f>IF(OR(E53&gt;=0.3,E53&lt;=-0.3),"超过30%","")</f>
        <v/>
      </c>
      <c r="G53" s="499">
        <f>IF(G46&lt;I46,I46/G46-1,G46/I46-1)</f>
        <v>0</v>
      </c>
      <c r="H53" s="500" t="str">
        <f>IF(OR(G53&gt;=0.3,G53&lt;=-0.3),"超过30%","")</f>
        <v/>
      </c>
      <c r="I53" s="499">
        <f>IF(I46&lt;E46,E46/I46-1,I46/E46-1)</f>
        <v>6.0000000000000053E-3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53" t="s">
        <v>2764</v>
      </c>
      <c r="H55" s="3154"/>
      <c r="I55" s="144" t="s">
        <v>2765</v>
      </c>
      <c r="J55" s="2710">
        <f>项目基本情况!F35</f>
        <v>0</v>
      </c>
      <c r="K55" s="2711" t="s">
        <v>2766</v>
      </c>
      <c r="L55" s="1106"/>
      <c r="M55" s="1144"/>
      <c r="N55" s="1144"/>
      <c r="O55" s="1144"/>
    </row>
    <row r="56" spans="1:15" s="692" customFormat="1">
      <c r="A56" s="688" t="s">
        <v>2767</v>
      </c>
      <c r="B56" s="689">
        <f>C48</f>
        <v>2802</v>
      </c>
      <c r="C56" s="690">
        <v>1</v>
      </c>
      <c r="D56" s="1163">
        <v>1</v>
      </c>
      <c r="E56" s="690">
        <f>'数据-汇总表'!E8+'数据-汇总表'!E9</f>
        <v>74858.680000000008</v>
      </c>
      <c r="F56" s="1103">
        <f t="shared" ref="F56:F65" si="15">ROUND(B56*E56/10000,0)</f>
        <v>20975</v>
      </c>
      <c r="G56" s="3155"/>
      <c r="H56" s="3156"/>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57"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57"/>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57"/>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57"/>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2"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20134.2</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94992.88</v>
      </c>
      <c r="F66" s="697">
        <f>IF(B46="楼面地价",SUM(F56:F65),ROUND(C48*E66/10000,0))</f>
        <v>20975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2783</v>
      </c>
      <c r="B71" s="332" t="str">
        <f>"北京市平均增长率"&amp;TEXT(SUMIF(基准地价修正!N21:N25,A71,基准地价修正!P21:P25),"0.00%")</f>
        <v>北京市平均增长率2.26%</v>
      </c>
      <c r="C71" s="603">
        <v>100</v>
      </c>
      <c r="D71" s="595">
        <v>99.5</v>
      </c>
      <c r="E71" s="595">
        <v>99</v>
      </c>
      <c r="F71" s="595">
        <v>98.5</v>
      </c>
      <c r="G71" s="595">
        <v>98</v>
      </c>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2563</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2"/>
      <c r="O117" s="1152"/>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D9" sqref="D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c r="D1" s="1580"/>
      <c r="E1" s="320"/>
      <c r="F1" s="320"/>
      <c r="G1" s="1581"/>
      <c r="H1" s="320"/>
      <c r="I1" s="320"/>
      <c r="J1" s="320"/>
      <c r="K1" s="320">
        <f>MATCH(C1,'数据-取费表'!A6:A16,0)+5</f>
        <v>10</v>
      </c>
    </row>
    <row r="2" spans="1:33" ht="18" customHeight="1">
      <c r="A2" s="245" t="s">
        <v>2330</v>
      </c>
      <c r="B2" s="248">
        <f ca="1">C32</f>
        <v>89626</v>
      </c>
      <c r="C2" s="320" t="s">
        <v>2463</v>
      </c>
      <c r="D2" s="320"/>
      <c r="E2" s="320"/>
      <c r="F2" s="320"/>
      <c r="G2" s="320"/>
      <c r="H2" s="320"/>
      <c r="I2" s="320"/>
      <c r="J2" s="320"/>
      <c r="K2" s="320"/>
    </row>
    <row r="3" spans="1:33" ht="18" customHeight="1" thickBot="1">
      <c r="A3" s="247" t="s">
        <v>2332</v>
      </c>
      <c r="B3" s="248">
        <f ca="1">ROUND(B2*10000/IF(C1="",'数据-汇总表'!E3,INDIRECT("'数据-取费表'!K"&amp;$K$1)),0)</f>
        <v>9435</v>
      </c>
      <c r="C3" s="320" t="s">
        <v>2464</v>
      </c>
      <c r="D3" s="320"/>
      <c r="E3" s="320"/>
      <c r="F3" s="320"/>
      <c r="G3" s="320"/>
      <c r="H3" s="320"/>
      <c r="I3" s="320"/>
      <c r="J3" s="320"/>
      <c r="K3" s="320"/>
    </row>
    <row r="4" spans="1:33" s="956" customFormat="1" ht="16.5" customHeight="1">
      <c r="A4" s="953" t="s">
        <v>2465</v>
      </c>
      <c r="B4" s="954"/>
      <c r="C4" s="996">
        <f ca="1">SUM(C8:K8)</f>
        <v>106979.82950000001</v>
      </c>
      <c r="D4" s="954"/>
      <c r="E4" s="954"/>
      <c r="F4" s="954"/>
      <c r="G4" s="954"/>
      <c r="H4" s="954"/>
      <c r="I4" s="954"/>
      <c r="J4" s="954"/>
      <c r="K4" s="955"/>
    </row>
    <row r="5" spans="1:33" s="960" customFormat="1" ht="15">
      <c r="A5" s="957" t="s">
        <v>2466</v>
      </c>
      <c r="B5" s="958" t="s">
        <v>2467</v>
      </c>
      <c r="C5" s="2557" t="s">
        <v>27</v>
      </c>
      <c r="D5" s="2557" t="s">
        <v>1373</v>
      </c>
      <c r="E5" s="2557" t="s">
        <v>48</v>
      </c>
      <c r="F5" s="2557" t="s">
        <v>3074</v>
      </c>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8500</v>
      </c>
      <c r="D6" s="962">
        <f ca="1">收益法!C43</f>
        <v>19986</v>
      </c>
      <c r="E6" s="962"/>
      <c r="F6" s="962">
        <v>8500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24739.83</v>
      </c>
      <c r="D7" s="321">
        <f>SUMIF('数据-汇总表'!$C19:$C33,假设开发法!D5,'数据-汇总表'!$E19:$E33)</f>
        <v>37742.410000000003</v>
      </c>
      <c r="E7" s="321">
        <f>SUMIF('数据-汇总表'!$C19:$C33,假设开发法!E5,'数据-汇总表'!$E19:$E33)</f>
        <v>20134.2</v>
      </c>
      <c r="F7" s="321">
        <f>SUMIF('数据-汇总表'!$C19:$C33,假设开发法!F5,'数据-汇总表'!$E19:$E33)</f>
        <v>12376.44</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f>C6*C7/10000</f>
        <v>21028.855500000001</v>
      </c>
      <c r="D8" s="997">
        <f ca="1">收益法!C40</f>
        <v>75431</v>
      </c>
      <c r="E8" s="997"/>
      <c r="F8" s="998">
        <f>F6*F7/10000</f>
        <v>10519.974</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4032</v>
      </c>
      <c r="D11" s="973"/>
      <c r="E11" s="375"/>
      <c r="F11" s="974">
        <f ca="1">1-IF('数据-取费表'!B24=0,1,IF(C1="",'数据-取费表'!N16,INDIRECT("'数据-取费表'!n"&amp;$K$1)))</f>
        <v>0.15000000000000002</v>
      </c>
      <c r="G11" s="8"/>
      <c r="H11" s="968"/>
      <c r="I11" s="968"/>
      <c r="J11" s="968"/>
      <c r="K11" s="969"/>
    </row>
    <row r="12" spans="1:33" s="975" customFormat="1" ht="13.5" customHeight="1">
      <c r="A12" s="971" t="s">
        <v>1331</v>
      </c>
      <c r="B12" s="972" t="s">
        <v>2481</v>
      </c>
      <c r="C12" s="24">
        <f ca="1">ROUND(C11*F12,0)</f>
        <v>121</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285</v>
      </c>
      <c r="D14" s="1033">
        <f ca="1">IF(C1="",'数据-汇总表'!E3,INDIRECT("'数据-取费表'!K"&amp;$K$1)+INDIRECT("'数据-取费表'!S"&amp;$K$1))</f>
        <v>94992.88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60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4498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94992.88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t="s">
        <v>3097</v>
      </c>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1102</v>
      </c>
      <c r="D20" s="1033">
        <f ca="1">IF(C1="",'数据-汇总表'!E6,IF(INDIRECT("'数据-取费表'!c"&amp;$K$1)="住宅",INDIRECT("'数据-取费表'!s"&amp;$K$1),INDIRECT("'数据-取费表'!k"&amp;$K$1)+INDIRECT("'数据-取费表'!s"&amp;$K$1)))</f>
        <v>94992.88</v>
      </c>
      <c r="E20" s="24">
        <f>'数据-取费表'!B28</f>
        <v>116</v>
      </c>
      <c r="F20" s="976"/>
      <c r="G20" s="15"/>
      <c r="H20" s="981"/>
      <c r="I20" s="981"/>
      <c r="J20" s="981"/>
      <c r="K20" s="982"/>
    </row>
    <row r="21" spans="1:33" s="975" customFormat="1" ht="13.5" customHeight="1">
      <c r="A21" s="961" t="s">
        <v>802</v>
      </c>
      <c r="B21" s="985" t="s">
        <v>2496</v>
      </c>
      <c r="C21" s="986">
        <f ca="1">C16+C17+C18</f>
        <v>4498</v>
      </c>
      <c r="D21" s="987"/>
      <c r="E21" s="325"/>
      <c r="F21" s="325"/>
      <c r="G21" s="140" t="s">
        <v>2497</v>
      </c>
      <c r="H21" s="979"/>
      <c r="I21" s="979"/>
      <c r="J21" s="979"/>
      <c r="K21" s="980"/>
    </row>
    <row r="22" spans="1:33" s="975" customFormat="1" ht="13.5" customHeight="1">
      <c r="A22" s="961" t="s">
        <v>2469</v>
      </c>
      <c r="B22" s="985" t="s">
        <v>2498</v>
      </c>
      <c r="C22" s="986">
        <f ca="1">ROUND(C21*F22,0)</f>
        <v>90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321</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34</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1.44E-2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34</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736</v>
      </c>
      <c r="D28" s="324">
        <f ca="1">C29</f>
        <v>2.3199999999999998E-2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2.3199999999999998E-2</v>
      </c>
      <c r="D29" s="328"/>
      <c r="E29" s="329"/>
      <c r="F29" s="334"/>
      <c r="G29" s="140" t="s">
        <v>2512</v>
      </c>
      <c r="H29" s="979"/>
      <c r="I29" s="979"/>
      <c r="J29" s="979"/>
      <c r="K29" s="980"/>
    </row>
    <row r="30" spans="1:33" s="335" customFormat="1" ht="13.5" customHeight="1">
      <c r="A30" s="971" t="s">
        <v>804</v>
      </c>
      <c r="B30" s="994" t="s">
        <v>2513</v>
      </c>
      <c r="C30" s="336">
        <f ca="1">ROUND((C21+C22+C23)*F28,0)</f>
        <v>736</v>
      </c>
      <c r="D30" s="328"/>
      <c r="E30" s="329"/>
      <c r="F30" s="334"/>
      <c r="G30" s="140"/>
      <c r="H30" s="979"/>
      <c r="I30" s="979"/>
      <c r="J30" s="979"/>
      <c r="K30" s="980"/>
    </row>
    <row r="31" spans="1:33" s="975" customFormat="1" ht="13.5" customHeight="1" thickBot="1">
      <c r="A31" s="2563" t="s">
        <v>2514</v>
      </c>
      <c r="B31" s="1005" t="s">
        <v>2515</v>
      </c>
      <c r="C31" s="1006">
        <f ca="1">ROUND(C4*F31/(1+'数据-取费表'!C42),0)</f>
        <v>5706</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89626</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3092</v>
      </c>
      <c r="E1" s="1821" t="s">
        <v>1383</v>
      </c>
      <c r="F1" s="1283">
        <f ca="1">J53</f>
        <v>36.25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75431</v>
      </c>
      <c r="C2" s="1845" t="s">
        <v>1512</v>
      </c>
      <c r="D2" s="1845"/>
      <c r="E2" s="1846"/>
      <c r="F2" s="1847"/>
      <c r="G2" s="1848"/>
      <c r="H2" s="1840"/>
      <c r="I2" s="1840"/>
      <c r="J2" s="1840"/>
      <c r="K2" s="1841"/>
      <c r="L2" s="1840"/>
      <c r="M2" s="1840"/>
    </row>
    <row r="3" spans="1:37" ht="18" customHeight="1" thickBot="1">
      <c r="A3" s="1849" t="s">
        <v>1513</v>
      </c>
      <c r="B3" s="1850">
        <f ca="1">IF(ISERROR(B2*10000/F43),0,ROUND(B2*10000/F43,0))</f>
        <v>19986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4344</v>
      </c>
      <c r="D5" s="1822" t="s">
        <v>1398</v>
      </c>
      <c r="E5" s="1293"/>
      <c r="F5" s="1294"/>
      <c r="G5" s="1851"/>
      <c r="H5" s="344">
        <v>1</v>
      </c>
      <c r="I5" s="345" t="s">
        <v>1397</v>
      </c>
      <c r="J5" s="1292">
        <f ca="1">J6+J10+J12</f>
        <v>0</v>
      </c>
      <c r="K5" s="1822" t="s">
        <v>1398</v>
      </c>
      <c r="L5" s="1293"/>
      <c r="M5" s="1294"/>
    </row>
    <row r="6" spans="1:37" ht="18" customHeight="1">
      <c r="A6" s="1291" t="s">
        <v>1032</v>
      </c>
      <c r="B6" s="3194" t="s">
        <v>1399</v>
      </c>
      <c r="C6" s="1296">
        <f ca="1">ROUND(F6*F8*F7*(1-F9)/10000,0)</f>
        <v>4339</v>
      </c>
      <c r="D6" s="164" t="s">
        <v>3033</v>
      </c>
      <c r="E6" s="347" t="s">
        <v>1401</v>
      </c>
      <c r="F6" s="348">
        <f ca="1">INDIRECT("'数据-取费表'!u"&amp;$G$1)</f>
        <v>3.5</v>
      </c>
      <c r="G6" s="1851"/>
      <c r="H6" s="1291" t="s">
        <v>1032</v>
      </c>
      <c r="I6" s="3194" t="s">
        <v>1399</v>
      </c>
      <c r="J6" s="346">
        <f ca="1">ROUND(M6*M8*M7*(1-M9)/10000,0)</f>
        <v>0</v>
      </c>
      <c r="K6" s="164" t="s">
        <v>3032</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37742.410000000003</v>
      </c>
      <c r="G7" s="1851"/>
      <c r="H7" s="349"/>
      <c r="I7" s="3195"/>
      <c r="J7" s="351"/>
      <c r="K7" s="352"/>
      <c r="L7" s="347" t="s">
        <v>1402</v>
      </c>
      <c r="M7" s="348">
        <f ca="1">F7</f>
        <v>37742.410000000003</v>
      </c>
    </row>
    <row r="8" spans="1:37" ht="18" customHeight="1">
      <c r="A8" s="349"/>
      <c r="B8" s="3195"/>
      <c r="C8" s="351"/>
      <c r="D8" s="352"/>
      <c r="E8" s="347" t="s">
        <v>1403</v>
      </c>
      <c r="F8" s="348">
        <f ca="1">INDIRECT("'数据-取费表'!ai"&amp;$G$1)</f>
        <v>365</v>
      </c>
      <c r="G8" s="1851"/>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0.1</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5</v>
      </c>
      <c r="D10" s="1824" t="s">
        <v>3042</v>
      </c>
      <c r="E10" s="358" t="s">
        <v>1406</v>
      </c>
      <c r="F10" s="1366" t="s">
        <v>3093</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17379</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11323</v>
      </c>
      <c r="D14" s="1800" t="s">
        <v>1414</v>
      </c>
      <c r="E14" s="1794"/>
      <c r="F14" s="364"/>
      <c r="G14" s="1851"/>
      <c r="H14" s="1201" t="s">
        <v>1032</v>
      </c>
      <c r="I14" s="347" t="s">
        <v>1415</v>
      </c>
      <c r="J14" s="24">
        <f ca="1">C29</f>
        <v>17379</v>
      </c>
      <c r="K14" s="15"/>
      <c r="L14" s="979"/>
      <c r="M14" s="980"/>
    </row>
    <row r="15" spans="1:37" s="1858" customFormat="1" ht="18" customHeight="1" thickBot="1">
      <c r="A15" s="1201" t="s">
        <v>1033</v>
      </c>
      <c r="B15" s="347" t="s">
        <v>1416</v>
      </c>
      <c r="C15" s="24">
        <f ca="1">ROUND(C14*F15,0)</f>
        <v>340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420</v>
      </c>
      <c r="K16" s="1337" t="s">
        <v>1421</v>
      </c>
      <c r="L16" s="1338"/>
      <c r="M16" s="1294"/>
    </row>
    <row r="17" spans="1:37" s="1858" customFormat="1" ht="18" customHeight="1">
      <c r="A17" s="1201" t="s">
        <v>1386</v>
      </c>
      <c r="B17" s="347" t="s">
        <v>1422</v>
      </c>
      <c r="C17" s="24">
        <f ca="1">ROUND(F17*(F43+INDIRECT("'数据-取费表'!S"&amp;$G$1))/10000,0)</f>
        <v>755</v>
      </c>
      <c r="D17" s="347" t="s">
        <v>1423</v>
      </c>
      <c r="E17" s="347" t="s">
        <v>1424</v>
      </c>
      <c r="F17" s="26">
        <f>'数据-取费表'!B35</f>
        <v>200</v>
      </c>
      <c r="G17" s="1854"/>
      <c r="H17" s="1201" t="s">
        <v>1032</v>
      </c>
      <c r="I17" s="347" t="s">
        <v>1425</v>
      </c>
      <c r="J17" s="24">
        <f ca="1">ROUND(IF(项目基本情况!B11="自然人",J5*M17,J18+J19+J20),1)</f>
        <v>159.6</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170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12588</v>
      </c>
      <c r="D19" s="140" t="s">
        <v>1432</v>
      </c>
      <c r="E19" s="1818"/>
      <c r="F19" s="26"/>
      <c r="G19" s="1851"/>
      <c r="H19" s="1201" t="s">
        <v>1033</v>
      </c>
      <c r="I19" s="347" t="s">
        <v>1433</v>
      </c>
      <c r="J19" s="24">
        <f ca="1">IF(K19="按租金收入计税",ROUND(J5*M19,2),ROUND(C29*M19*0.7,2))</f>
        <v>145.97999999999999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252</v>
      </c>
      <c r="D20" s="369" t="s">
        <v>1436</v>
      </c>
      <c r="E20" s="347" t="s">
        <v>1418</v>
      </c>
      <c r="F20" s="367">
        <f>'数据-取费表'!B37</f>
        <v>0.02</v>
      </c>
      <c r="G20" s="1854"/>
      <c r="H20" s="1201" t="s">
        <v>1385</v>
      </c>
      <c r="I20" s="164" t="s">
        <v>1437</v>
      </c>
      <c r="J20" s="25">
        <f ca="1">ROUND(M20*M21/10000,2)</f>
        <v>13.57</v>
      </c>
      <c r="K20" s="370" t="s">
        <v>1438</v>
      </c>
      <c r="L20" s="347" t="s">
        <v>1439</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8480.59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260.7</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610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-420</v>
      </c>
      <c r="K25" s="1345" t="s">
        <v>1460</v>
      </c>
      <c r="L25" s="1346"/>
      <c r="M25" s="1347"/>
    </row>
    <row r="26" spans="1:37">
      <c r="A26" s="1201" t="s">
        <v>1031</v>
      </c>
      <c r="B26" s="347" t="s">
        <v>1461</v>
      </c>
      <c r="C26" s="24">
        <f ca="1">ROUND((C19+C20)*F26,0)</f>
        <v>2568</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17379</v>
      </c>
      <c r="D29" s="1342"/>
      <c r="E29" s="1340"/>
      <c r="F29" s="1343"/>
      <c r="G29" s="1854"/>
      <c r="H29" s="380" t="s">
        <v>1030</v>
      </c>
      <c r="I29" s="381" t="s">
        <v>1475</v>
      </c>
      <c r="J29" s="382">
        <f ca="1">ROUND(J26/(1+F40)^F41,0)</f>
        <v>0</v>
      </c>
      <c r="K29" s="383" t="s">
        <v>1476</v>
      </c>
      <c r="L29" s="384"/>
      <c r="M29" s="385">
        <f ca="1">INDIRECT("'数据-取费表'!k"&amp;$G$1)</f>
        <v>37742.410000000003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1097</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766.5</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231.68</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521.28</v>
      </c>
      <c r="D33" s="1828" t="s">
        <v>3094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13.57</v>
      </c>
      <c r="D34" s="370" t="s">
        <v>1438</v>
      </c>
      <c r="E34" s="347" t="s">
        <v>1439</v>
      </c>
      <c r="F34" s="371">
        <f>'数据-取费表'!B52</f>
        <v>16</v>
      </c>
      <c r="G34" s="1851"/>
      <c r="H34" s="745"/>
      <c r="I34" s="1860"/>
      <c r="J34" s="1861"/>
      <c r="K34" s="1863"/>
      <c r="L34" s="1864"/>
      <c r="M34" s="1864"/>
    </row>
    <row r="35" spans="1:18" ht="18" customHeight="1">
      <c r="A35" s="1353"/>
      <c r="B35" s="1351"/>
      <c r="C35" s="29"/>
      <c r="D35" s="373"/>
      <c r="E35" s="347" t="s">
        <v>1443</v>
      </c>
      <c r="F35" s="348">
        <f ca="1">INDIRECT("'数据-取费表'!r"&amp;$G$1)</f>
        <v>8480.59</v>
      </c>
      <c r="G35" s="1851"/>
      <c r="H35" s="745"/>
      <c r="I35" s="1860"/>
      <c r="J35" s="1861"/>
      <c r="K35" s="1862"/>
      <c r="L35" s="1859"/>
      <c r="M35" s="1859"/>
    </row>
    <row r="36" spans="1:18" ht="18" customHeight="1">
      <c r="A36" s="1352" t="s">
        <v>1036</v>
      </c>
      <c r="B36" s="347" t="s">
        <v>1445</v>
      </c>
      <c r="C36" s="24">
        <f ca="1">ROUND(C29*F36,1)</f>
        <v>260.7</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26.1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43.4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3247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75431</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36.25</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19986</v>
      </c>
      <c r="D43" s="383" t="s">
        <v>1484</v>
      </c>
      <c r="E43" s="384" t="s">
        <v>1485</v>
      </c>
      <c r="F43" s="385">
        <f ca="1">INDIRECT("'数据-取费表'!k"&amp;$G$1)</f>
        <v>37742.410000000003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-102836</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3095</v>
      </c>
      <c r="K47" s="1882" t="s">
        <v>1523</v>
      </c>
      <c r="L47" s="1883">
        <f ca="1">INDIRECT("'数据-取费表'!d"&amp;$G$1)</f>
        <v>40</v>
      </c>
      <c r="M47" s="1838" t="str">
        <f>IF(ISNUMBER(FIND("住宅",C1)),"住宅","非住宅")</f>
        <v>非住宅</v>
      </c>
      <c r="O47" s="1884" t="s">
        <v>1037</v>
      </c>
      <c r="P47" s="1885" t="s">
        <v>1524</v>
      </c>
      <c r="Q47" s="1886">
        <f ca="1">C40+J29</f>
        <v>75431</v>
      </c>
      <c r="R47" s="1886" t="s">
        <v>1525</v>
      </c>
    </row>
    <row r="48" spans="1:18" s="1842" customFormat="1" ht="28.5" thickBot="1">
      <c r="A48" s="1360" t="s">
        <v>1132</v>
      </c>
      <c r="B48" s="345" t="s">
        <v>1397</v>
      </c>
      <c r="C48" s="1817">
        <f ca="1">C49+C53+C55</f>
        <v>0</v>
      </c>
      <c r="D48" s="1362"/>
      <c r="E48" s="1363"/>
      <c r="F48" s="1181"/>
      <c r="G48" s="792"/>
      <c r="H48" s="793"/>
      <c r="I48" s="1887" t="s">
        <v>1526</v>
      </c>
      <c r="J48" s="1888" t="s">
        <v>3096</v>
      </c>
      <c r="K48" s="1889" t="s">
        <v>1527</v>
      </c>
      <c r="L48" s="1890">
        <f ca="1">INDIRECT("'数据-取费表'!f"&amp;$G$1)</f>
        <v>36.549999999999997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c r="K49" s="1889" t="s">
        <v>1531</v>
      </c>
      <c r="L49" s="1893"/>
      <c r="O49" s="1894" t="s">
        <v>1039</v>
      </c>
      <c r="P49" s="1885" t="s">
        <v>1532</v>
      </c>
      <c r="Q49" s="1886">
        <f ca="1">C29</f>
        <v>17379</v>
      </c>
      <c r="R49" s="1886" t="s">
        <v>1525</v>
      </c>
    </row>
    <row r="50" spans="1:18" s="1842" customFormat="1" ht="13.5" thickBot="1">
      <c r="A50" s="1195"/>
      <c r="B50" s="1198"/>
      <c r="C50" s="1368"/>
      <c r="D50" s="1172"/>
      <c r="E50" s="1277" t="s">
        <v>1402</v>
      </c>
      <c r="F50" s="1278">
        <f ca="1">F7</f>
        <v>37742.410000000003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31458</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36.25</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36.25</v>
      </c>
      <c r="K53" s="3192" t="s">
        <v>1544</v>
      </c>
      <c r="L53" s="3193"/>
      <c r="O53" s="1884" t="s">
        <v>1043</v>
      </c>
      <c r="P53" s="1885" t="s">
        <v>1545</v>
      </c>
      <c r="Q53" s="1886">
        <f ca="1">Q47+Q48</f>
        <v>75431</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17379</v>
      </c>
      <c r="D56" s="1914"/>
      <c r="E56" s="1915"/>
      <c r="F56" s="1907"/>
      <c r="I56" s="1916" t="s">
        <v>1550</v>
      </c>
      <c r="J56" s="1917" t="s">
        <v>3069</v>
      </c>
      <c r="K56" s="1887" t="s">
        <v>1551</v>
      </c>
      <c r="L56" s="1890" t="str">
        <f ca="1">IF(L48&lt;J51,"——",L48-J53)</f>
        <v>——</v>
      </c>
      <c r="O56" s="1884" t="s">
        <v>1037</v>
      </c>
      <c r="P56" s="1885" t="s">
        <v>1524</v>
      </c>
      <c r="Q56" s="1886">
        <f ca="1">C40+J29</f>
        <v>75431</v>
      </c>
      <c r="R56" s="1886" t="s">
        <v>1525</v>
      </c>
    </row>
    <row r="57" spans="1:18" s="1842" customFormat="1" ht="24.75" thickBot="1">
      <c r="A57" s="1918"/>
      <c r="B57" s="1169" t="s">
        <v>1474</v>
      </c>
      <c r="C57" s="282">
        <f ca="1">C29</f>
        <v>17379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1760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1473.4</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1459.84</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13.57</v>
      </c>
      <c r="D62" s="1184" t="s">
        <v>1493</v>
      </c>
      <c r="E62" s="1169" t="s">
        <v>1494</v>
      </c>
      <c r="F62" s="371">
        <f t="shared" si="0"/>
        <v>16</v>
      </c>
      <c r="I62" s="1929" t="s">
        <v>1566</v>
      </c>
      <c r="J62" s="1930" t="s">
        <v>1567</v>
      </c>
      <c r="K62" s="1930" t="s">
        <v>1568</v>
      </c>
      <c r="L62" s="1930" t="s">
        <v>1569</v>
      </c>
      <c r="M62" s="1931" t="s">
        <v>1570</v>
      </c>
      <c r="O62" s="1884" t="s">
        <v>1043</v>
      </c>
      <c r="P62" s="1885" t="s">
        <v>1571</v>
      </c>
      <c r="Q62" s="1886">
        <f ca="1">Q56+Q57</f>
        <v>75431</v>
      </c>
      <c r="R62" s="1886" t="s">
        <v>1044</v>
      </c>
    </row>
    <row r="63" spans="1:18" s="1842" customFormat="1" ht="13.5" thickBot="1">
      <c r="A63" s="372"/>
      <c r="B63" s="1175"/>
      <c r="C63" s="29"/>
      <c r="D63" s="1185"/>
      <c r="E63" s="1169" t="s">
        <v>1495</v>
      </c>
      <c r="F63" s="348">
        <f t="shared" ca="1" si="0"/>
        <v>8480.59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260.7</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26.1</v>
      </c>
      <c r="D65" s="1183" t="s">
        <v>1450</v>
      </c>
      <c r="E65" s="1169" t="s">
        <v>1451</v>
      </c>
      <c r="F65" s="376">
        <f t="shared" ca="1" si="0"/>
        <v>1.5E-3</v>
      </c>
      <c r="I65" s="1929" t="s">
        <v>1575</v>
      </c>
      <c r="J65" s="1930">
        <v>40</v>
      </c>
      <c r="K65" s="1930">
        <v>30</v>
      </c>
      <c r="L65" s="1930">
        <v>50</v>
      </c>
      <c r="M65" s="1932">
        <v>0.02</v>
      </c>
      <c r="O65" s="1884" t="s">
        <v>1037</v>
      </c>
      <c r="P65" s="1885" t="s">
        <v>1576</v>
      </c>
      <c r="Q65" s="1886">
        <f ca="1">C40+J29</f>
        <v>75431</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-1760</v>
      </c>
      <c r="D67" s="1182" t="s">
        <v>1460</v>
      </c>
      <c r="E67" s="1187"/>
      <c r="F67" s="1188"/>
      <c r="O67" s="1894" t="s">
        <v>1039</v>
      </c>
      <c r="P67" s="1885" t="s">
        <v>1558</v>
      </c>
      <c r="Q67" s="1933">
        <f ca="1">L51</f>
        <v>31458</v>
      </c>
      <c r="R67" s="1886" t="s">
        <v>1578</v>
      </c>
    </row>
    <row r="68" spans="1:18" s="1842" customFormat="1" ht="16.5" thickBot="1">
      <c r="A68" s="1166" t="s">
        <v>1029</v>
      </c>
      <c r="B68" s="1167" t="s">
        <v>1481</v>
      </c>
      <c r="C68" s="346">
        <f ca="1">ROUND(C67*(1-((1+F70)/(1+F68))^F69)/(F68-F70),0)</f>
        <v>-27405</v>
      </c>
      <c r="D68" s="1184" t="s">
        <v>1465</v>
      </c>
      <c r="E68" s="1169" t="s">
        <v>1466</v>
      </c>
      <c r="F68" s="357">
        <f ca="1">F40</f>
        <v>5.5E-2</v>
      </c>
      <c r="O68" s="1894" t="s">
        <v>1040</v>
      </c>
      <c r="P68" s="1934" t="s">
        <v>1579</v>
      </c>
      <c r="Q68" s="1886">
        <f ca="1">ROUND(Q69-Q70*Q71,0)</f>
        <v>1770</v>
      </c>
      <c r="R68" s="1886" t="s">
        <v>1048</v>
      </c>
    </row>
    <row r="69" spans="1:18" s="1842" customFormat="1" ht="13.5" thickBot="1">
      <c r="A69" s="1170"/>
      <c r="B69" s="1171"/>
      <c r="C69" s="351"/>
      <c r="D69" s="1189" t="s">
        <v>1469</v>
      </c>
      <c r="E69" s="1169" t="s">
        <v>1470</v>
      </c>
      <c r="F69" s="379">
        <f ca="1">F41</f>
        <v>36.25</v>
      </c>
      <c r="O69" s="1894" t="s">
        <v>1045</v>
      </c>
      <c r="P69" s="1934" t="s">
        <v>1580</v>
      </c>
      <c r="Q69" s="1886">
        <f ca="1">C39</f>
        <v>3247</v>
      </c>
      <c r="R69" s="1886" t="s">
        <v>1525</v>
      </c>
    </row>
    <row r="70" spans="1:18" s="1842" customFormat="1" ht="13.5" thickBot="1">
      <c r="A70" s="1173"/>
      <c r="B70" s="1174"/>
      <c r="C70" s="355"/>
      <c r="D70" s="1185"/>
      <c r="E70" s="1169" t="s">
        <v>1473</v>
      </c>
      <c r="F70" s="1275"/>
      <c r="O70" s="1894" t="s">
        <v>1046</v>
      </c>
      <c r="P70" s="1934" t="s">
        <v>1581</v>
      </c>
      <c r="Q70" s="1886">
        <f ca="1">C13</f>
        <v>17379</v>
      </c>
      <c r="R70" s="1886" t="s">
        <v>1525</v>
      </c>
    </row>
    <row r="71" spans="1:18" s="1842" customFormat="1" ht="13.5" thickBot="1">
      <c r="A71" s="1190" t="s">
        <v>1030</v>
      </c>
      <c r="B71" s="1191" t="s">
        <v>1483</v>
      </c>
      <c r="C71" s="382">
        <f ca="1">ROUND(C68*10000/F71,0)</f>
        <v>-7261</v>
      </c>
      <c r="D71" s="1192" t="s">
        <v>1484</v>
      </c>
      <c r="E71" s="1193" t="s">
        <v>1485</v>
      </c>
      <c r="F71" s="385">
        <f ca="1">F43</f>
        <v>37742.410000000003</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1477</v>
      </c>
      <c r="D75" s="1842"/>
      <c r="E75" s="1842"/>
      <c r="F75" s="1842"/>
      <c r="K75" s="1868"/>
      <c r="L75" s="1842"/>
      <c r="O75" s="1884" t="s">
        <v>1043</v>
      </c>
      <c r="P75" s="1885" t="s">
        <v>1545</v>
      </c>
      <c r="Q75" s="1886">
        <f ca="1">Q65+Q66</f>
        <v>75431</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0.54499999999999993</v>
      </c>
    </row>
    <row r="80" spans="1:18">
      <c r="B80" s="386" t="s">
        <v>1507</v>
      </c>
      <c r="C80" s="318">
        <f ca="1">ROUND(C75/C39,3)</f>
        <v>0.45500000000000002</v>
      </c>
    </row>
    <row r="81" spans="2:3">
      <c r="B81" s="314" t="s">
        <v>1508</v>
      </c>
      <c r="C81" s="282"/>
    </row>
    <row r="82" spans="2:3">
      <c r="B82" s="317" t="s">
        <v>1509</v>
      </c>
      <c r="C82" s="319">
        <f ca="1">1-C83</f>
        <v>0.77</v>
      </c>
    </row>
    <row r="83" spans="2:3">
      <c r="B83" s="317" t="s">
        <v>1510</v>
      </c>
      <c r="C83" s="318">
        <f ca="1">ROUND(C13/C40,3)</f>
        <v>0.23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4" t="s">
        <v>1399</v>
      </c>
      <c r="C6" s="1296">
        <f ca="1">ROUND(F6*F8*F7*(1-F9),0)</f>
        <v>0</v>
      </c>
      <c r="D6" s="164" t="s">
        <v>3030</v>
      </c>
      <c r="E6" s="347" t="s">
        <v>1401</v>
      </c>
      <c r="F6" s="348">
        <f ca="1">INDIRECT("'数据-取费表'!u"&amp;$G$1)</f>
        <v>0</v>
      </c>
      <c r="G6" s="1851"/>
      <c r="H6" s="1291" t="s">
        <v>1032</v>
      </c>
      <c r="I6" s="3194" t="s">
        <v>1399</v>
      </c>
      <c r="J6" s="346">
        <f ca="1">ROUND(M6*M8*M7*(1-M9),0)</f>
        <v>0</v>
      </c>
      <c r="K6" s="1834" t="s">
        <v>3031</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0</v>
      </c>
      <c r="G7" s="1851"/>
      <c r="H7" s="349"/>
      <c r="I7" s="3195"/>
      <c r="J7" s="351"/>
      <c r="K7" s="352"/>
      <c r="L7" s="347" t="s">
        <v>1402</v>
      </c>
      <c r="M7" s="348">
        <f ca="1">F7</f>
        <v>0</v>
      </c>
    </row>
    <row r="8" spans="1:37" ht="18" customHeight="1">
      <c r="A8" s="349"/>
      <c r="B8" s="3195"/>
      <c r="C8" s="351"/>
      <c r="D8" s="352"/>
      <c r="E8" s="347" t="s">
        <v>1403</v>
      </c>
      <c r="F8" s="348">
        <f ca="1">INDIRECT("'数据-取费表'!ai"&amp;$G$1)</f>
        <v>0</v>
      </c>
      <c r="G8" s="1851"/>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16</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2" t="s">
        <v>1544</v>
      </c>
      <c r="L53" s="319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16</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2526</v>
      </c>
      <c r="B1" s="2565"/>
      <c r="C1" s="2565"/>
      <c r="D1" s="2565"/>
      <c r="E1" s="2566"/>
    </row>
    <row r="2" spans="1:6" ht="15.75">
      <c r="A2" s="2567" t="s">
        <v>2330</v>
      </c>
      <c r="B2" s="2568">
        <f ca="1">SUMIF(B6:B13,"&lt;&gt;#ref!",B6:B13)</f>
        <v>75431</v>
      </c>
      <c r="C2" s="2569" t="s">
        <v>2519</v>
      </c>
      <c r="D2" s="2570" t="s">
        <v>2520</v>
      </c>
      <c r="E2" s="2571">
        <f>SUM(E6:E13)</f>
        <v>37742.410000000003</v>
      </c>
    </row>
    <row r="3" spans="1:6" ht="15.75">
      <c r="A3" s="2567" t="s">
        <v>1391</v>
      </c>
      <c r="B3" s="2568">
        <f ca="1">ROUND(B2*10000/E2,0)</f>
        <v>19986</v>
      </c>
      <c r="C3" s="2569" t="s">
        <v>2527</v>
      </c>
      <c r="D3" s="2572"/>
      <c r="E3" s="2573"/>
    </row>
    <row r="4" spans="1:6" ht="15.75">
      <c r="A4" s="2574"/>
      <c r="B4" s="2572"/>
      <c r="C4" s="2572"/>
      <c r="D4" s="2572"/>
      <c r="E4" s="2573"/>
    </row>
    <row r="5" spans="1:6" ht="15">
      <c r="A5" s="2575" t="s">
        <v>2521</v>
      </c>
      <c r="B5" s="3197" t="s">
        <v>2522</v>
      </c>
      <c r="C5" s="3197"/>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t="str">
        <f>'数据-取费表'!AN7</f>
        <v>收益法</v>
      </c>
      <c r="B7" s="2578">
        <f ca="1">IF(F7="是",'数据-取费表'!AO7,0)</f>
        <v>75431</v>
      </c>
      <c r="C7" s="2569" t="s">
        <v>2519</v>
      </c>
      <c r="D7" s="2572"/>
      <c r="E7" s="2580">
        <f>IF(OR(A7=0,F7="否"),0,'数据-取费表'!K7+'数据-取费表'!S7)</f>
        <v>37742.410000000003</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04" t="s">
        <v>1074</v>
      </c>
      <c r="B2" s="3205" t="s">
        <v>1075</v>
      </c>
      <c r="C2" s="3205"/>
      <c r="D2" s="1301" t="s">
        <v>1076</v>
      </c>
      <c r="E2" s="1301" t="s">
        <v>1077</v>
      </c>
      <c r="F2" s="1301" t="s">
        <v>1078</v>
      </c>
      <c r="G2" s="1301" t="s">
        <v>1079</v>
      </c>
      <c r="H2" s="1301" t="s">
        <v>1080</v>
      </c>
      <c r="I2" s="1302" t="s">
        <v>1081</v>
      </c>
    </row>
    <row r="3" spans="1:9">
      <c r="A3" s="3204"/>
      <c r="B3" s="3205" t="s">
        <v>1082</v>
      </c>
      <c r="C3" s="3205"/>
      <c r="D3" s="1303"/>
      <c r="E3" s="1301"/>
      <c r="F3" s="1304"/>
      <c r="G3" s="1304"/>
      <c r="H3" s="1305"/>
      <c r="I3" s="1306">
        <f>ROUND(D3*E3*F3*G3*H3/10000,0)</f>
        <v>0</v>
      </c>
    </row>
    <row r="4" spans="1:9">
      <c r="A4" s="3204"/>
      <c r="B4" s="3205" t="s">
        <v>1083</v>
      </c>
      <c r="C4" s="3205"/>
      <c r="D4" s="1303"/>
      <c r="E4" s="1301"/>
      <c r="F4" s="1304"/>
      <c r="G4" s="1304"/>
      <c r="H4" s="1305"/>
      <c r="I4" s="1306">
        <f t="shared" ref="I4:I9" si="0">ROUND(D4*E4*F4*G4*H4/10000,0)</f>
        <v>0</v>
      </c>
    </row>
    <row r="5" spans="1:9">
      <c r="A5" s="3204"/>
      <c r="B5" s="3205" t="s">
        <v>1084</v>
      </c>
      <c r="C5" s="3205"/>
      <c r="D5" s="1303"/>
      <c r="E5" s="1301"/>
      <c r="F5" s="1304"/>
      <c r="G5" s="1304"/>
      <c r="H5" s="1305"/>
      <c r="I5" s="1306">
        <f t="shared" si="0"/>
        <v>0</v>
      </c>
    </row>
    <row r="6" spans="1:9">
      <c r="A6" s="3204"/>
      <c r="B6" s="3205" t="s">
        <v>1085</v>
      </c>
      <c r="C6" s="3205"/>
      <c r="D6" s="1303"/>
      <c r="E6" s="1301"/>
      <c r="F6" s="1304"/>
      <c r="G6" s="1304"/>
      <c r="H6" s="1305"/>
      <c r="I6" s="1306">
        <f t="shared" si="0"/>
        <v>0</v>
      </c>
    </row>
    <row r="7" spans="1:9">
      <c r="A7" s="3204"/>
      <c r="B7" s="3205" t="s">
        <v>1086</v>
      </c>
      <c r="C7" s="3205"/>
      <c r="D7" s="1303"/>
      <c r="E7" s="1301"/>
      <c r="F7" s="1304"/>
      <c r="G7" s="1304"/>
      <c r="H7" s="1305"/>
      <c r="I7" s="1306">
        <f t="shared" si="0"/>
        <v>0</v>
      </c>
    </row>
    <row r="8" spans="1:9">
      <c r="A8" s="3204"/>
      <c r="B8" s="3205" t="s">
        <v>1087</v>
      </c>
      <c r="C8" s="3205"/>
      <c r="D8" s="1303"/>
      <c r="E8" s="1301"/>
      <c r="F8" s="1304"/>
      <c r="G8" s="1304"/>
      <c r="H8" s="1305"/>
      <c r="I8" s="1306">
        <f t="shared" si="0"/>
        <v>0</v>
      </c>
    </row>
    <row r="9" spans="1:9">
      <c r="A9" s="3204"/>
      <c r="B9" s="3205" t="s">
        <v>1088</v>
      </c>
      <c r="C9" s="3205"/>
      <c r="D9" s="1303"/>
      <c r="E9" s="1301"/>
      <c r="F9" s="1304"/>
      <c r="G9" s="1304"/>
      <c r="H9" s="1305"/>
      <c r="I9" s="1306">
        <f t="shared" si="0"/>
        <v>0</v>
      </c>
    </row>
    <row r="10" spans="1:9">
      <c r="A10" s="3204"/>
      <c r="B10" s="3206" t="s">
        <v>1089</v>
      </c>
      <c r="C10" s="3206"/>
      <c r="D10" s="1307"/>
      <c r="E10" s="1307" t="e">
        <f>ROUND(D1*10000/D10/H9,0)</f>
        <v>#DIV/0!</v>
      </c>
      <c r="F10" s="1308"/>
      <c r="G10" s="1308"/>
      <c r="H10" s="1309"/>
      <c r="I10" s="1310">
        <f>SUM(I3:I9)</f>
        <v>0</v>
      </c>
    </row>
    <row r="11" spans="1:9" ht="14.25">
      <c r="A11" s="3204" t="s">
        <v>1090</v>
      </c>
      <c r="B11" s="3205" t="s">
        <v>1091</v>
      </c>
      <c r="C11" s="3205"/>
      <c r="D11" s="1303" t="s">
        <v>1092</v>
      </c>
      <c r="E11" s="1303" t="s">
        <v>1093</v>
      </c>
      <c r="F11" s="1304" t="s">
        <v>1094</v>
      </c>
      <c r="G11" s="1304" t="s">
        <v>1080</v>
      </c>
      <c r="H11" s="1311" t="s">
        <v>1095</v>
      </c>
      <c r="I11" s="1302" t="s">
        <v>1081</v>
      </c>
    </row>
    <row r="12" spans="1:9">
      <c r="A12" s="3204"/>
      <c r="B12" s="3205" t="s">
        <v>1096</v>
      </c>
      <c r="C12" s="3205"/>
      <c r="D12" s="1303"/>
      <c r="E12" s="1303"/>
      <c r="F12" s="1304"/>
      <c r="G12" s="1305"/>
      <c r="H12" s="1312"/>
      <c r="I12" s="1302">
        <f>ROUND(D12*E12*F12*G12/10000,0)</f>
        <v>0</v>
      </c>
    </row>
    <row r="13" spans="1:9">
      <c r="A13" s="3204"/>
      <c r="B13" s="3205" t="s">
        <v>1097</v>
      </c>
      <c r="C13" s="3205"/>
      <c r="D13" s="1303"/>
      <c r="E13" s="1303"/>
      <c r="F13" s="1304"/>
      <c r="G13" s="1305"/>
      <c r="H13" s="1312"/>
      <c r="I13" s="1302">
        <f>ROUND(D13*E13*F13*G13/10000,0)</f>
        <v>0</v>
      </c>
    </row>
    <row r="14" spans="1:9">
      <c r="A14" s="3204"/>
      <c r="B14" s="3205" t="s">
        <v>1098</v>
      </c>
      <c r="C14" s="3205"/>
      <c r="D14" s="1303"/>
      <c r="E14" s="1303"/>
      <c r="F14" s="1304"/>
      <c r="G14" s="1305"/>
      <c r="H14" s="1312"/>
      <c r="I14" s="1302">
        <f>ROUND(D14*E14*F14*G14/10000,0)</f>
        <v>0</v>
      </c>
    </row>
    <row r="15" spans="1:9">
      <c r="A15" s="3204"/>
      <c r="B15" s="3206" t="s">
        <v>1089</v>
      </c>
      <c r="C15" s="3206"/>
      <c r="D15" s="1307"/>
      <c r="E15" s="1307">
        <f>SUM(E12:E14)</f>
        <v>0</v>
      </c>
      <c r="F15" s="1308"/>
      <c r="G15" s="1305"/>
      <c r="H15" s="1312"/>
      <c r="I15" s="1313">
        <f>SUM(I12:I14)</f>
        <v>0</v>
      </c>
    </row>
    <row r="16" spans="1:9" ht="24">
      <c r="A16" s="3204" t="s">
        <v>1099</v>
      </c>
      <c r="B16" s="3205" t="s">
        <v>1100</v>
      </c>
      <c r="C16" s="3205"/>
      <c r="D16" s="1303" t="s">
        <v>1076</v>
      </c>
      <c r="E16" s="1314" t="s">
        <v>1101</v>
      </c>
      <c r="F16" s="1304" t="s">
        <v>1102</v>
      </c>
      <c r="G16" s="1305" t="s">
        <v>1080</v>
      </c>
      <c r="H16" s="1311" t="s">
        <v>1095</v>
      </c>
      <c r="I16" s="1302" t="s">
        <v>1081</v>
      </c>
    </row>
    <row r="17" spans="1:9" ht="14.25">
      <c r="A17" s="3204"/>
      <c r="B17" s="3205" t="s">
        <v>1103</v>
      </c>
      <c r="C17" s="3205"/>
      <c r="D17" s="1303"/>
      <c r="E17" s="1303"/>
      <c r="F17" s="1304"/>
      <c r="G17" s="1305"/>
      <c r="H17" s="1315"/>
      <c r="I17" s="1316">
        <f>ROUND(D17*E17*F17*G17/10000,0)</f>
        <v>0</v>
      </c>
    </row>
    <row r="18" spans="1:9" ht="14.25">
      <c r="A18" s="3204"/>
      <c r="B18" s="3205" t="s">
        <v>1104</v>
      </c>
      <c r="C18" s="3205"/>
      <c r="D18" s="1303"/>
      <c r="E18" s="1303"/>
      <c r="F18" s="1304"/>
      <c r="G18" s="1305"/>
      <c r="H18" s="1315"/>
      <c r="I18" s="1316">
        <f>ROUND(D18*E18*F18*G18/10000,0)</f>
        <v>0</v>
      </c>
    </row>
    <row r="19" spans="1:9" ht="14.25">
      <c r="A19" s="3204"/>
      <c r="B19" s="3205" t="s">
        <v>1105</v>
      </c>
      <c r="C19" s="3205"/>
      <c r="D19" s="1303"/>
      <c r="E19" s="1303"/>
      <c r="F19" s="1304"/>
      <c r="G19" s="1305"/>
      <c r="H19" s="1315"/>
      <c r="I19" s="1316">
        <f>ROUND(D19*E19*F19*G19/10000,0)</f>
        <v>0</v>
      </c>
    </row>
    <row r="20" spans="1:9">
      <c r="A20" s="3204"/>
      <c r="B20" s="3206" t="s">
        <v>1089</v>
      </c>
      <c r="C20" s="3206"/>
      <c r="D20" s="1307">
        <f>SUM(D17:D19)</f>
        <v>0</v>
      </c>
      <c r="E20" s="1307"/>
      <c r="F20" s="1308"/>
      <c r="G20" s="1305"/>
      <c r="H20" s="1312"/>
      <c r="I20" s="1313">
        <f>SUM(I17:I19)</f>
        <v>0</v>
      </c>
    </row>
    <row r="21" spans="1:9">
      <c r="A21" s="3204"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01">
        <f>C27-C30-C31-C32</f>
        <v>0</v>
      </c>
      <c r="F26" s="3201"/>
      <c r="G26" s="3201"/>
      <c r="H26" s="1737" t="s">
        <v>1336</v>
      </c>
    </row>
    <row r="27" spans="1:9">
      <c r="A27" s="1324">
        <v>1</v>
      </c>
      <c r="B27" s="1325" t="s">
        <v>1115</v>
      </c>
      <c r="C27" s="1325">
        <f>C28+C29</f>
        <v>0</v>
      </c>
      <c r="D27" s="1325"/>
      <c r="E27" s="3202"/>
      <c r="F27" s="3202"/>
      <c r="G27" s="3202"/>
    </row>
    <row r="28" spans="1:9">
      <c r="A28" s="1326" t="s">
        <v>1116</v>
      </c>
      <c r="B28" s="1325" t="s">
        <v>1117</v>
      </c>
      <c r="C28" s="1325"/>
      <c r="D28" s="1325"/>
      <c r="E28" s="3202"/>
      <c r="F28" s="3202"/>
      <c r="G28" s="32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3"/>
      <c r="F32" s="3203"/>
      <c r="G32" s="3203"/>
    </row>
    <row r="33" spans="1:7" hidden="1">
      <c r="A33" s="3198" t="s">
        <v>1126</v>
      </c>
      <c r="B33" s="3199"/>
      <c r="C33" s="3199"/>
      <c r="D33" s="3200"/>
      <c r="E33" s="3201"/>
      <c r="F33" s="3201"/>
      <c r="G33" s="3201"/>
    </row>
    <row r="34" spans="1:7" hidden="1">
      <c r="A34" s="1328">
        <v>1</v>
      </c>
      <c r="B34" s="1325" t="s">
        <v>1127</v>
      </c>
      <c r="C34" s="1325"/>
      <c r="D34" s="1325"/>
      <c r="E34" s="3202"/>
      <c r="F34" s="3202"/>
      <c r="G34" s="3202"/>
    </row>
    <row r="35" spans="1:7" hidden="1">
      <c r="A35" s="1328">
        <v>2</v>
      </c>
      <c r="B35" s="1325" t="s">
        <v>1128</v>
      </c>
      <c r="C35" s="1325"/>
      <c r="D35" s="1325"/>
      <c r="E35" s="3202"/>
      <c r="F35" s="3202"/>
      <c r="G35" s="3202"/>
    </row>
    <row r="36" spans="1:7" hidden="1">
      <c r="A36" s="1328">
        <v>3</v>
      </c>
      <c r="B36" s="1325" t="s">
        <v>1129</v>
      </c>
      <c r="C36" s="1325"/>
      <c r="D36" s="1325"/>
      <c r="E36" s="3202"/>
      <c r="F36" s="3202"/>
      <c r="G36" s="3202"/>
    </row>
    <row r="37" spans="1:7" hidden="1">
      <c r="A37" s="1328">
        <v>4</v>
      </c>
      <c r="B37" s="1325" t="s">
        <v>1130</v>
      </c>
      <c r="C37" s="1325"/>
      <c r="D37" s="1325"/>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2534</v>
      </c>
      <c r="D3" s="399">
        <f>IF(D1="",'数据-汇总表'!E3,SUMIF('数据-汇总表'!$C19:$C33,D1,'数据-汇总表'!$E19:$E33))</f>
        <v>94992.88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53" t="s">
        <v>2536</v>
      </c>
      <c r="D4" s="3166"/>
      <c r="E4" s="3167" t="s">
        <v>2537</v>
      </c>
      <c r="F4" s="3168"/>
      <c r="G4" s="3153" t="s">
        <v>2538</v>
      </c>
      <c r="H4" s="3166"/>
      <c r="I4" s="3153" t="s">
        <v>2539</v>
      </c>
      <c r="J4" s="3166"/>
      <c r="K4" s="2599" t="s">
        <v>2540</v>
      </c>
      <c r="L4" s="1130"/>
      <c r="M4" s="1131"/>
      <c r="N4" s="1131"/>
      <c r="O4" s="1131"/>
      <c r="P4" s="3169" t="s">
        <v>2541</v>
      </c>
      <c r="Q4" s="3170"/>
      <c r="R4" s="3175" t="s">
        <v>2537</v>
      </c>
      <c r="S4" s="3176"/>
      <c r="T4" s="3175" t="s">
        <v>2538</v>
      </c>
      <c r="U4" s="3176"/>
      <c r="V4" s="3162" t="s">
        <v>2539</v>
      </c>
      <c r="W4" s="3162"/>
      <c r="X4" s="1813"/>
      <c r="Y4" s="3175" t="s">
        <v>2541</v>
      </c>
      <c r="Z4" s="3176"/>
      <c r="AA4" s="3163" t="s">
        <v>2537</v>
      </c>
      <c r="AB4" s="3163" t="s">
        <v>2538</v>
      </c>
      <c r="AC4" s="3163" t="s">
        <v>2539</v>
      </c>
    </row>
    <row r="5" spans="1:29" ht="15">
      <c r="A5" s="404"/>
      <c r="B5" s="405"/>
      <c r="C5" s="3183" t="s">
        <v>2542</v>
      </c>
      <c r="D5" s="3184"/>
      <c r="E5" s="3190" t="s">
        <v>2543</v>
      </c>
      <c r="F5" s="3191"/>
      <c r="G5" s="3183" t="s">
        <v>2544</v>
      </c>
      <c r="H5" s="3184"/>
      <c r="I5" s="3183" t="s">
        <v>2545</v>
      </c>
      <c r="J5" s="3184"/>
      <c r="K5" s="2600"/>
      <c r="L5" s="1130"/>
      <c r="M5" s="1131"/>
      <c r="N5" s="1131"/>
      <c r="O5" s="1131"/>
      <c r="P5" s="3171"/>
      <c r="Q5" s="3172"/>
      <c r="R5" s="3177"/>
      <c r="S5" s="3178"/>
      <c r="T5" s="3177"/>
      <c r="U5" s="3178"/>
      <c r="V5" s="3162"/>
      <c r="W5" s="3162"/>
      <c r="X5" s="1813"/>
      <c r="Y5" s="3177"/>
      <c r="Z5" s="3178"/>
      <c r="AA5" s="3164"/>
      <c r="AB5" s="3164"/>
      <c r="AC5" s="3164"/>
    </row>
    <row r="6" spans="1:29" ht="15.75" thickBot="1">
      <c r="A6" s="406"/>
      <c r="B6" s="407"/>
      <c r="C6" s="3181" t="s">
        <v>2546</v>
      </c>
      <c r="D6" s="3182"/>
      <c r="E6" s="3188" t="s">
        <v>2546</v>
      </c>
      <c r="F6" s="3189"/>
      <c r="G6" s="3181" t="s">
        <v>2546</v>
      </c>
      <c r="H6" s="3182"/>
      <c r="I6" s="3181" t="s">
        <v>2546</v>
      </c>
      <c r="J6" s="3182"/>
      <c r="K6" s="2600" t="s">
        <v>2547</v>
      </c>
      <c r="L6" s="1130"/>
      <c r="M6" s="1131"/>
      <c r="N6" s="1131"/>
      <c r="O6" s="1131"/>
      <c r="P6" s="3173"/>
      <c r="Q6" s="3174"/>
      <c r="R6" s="3177"/>
      <c r="S6" s="3178"/>
      <c r="T6" s="3179"/>
      <c r="U6" s="3180"/>
      <c r="V6" s="3162"/>
      <c r="W6" s="3162"/>
      <c r="X6" s="1813"/>
      <c r="Y6" s="3179"/>
      <c r="Z6" s="3180"/>
      <c r="AA6" s="3165"/>
      <c r="AB6" s="3165"/>
      <c r="AC6" s="3165"/>
    </row>
    <row r="7" spans="1:29" s="117" customFormat="1" ht="15.75" thickBot="1">
      <c r="A7" s="408" t="s">
        <v>2548</v>
      </c>
      <c r="B7" s="409"/>
      <c r="C7" s="410">
        <f>'数据-取费表'!B2</f>
        <v>43614</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85" t="s">
        <v>2549</v>
      </c>
      <c r="Q7" s="3187"/>
      <c r="R7" s="770" t="s">
        <v>23</v>
      </c>
      <c r="S7" s="771">
        <f t="shared" ref="S7:S15" si="0">F7</f>
        <v>0</v>
      </c>
      <c r="T7" s="770" t="s">
        <v>23</v>
      </c>
      <c r="U7" s="771">
        <f t="shared" ref="U7:U15" si="1">H7</f>
        <v>0</v>
      </c>
      <c r="V7" s="770" t="s">
        <v>23</v>
      </c>
      <c r="W7" s="771">
        <f t="shared" ref="W7:W15" si="2">J7</f>
        <v>0</v>
      </c>
      <c r="X7" s="772"/>
      <c r="Y7" s="3185" t="s">
        <v>2549</v>
      </c>
      <c r="Z7" s="3186"/>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85" t="s">
        <v>2552</v>
      </c>
      <c r="Q8" s="3186"/>
      <c r="R8" s="770" t="s">
        <v>23</v>
      </c>
      <c r="S8" s="771">
        <f t="shared" si="0"/>
        <v>0</v>
      </c>
      <c r="T8" s="770" t="s">
        <v>23</v>
      </c>
      <c r="U8" s="771">
        <f t="shared" si="1"/>
        <v>0</v>
      </c>
      <c r="V8" s="770" t="s">
        <v>23</v>
      </c>
      <c r="W8" s="771">
        <f t="shared" si="2"/>
        <v>0</v>
      </c>
      <c r="X8" s="772"/>
      <c r="Y8" s="3185" t="s">
        <v>2552</v>
      </c>
      <c r="Z8" s="318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55"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5"/>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5"/>
      <c r="Q11" s="1795"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55"/>
      <c r="Q12" s="1795">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55"/>
      <c r="Q13" s="1795">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55"/>
      <c r="Q14" s="1795">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9.75">
      <c r="A15" s="440" t="s">
        <v>2559</v>
      </c>
      <c r="B15" s="69" t="s">
        <v>2086</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5" t="s">
        <v>2560</v>
      </c>
      <c r="Q15" s="1810" t="str">
        <f t="shared" si="6"/>
        <v>居住社区成熟度</v>
      </c>
      <c r="R15" s="774" t="s">
        <v>21</v>
      </c>
      <c r="S15" s="775">
        <f t="shared" si="0"/>
        <v>100</v>
      </c>
      <c r="T15" s="774" t="s">
        <v>21</v>
      </c>
      <c r="U15" s="775">
        <f t="shared" si="1"/>
        <v>100</v>
      </c>
      <c r="V15" s="774" t="s">
        <v>21</v>
      </c>
      <c r="W15" s="775">
        <f t="shared" si="2"/>
        <v>100</v>
      </c>
      <c r="X15" s="1813"/>
      <c r="Y15" s="3158"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26"/>
      <c r="Q16" s="1810"/>
      <c r="R16" s="774"/>
      <c r="S16" s="775"/>
      <c r="T16" s="774"/>
      <c r="U16" s="775"/>
      <c r="V16" s="774"/>
      <c r="W16" s="775"/>
      <c r="X16" s="1813"/>
      <c r="Y16" s="3159"/>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6"/>
      <c r="Q17" s="1810" t="str">
        <f>B17</f>
        <v>交通便捷度</v>
      </c>
      <c r="R17" s="774" t="s">
        <v>21</v>
      </c>
      <c r="S17" s="775">
        <f>F17</f>
        <v>100</v>
      </c>
      <c r="T17" s="774" t="s">
        <v>21</v>
      </c>
      <c r="U17" s="775">
        <f>H17</f>
        <v>100</v>
      </c>
      <c r="V17" s="774" t="s">
        <v>21</v>
      </c>
      <c r="W17" s="775">
        <f>J17</f>
        <v>100</v>
      </c>
      <c r="X17" s="1813"/>
      <c r="Y17" s="315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26"/>
      <c r="Q18" s="1810"/>
      <c r="R18" s="774"/>
      <c r="S18" s="775"/>
      <c r="T18" s="774"/>
      <c r="U18" s="775"/>
      <c r="V18" s="774"/>
      <c r="W18" s="775"/>
      <c r="X18" s="1813"/>
      <c r="Y18" s="3159"/>
      <c r="Z18" s="1814"/>
      <c r="AA18" s="1811">
        <v>1</v>
      </c>
      <c r="AB18" s="1811">
        <v>1</v>
      </c>
      <c r="AC18" s="1811">
        <v>1</v>
      </c>
    </row>
    <row r="19" spans="1:29" ht="42.75">
      <c r="A19" s="428"/>
      <c r="B19" s="451" t="s">
        <v>2096</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6"/>
      <c r="Q19" s="1810" t="str">
        <f>B19</f>
        <v>公共配套设施</v>
      </c>
      <c r="R19" s="774" t="s">
        <v>21</v>
      </c>
      <c r="S19" s="775">
        <f>F19</f>
        <v>100</v>
      </c>
      <c r="T19" s="774" t="s">
        <v>21</v>
      </c>
      <c r="U19" s="775">
        <f>H19</f>
        <v>100</v>
      </c>
      <c r="V19" s="774" t="s">
        <v>21</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26"/>
      <c r="Q20" s="1810"/>
      <c r="R20" s="774"/>
      <c r="S20" s="775"/>
      <c r="T20" s="774"/>
      <c r="U20" s="775"/>
      <c r="V20" s="774"/>
      <c r="W20" s="775"/>
      <c r="X20" s="1813"/>
      <c r="Y20" s="3159"/>
      <c r="Z20" s="1814"/>
      <c r="AA20" s="1811">
        <v>1</v>
      </c>
      <c r="AB20" s="1811">
        <v>1</v>
      </c>
      <c r="AC20" s="1811">
        <v>1</v>
      </c>
    </row>
    <row r="21" spans="1:29" ht="28.5">
      <c r="A21" s="428"/>
      <c r="B21" s="1384" t="s">
        <v>2099</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26"/>
      <c r="Q22" s="1810"/>
      <c r="R22" s="774"/>
      <c r="S22" s="775"/>
      <c r="T22" s="774"/>
      <c r="U22" s="775"/>
      <c r="V22" s="774"/>
      <c r="W22" s="775"/>
      <c r="X22" s="1813"/>
      <c r="Y22" s="3159"/>
      <c r="Z22" s="1814"/>
      <c r="AA22" s="1811">
        <v>1</v>
      </c>
      <c r="AB22" s="1811">
        <v>1</v>
      </c>
      <c r="AC22" s="1811">
        <v>1</v>
      </c>
    </row>
    <row r="23" spans="1:29" ht="57">
      <c r="A23" s="428"/>
      <c r="B23" s="451" t="s">
        <v>2103</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6"/>
      <c r="Q23" s="1810" t="str">
        <f>B23</f>
        <v>自然及人文环境</v>
      </c>
      <c r="R23" s="774" t="s">
        <v>21</v>
      </c>
      <c r="S23" s="775">
        <f>F23</f>
        <v>100</v>
      </c>
      <c r="T23" s="774" t="s">
        <v>21</v>
      </c>
      <c r="U23" s="775">
        <f>H23</f>
        <v>100</v>
      </c>
      <c r="V23" s="774" t="s">
        <v>21</v>
      </c>
      <c r="W23" s="775">
        <f>J23</f>
        <v>100</v>
      </c>
      <c r="X23" s="1813"/>
      <c r="Y23" s="315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26"/>
      <c r="Q24" s="1810"/>
      <c r="R24" s="774"/>
      <c r="S24" s="775"/>
      <c r="T24" s="774"/>
      <c r="U24" s="775"/>
      <c r="V24" s="774"/>
      <c r="W24" s="775"/>
      <c r="X24" s="1813"/>
      <c r="Y24" s="3159"/>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2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9"/>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26"/>
      <c r="Q26" s="1810" t="str">
        <f t="shared" si="11"/>
        <v>朝向</v>
      </c>
      <c r="R26" s="774" t="s">
        <v>21</v>
      </c>
      <c r="S26" s="775">
        <f t="shared" si="12"/>
        <v>100</v>
      </c>
      <c r="T26" s="774" t="s">
        <v>21</v>
      </c>
      <c r="U26" s="775">
        <f t="shared" si="13"/>
        <v>100</v>
      </c>
      <c r="V26" s="774" t="s">
        <v>21</v>
      </c>
      <c r="W26" s="775">
        <f t="shared" si="14"/>
        <v>100</v>
      </c>
      <c r="X26" s="1813"/>
      <c r="Y26" s="315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26"/>
      <c r="Q27" s="1795">
        <f t="shared" si="11"/>
        <v>111</v>
      </c>
      <c r="R27" s="770" t="s">
        <v>21</v>
      </c>
      <c r="S27" s="771">
        <f t="shared" si="12"/>
        <v>100</v>
      </c>
      <c r="T27" s="770" t="s">
        <v>21</v>
      </c>
      <c r="U27" s="771">
        <f t="shared" si="13"/>
        <v>100</v>
      </c>
      <c r="V27" s="770" t="s">
        <v>21</v>
      </c>
      <c r="W27" s="771">
        <f t="shared" si="14"/>
        <v>100</v>
      </c>
      <c r="X27" s="772"/>
      <c r="Y27" s="315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26"/>
      <c r="Q28" s="1810">
        <f t="shared" si="11"/>
        <v>111</v>
      </c>
      <c r="R28" s="774" t="s">
        <v>21</v>
      </c>
      <c r="S28" s="775">
        <f t="shared" si="12"/>
        <v>100</v>
      </c>
      <c r="T28" s="774" t="s">
        <v>21</v>
      </c>
      <c r="U28" s="775">
        <f t="shared" si="13"/>
        <v>100</v>
      </c>
      <c r="V28" s="774" t="s">
        <v>21</v>
      </c>
      <c r="W28" s="775">
        <f t="shared" si="14"/>
        <v>100</v>
      </c>
      <c r="X28" s="1813"/>
      <c r="Y28" s="315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26"/>
      <c r="Q29" s="1810">
        <f t="shared" si="11"/>
        <v>111</v>
      </c>
      <c r="R29" s="774" t="s">
        <v>21</v>
      </c>
      <c r="S29" s="775">
        <f t="shared" si="12"/>
        <v>100</v>
      </c>
      <c r="T29" s="774" t="s">
        <v>21</v>
      </c>
      <c r="U29" s="775">
        <f t="shared" si="13"/>
        <v>100</v>
      </c>
      <c r="V29" s="774" t="s">
        <v>21</v>
      </c>
      <c r="W29" s="775">
        <f t="shared" si="14"/>
        <v>100</v>
      </c>
      <c r="X29" s="1813"/>
      <c r="Y29" s="315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26"/>
      <c r="Q30" s="1810">
        <f t="shared" si="11"/>
        <v>111</v>
      </c>
      <c r="R30" s="774" t="s">
        <v>21</v>
      </c>
      <c r="S30" s="775">
        <f t="shared" si="12"/>
        <v>100</v>
      </c>
      <c r="T30" s="774" t="s">
        <v>21</v>
      </c>
      <c r="U30" s="775">
        <f t="shared" si="13"/>
        <v>100</v>
      </c>
      <c r="V30" s="774" t="s">
        <v>21</v>
      </c>
      <c r="W30" s="775">
        <f t="shared" si="14"/>
        <v>100</v>
      </c>
      <c r="X30" s="1813"/>
      <c r="Y30" s="315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26"/>
      <c r="Q31" s="1810">
        <f t="shared" si="11"/>
        <v>111</v>
      </c>
      <c r="R31" s="774" t="s">
        <v>21</v>
      </c>
      <c r="S31" s="775">
        <f t="shared" si="12"/>
        <v>100</v>
      </c>
      <c r="T31" s="774" t="s">
        <v>21</v>
      </c>
      <c r="U31" s="775">
        <f t="shared" si="13"/>
        <v>100</v>
      </c>
      <c r="V31" s="774" t="s">
        <v>21</v>
      </c>
      <c r="W31" s="775">
        <f t="shared" si="14"/>
        <v>100</v>
      </c>
      <c r="X31" s="1813"/>
      <c r="Y31" s="3159"/>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21" t="s">
        <v>2565</v>
      </c>
      <c r="Q32" s="1810" t="str">
        <f t="shared" si="11"/>
        <v>建筑类型</v>
      </c>
      <c r="R32" s="774" t="s">
        <v>21</v>
      </c>
      <c r="S32" s="775">
        <f t="shared" si="12"/>
        <v>100</v>
      </c>
      <c r="T32" s="774" t="s">
        <v>21</v>
      </c>
      <c r="U32" s="775">
        <f t="shared" si="13"/>
        <v>100</v>
      </c>
      <c r="V32" s="774" t="s">
        <v>21</v>
      </c>
      <c r="W32" s="775">
        <f t="shared" si="14"/>
        <v>100</v>
      </c>
      <c r="X32" s="1813"/>
      <c r="Y32" s="3161"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22"/>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22"/>
      <c r="Q34" s="1810" t="str">
        <f t="shared" si="11"/>
        <v>建筑结构</v>
      </c>
      <c r="R34" s="774" t="s">
        <v>21</v>
      </c>
      <c r="S34" s="775">
        <f t="shared" si="12"/>
        <v>100</v>
      </c>
      <c r="T34" s="774" t="s">
        <v>21</v>
      </c>
      <c r="U34" s="775">
        <f t="shared" si="13"/>
        <v>100</v>
      </c>
      <c r="V34" s="774" t="s">
        <v>21</v>
      </c>
      <c r="W34" s="775">
        <f t="shared" si="14"/>
        <v>100</v>
      </c>
      <c r="X34" s="1813"/>
      <c r="Y34" s="3161"/>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22"/>
      <c r="Q35" s="1810" t="str">
        <f t="shared" si="11"/>
        <v>建筑品质</v>
      </c>
      <c r="R35" s="774" t="s">
        <v>21</v>
      </c>
      <c r="S35" s="775">
        <f t="shared" si="12"/>
        <v>100</v>
      </c>
      <c r="T35" s="774" t="s">
        <v>21</v>
      </c>
      <c r="U35" s="775">
        <f t="shared" si="13"/>
        <v>100</v>
      </c>
      <c r="V35" s="774" t="s">
        <v>21</v>
      </c>
      <c r="W35" s="775">
        <f t="shared" si="14"/>
        <v>100</v>
      </c>
      <c r="X35" s="1813"/>
      <c r="Y35" s="3161"/>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22"/>
      <c r="Q36" s="1810" t="str">
        <f t="shared" si="11"/>
        <v>公共部分装修</v>
      </c>
      <c r="R36" s="774" t="s">
        <v>21</v>
      </c>
      <c r="S36" s="775">
        <f t="shared" si="12"/>
        <v>100</v>
      </c>
      <c r="T36" s="774" t="s">
        <v>21</v>
      </c>
      <c r="U36" s="775">
        <f t="shared" si="13"/>
        <v>100</v>
      </c>
      <c r="V36" s="774" t="s">
        <v>21</v>
      </c>
      <c r="W36" s="775">
        <f t="shared" si="14"/>
        <v>100</v>
      </c>
      <c r="X36" s="1813"/>
      <c r="Y36" s="3161"/>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5"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22" t="s">
        <v>2565</v>
      </c>
      <c r="Q38" s="1810" t="str">
        <f t="shared" si="11"/>
        <v>物业管理</v>
      </c>
      <c r="R38" s="774" t="s">
        <v>21</v>
      </c>
      <c r="S38" s="775">
        <f t="shared" si="12"/>
        <v>100</v>
      </c>
      <c r="T38" s="774" t="s">
        <v>21</v>
      </c>
      <c r="U38" s="775">
        <f t="shared" si="13"/>
        <v>100</v>
      </c>
      <c r="V38" s="774" t="s">
        <v>21</v>
      </c>
      <c r="W38" s="775">
        <f t="shared" si="14"/>
        <v>100</v>
      </c>
      <c r="X38" s="1813"/>
      <c r="Y38" s="3161"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22"/>
      <c r="Q39" s="1810" t="str">
        <f t="shared" si="11"/>
        <v>市政基础设施</v>
      </c>
      <c r="R39" s="774" t="s">
        <v>21</v>
      </c>
      <c r="S39" s="775">
        <f t="shared" si="12"/>
        <v>100</v>
      </c>
      <c r="T39" s="774" t="s">
        <v>21</v>
      </c>
      <c r="U39" s="775">
        <f t="shared" si="13"/>
        <v>100</v>
      </c>
      <c r="V39" s="774" t="s">
        <v>21</v>
      </c>
      <c r="W39" s="775">
        <f t="shared" si="14"/>
        <v>100</v>
      </c>
      <c r="X39" s="1813"/>
      <c r="Y39" s="3161"/>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22"/>
      <c r="Q40" s="1810" t="str">
        <f t="shared" si="11"/>
        <v>房型</v>
      </c>
      <c r="R40" s="774" t="s">
        <v>21</v>
      </c>
      <c r="S40" s="775">
        <f t="shared" si="12"/>
        <v>100</v>
      </c>
      <c r="T40" s="774" t="s">
        <v>21</v>
      </c>
      <c r="U40" s="775">
        <f t="shared" si="13"/>
        <v>100</v>
      </c>
      <c r="V40" s="774" t="s">
        <v>21</v>
      </c>
      <c r="W40" s="775">
        <f t="shared" si="14"/>
        <v>100</v>
      </c>
      <c r="X40" s="1813"/>
      <c r="Y40" s="3161"/>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22"/>
      <c r="Q42" s="1810" t="str">
        <f t="shared" si="11"/>
        <v>内部装修</v>
      </c>
      <c r="R42" s="774" t="s">
        <v>21</v>
      </c>
      <c r="S42" s="775">
        <f t="shared" si="12"/>
        <v>100</v>
      </c>
      <c r="T42" s="774" t="s">
        <v>21</v>
      </c>
      <c r="U42" s="775">
        <f t="shared" si="13"/>
        <v>100</v>
      </c>
      <c r="V42" s="774" t="s">
        <v>21</v>
      </c>
      <c r="W42" s="775">
        <f t="shared" si="14"/>
        <v>100</v>
      </c>
      <c r="X42" s="1813"/>
      <c r="Y42" s="3161"/>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22"/>
      <c r="Q43" s="1810" t="str">
        <f t="shared" si="11"/>
        <v>内部装修维护情况</v>
      </c>
      <c r="R43" s="774" t="s">
        <v>21</v>
      </c>
      <c r="S43" s="775">
        <f t="shared" si="12"/>
        <v>100</v>
      </c>
      <c r="T43" s="774" t="s">
        <v>21</v>
      </c>
      <c r="U43" s="775">
        <f t="shared" si="13"/>
        <v>100</v>
      </c>
      <c r="V43" s="774" t="s">
        <v>21</v>
      </c>
      <c r="W43" s="775">
        <f t="shared" si="14"/>
        <v>100</v>
      </c>
      <c r="X43" s="1813"/>
      <c r="Y43" s="316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22"/>
      <c r="Q44" s="1795">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22"/>
      <c r="Q45" s="1810">
        <f t="shared" si="11"/>
        <v>111</v>
      </c>
      <c r="R45" s="774" t="s">
        <v>21</v>
      </c>
      <c r="S45" s="775">
        <f t="shared" si="12"/>
        <v>100</v>
      </c>
      <c r="T45" s="774" t="s">
        <v>21</v>
      </c>
      <c r="U45" s="775">
        <f t="shared" si="13"/>
        <v>100</v>
      </c>
      <c r="V45" s="774" t="s">
        <v>21</v>
      </c>
      <c r="W45" s="775">
        <f t="shared" si="14"/>
        <v>100</v>
      </c>
      <c r="X45" s="1813"/>
      <c r="Y45" s="3161"/>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23"/>
      <c r="Q46" s="1810">
        <f t="shared" si="11"/>
        <v>111</v>
      </c>
      <c r="R46" s="774" t="s">
        <v>20</v>
      </c>
      <c r="S46" s="775">
        <f t="shared" si="12"/>
        <v>100</v>
      </c>
      <c r="T46" s="774" t="s">
        <v>20</v>
      </c>
      <c r="U46" s="775">
        <f t="shared" si="13"/>
        <v>100</v>
      </c>
      <c r="V46" s="774" t="s">
        <v>20</v>
      </c>
      <c r="W46" s="775">
        <f t="shared" si="14"/>
        <v>100</v>
      </c>
      <c r="X46" s="1813"/>
      <c r="Y46" s="3224"/>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156" t="str">
        <f>A47</f>
        <v>成交单价（元/平方米）</v>
      </c>
      <c r="Q47" s="3156"/>
      <c r="R47" s="3220">
        <f>E47</f>
        <v>0</v>
      </c>
      <c r="S47" s="3220"/>
      <c r="T47" s="3220">
        <f>G47</f>
        <v>0</v>
      </c>
      <c r="U47" s="3220"/>
      <c r="V47" s="3220">
        <f>I47</f>
        <v>0</v>
      </c>
      <c r="W47" s="3220"/>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156" t="str">
        <f>A48</f>
        <v>比较价值（元/平方米）</v>
      </c>
      <c r="Q48" s="315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150" t="str">
        <f>A49</f>
        <v>估价对象XX用房的比较价值（楼面单价，元/平方米）</v>
      </c>
      <c r="Q49" s="3151"/>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2332</v>
      </c>
      <c r="B3" s="609" t="e">
        <f ca="1">IF(C2="——",C49,ROUND(B2*10000/D3,0))</f>
        <v>#DIV/0!</v>
      </c>
      <c r="C3" s="400" t="s">
        <v>2644</v>
      </c>
      <c r="D3" s="399">
        <f>IF(D1="",'数据-汇总表'!E3,SUMIF('数据-汇总表'!$C19:$C33,D1,'数据-汇总表'!$E19:$E33))</f>
        <v>94992.88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2" t="s">
        <v>2648</v>
      </c>
      <c r="AC4" s="3163" t="s">
        <v>2649</v>
      </c>
    </row>
    <row r="5" spans="1:29"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2"/>
      <c r="AC5" s="3164"/>
    </row>
    <row r="6" spans="1:29" ht="15.75" thickBot="1">
      <c r="A6" s="406"/>
      <c r="B6" s="407"/>
      <c r="C6" s="3181" t="s">
        <v>2546</v>
      </c>
      <c r="D6" s="3182"/>
      <c r="E6" s="3188" t="s">
        <v>2546</v>
      </c>
      <c r="F6" s="3189"/>
      <c r="G6" s="3181" t="s">
        <v>2546</v>
      </c>
      <c r="H6" s="3182"/>
      <c r="I6" s="3181" t="s">
        <v>2546</v>
      </c>
      <c r="J6" s="3182"/>
      <c r="K6" s="610" t="s">
        <v>2547</v>
      </c>
      <c r="L6" s="1130"/>
      <c r="M6" s="1131"/>
      <c r="N6" s="1131"/>
      <c r="O6" s="1131"/>
      <c r="P6" s="3173"/>
      <c r="Q6" s="3174"/>
      <c r="R6" s="3177"/>
      <c r="S6" s="3178"/>
      <c r="T6" s="3179"/>
      <c r="U6" s="3180"/>
      <c r="V6" s="3162"/>
      <c r="W6" s="3162"/>
      <c r="X6" s="1813"/>
      <c r="Y6" s="3179"/>
      <c r="Z6" s="3180"/>
      <c r="AA6" s="3165"/>
      <c r="AB6" s="3162"/>
      <c r="AC6" s="3165"/>
    </row>
    <row r="7" spans="1:29" s="117" customFormat="1" ht="15.75" thickBot="1">
      <c r="A7" s="408" t="s">
        <v>2548</v>
      </c>
      <c r="B7" s="409"/>
      <c r="C7" s="410">
        <f>'数据-取费表'!B2</f>
        <v>43614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2549</v>
      </c>
      <c r="Q7" s="3187"/>
      <c r="R7" s="770" t="s">
        <v>17</v>
      </c>
      <c r="S7" s="771">
        <f t="shared" ref="S7:S15" si="0">F7</f>
        <v>0</v>
      </c>
      <c r="T7" s="770" t="s">
        <v>17</v>
      </c>
      <c r="U7" s="771">
        <f t="shared" ref="U7:U15" si="1">H7</f>
        <v>0</v>
      </c>
      <c r="V7" s="770" t="s">
        <v>17</v>
      </c>
      <c r="W7" s="771">
        <f t="shared" ref="W7:W15" si="2">J7</f>
        <v>0</v>
      </c>
      <c r="X7" s="772"/>
      <c r="Y7" s="3185" t="s">
        <v>2549</v>
      </c>
      <c r="Z7" s="318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2552</v>
      </c>
      <c r="Q8" s="3186"/>
      <c r="R8" s="770" t="s">
        <v>17</v>
      </c>
      <c r="S8" s="771">
        <f t="shared" si="0"/>
        <v>0</v>
      </c>
      <c r="T8" s="770" t="s">
        <v>17</v>
      </c>
      <c r="U8" s="771">
        <f t="shared" si="1"/>
        <v>0</v>
      </c>
      <c r="V8" s="770" t="s">
        <v>17</v>
      </c>
      <c r="W8" s="771">
        <f t="shared" si="2"/>
        <v>0</v>
      </c>
      <c r="X8" s="772"/>
      <c r="Y8" s="3185" t="s">
        <v>2552</v>
      </c>
      <c r="Z8" s="318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5"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5"/>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5"/>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5"/>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5"/>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5"/>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5" t="s">
        <v>2560</v>
      </c>
      <c r="Q15" s="1810" t="str">
        <f t="shared" si="6"/>
        <v>商业繁华度</v>
      </c>
      <c r="R15" s="774" t="s">
        <v>17</v>
      </c>
      <c r="S15" s="775">
        <f t="shared" si="0"/>
        <v>100</v>
      </c>
      <c r="T15" s="774" t="s">
        <v>17</v>
      </c>
      <c r="U15" s="775">
        <f t="shared" si="1"/>
        <v>100</v>
      </c>
      <c r="V15" s="774" t="s">
        <v>17</v>
      </c>
      <c r="W15" s="775">
        <f t="shared" si="2"/>
        <v>100</v>
      </c>
      <c r="X15" s="1813"/>
      <c r="Y15" s="3158"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6"/>
      <c r="Q16" s="1810"/>
      <c r="R16" s="774"/>
      <c r="S16" s="775"/>
      <c r="T16" s="774"/>
      <c r="U16" s="775"/>
      <c r="V16" s="774"/>
      <c r="W16" s="775"/>
      <c r="X16" s="1813"/>
      <c r="Y16" s="3159"/>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26"/>
      <c r="Q18" s="1810"/>
      <c r="R18" s="774"/>
      <c r="S18" s="775"/>
      <c r="T18" s="774"/>
      <c r="U18" s="775"/>
      <c r="V18" s="774"/>
      <c r="W18" s="775"/>
      <c r="X18" s="1813"/>
      <c r="Y18" s="3159"/>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26"/>
      <c r="Q20" s="1810"/>
      <c r="R20" s="774"/>
      <c r="S20" s="775"/>
      <c r="T20" s="774"/>
      <c r="U20" s="775"/>
      <c r="V20" s="774"/>
      <c r="W20" s="775"/>
      <c r="X20" s="1813"/>
      <c r="Y20" s="3159"/>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26"/>
      <c r="Q22" s="1810"/>
      <c r="R22" s="774"/>
      <c r="S22" s="775"/>
      <c r="T22" s="774"/>
      <c r="U22" s="775"/>
      <c r="V22" s="774"/>
      <c r="W22" s="775"/>
      <c r="X22" s="1813"/>
      <c r="Y22" s="3159"/>
      <c r="Z22" s="1814"/>
      <c r="AA22" s="1811">
        <v>1</v>
      </c>
      <c r="AB22" s="1811">
        <v>1</v>
      </c>
      <c r="AC22" s="1811">
        <v>1</v>
      </c>
    </row>
    <row r="23" spans="1:29" ht="57">
      <c r="A23" s="428"/>
      <c r="B23" s="451" t="s">
        <v>2103</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6"/>
      <c r="Q23" s="1810" t="str">
        <f>B23</f>
        <v>自然及人文环境</v>
      </c>
      <c r="R23" s="774" t="s">
        <v>17</v>
      </c>
      <c r="S23" s="775">
        <f>F23</f>
        <v>100</v>
      </c>
      <c r="T23" s="774" t="s">
        <v>17</v>
      </c>
      <c r="U23" s="775">
        <f>H23</f>
        <v>100</v>
      </c>
      <c r="V23" s="774" t="s">
        <v>17</v>
      </c>
      <c r="W23" s="775">
        <f>J23</f>
        <v>100</v>
      </c>
      <c r="X23" s="1813"/>
      <c r="Y23" s="315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26"/>
      <c r="Q24" s="1810"/>
      <c r="R24" s="774"/>
      <c r="S24" s="775"/>
      <c r="T24" s="774"/>
      <c r="U24" s="775"/>
      <c r="V24" s="774"/>
      <c r="W24" s="775"/>
      <c r="X24" s="1813"/>
      <c r="Y24" s="3159"/>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6"/>
      <c r="Q25" s="1810" t="str">
        <f t="shared" ref="Q25:Q46" si="11">B25</f>
        <v>临街状况</v>
      </c>
      <c r="R25" s="774" t="s">
        <v>17</v>
      </c>
      <c r="S25" s="775">
        <f>F25</f>
        <v>100</v>
      </c>
      <c r="T25" s="774" t="s">
        <v>17</v>
      </c>
      <c r="U25" s="775">
        <f>H25</f>
        <v>100</v>
      </c>
      <c r="V25" s="774" t="s">
        <v>17</v>
      </c>
      <c r="W25" s="775">
        <f>J25</f>
        <v>100</v>
      </c>
      <c r="X25" s="1813"/>
      <c r="Y25" s="3159"/>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6"/>
      <c r="Q26" s="1810" t="str">
        <f t="shared" si="11"/>
        <v>平面位置/可视性</v>
      </c>
      <c r="R26" s="774" t="s">
        <v>17</v>
      </c>
      <c r="S26" s="775">
        <f>F26</f>
        <v>100</v>
      </c>
      <c r="T26" s="774" t="s">
        <v>17</v>
      </c>
      <c r="U26" s="775">
        <f>H26</f>
        <v>100</v>
      </c>
      <c r="V26" s="774" t="s">
        <v>17</v>
      </c>
      <c r="W26" s="775">
        <f>J26</f>
        <v>100</v>
      </c>
      <c r="X26" s="1813"/>
      <c r="Y26" s="3159"/>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26"/>
      <c r="Q27" s="1795" t="str">
        <f t="shared" si="11"/>
        <v>人流量</v>
      </c>
      <c r="R27" s="770" t="s">
        <v>17</v>
      </c>
      <c r="S27" s="771">
        <f>F27</f>
        <v>100</v>
      </c>
      <c r="T27" s="770" t="s">
        <v>17</v>
      </c>
      <c r="U27" s="771">
        <f>H27</f>
        <v>100</v>
      </c>
      <c r="V27" s="770" t="s">
        <v>17</v>
      </c>
      <c r="W27" s="771">
        <f>J27</f>
        <v>100</v>
      </c>
      <c r="X27" s="772"/>
      <c r="Y27" s="3159"/>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6"/>
      <c r="Q29" s="1810">
        <f t="shared" si="11"/>
        <v>111</v>
      </c>
      <c r="R29" s="774" t="s">
        <v>17</v>
      </c>
      <c r="S29" s="775">
        <f t="shared" si="12"/>
        <v>100</v>
      </c>
      <c r="T29" s="774" t="s">
        <v>17</v>
      </c>
      <c r="U29" s="775">
        <f t="shared" si="13"/>
        <v>100</v>
      </c>
      <c r="V29" s="774" t="s">
        <v>17</v>
      </c>
      <c r="W29" s="775">
        <f t="shared" si="14"/>
        <v>100</v>
      </c>
      <c r="X29" s="1813"/>
      <c r="Y29" s="315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15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159"/>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21" t="s">
        <v>2565</v>
      </c>
      <c r="Q32" s="1810" t="str">
        <f t="shared" si="11"/>
        <v>商业类型</v>
      </c>
      <c r="R32" s="774" t="s">
        <v>17</v>
      </c>
      <c r="S32" s="775">
        <f t="shared" si="12"/>
        <v>100</v>
      </c>
      <c r="T32" s="774" t="s">
        <v>17</v>
      </c>
      <c r="U32" s="775">
        <f t="shared" si="13"/>
        <v>100</v>
      </c>
      <c r="V32" s="774" t="s">
        <v>17</v>
      </c>
      <c r="W32" s="775">
        <f t="shared" si="14"/>
        <v>100</v>
      </c>
      <c r="X32" s="1813"/>
      <c r="Y32" s="3161"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22"/>
      <c r="Q34" s="1810" t="str">
        <f t="shared" si="11"/>
        <v>建筑结构</v>
      </c>
      <c r="R34" s="774" t="s">
        <v>17</v>
      </c>
      <c r="S34" s="775">
        <f t="shared" si="12"/>
        <v>100</v>
      </c>
      <c r="T34" s="774" t="s">
        <v>17</v>
      </c>
      <c r="U34" s="775">
        <f t="shared" si="13"/>
        <v>100</v>
      </c>
      <c r="V34" s="774" t="s">
        <v>17</v>
      </c>
      <c r="W34" s="775">
        <f t="shared" si="14"/>
        <v>100</v>
      </c>
      <c r="X34" s="1813"/>
      <c r="Y34" s="3161"/>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22"/>
      <c r="Q35" s="1810" t="str">
        <f t="shared" si="11"/>
        <v>公共部分装修</v>
      </c>
      <c r="R35" s="774" t="s">
        <v>17</v>
      </c>
      <c r="S35" s="775">
        <f t="shared" si="12"/>
        <v>100</v>
      </c>
      <c r="T35" s="774" t="s">
        <v>17</v>
      </c>
      <c r="U35" s="775">
        <f t="shared" si="13"/>
        <v>100</v>
      </c>
      <c r="V35" s="774" t="s">
        <v>17</v>
      </c>
      <c r="W35" s="775">
        <f t="shared" si="14"/>
        <v>100</v>
      </c>
      <c r="X35" s="1813"/>
      <c r="Y35" s="3161"/>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11"/>
        <v>成新度</v>
      </c>
      <c r="R36" s="774" t="s">
        <v>17</v>
      </c>
      <c r="S36" s="775" t="e">
        <f t="shared" si="12"/>
        <v>#N/A</v>
      </c>
      <c r="T36" s="774" t="s">
        <v>17</v>
      </c>
      <c r="U36" s="775" t="e">
        <f t="shared" si="13"/>
        <v>#N/A</v>
      </c>
      <c r="V36" s="774" t="s">
        <v>17</v>
      </c>
      <c r="W36" s="775" t="e">
        <f t="shared" si="14"/>
        <v>#N/A</v>
      </c>
      <c r="X36" s="1813"/>
      <c r="Y36" s="3161"/>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22"/>
      <c r="Q37" s="1795"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22" t="s">
        <v>2565</v>
      </c>
      <c r="Q38" s="1810" t="str">
        <f t="shared" si="11"/>
        <v>业态</v>
      </c>
      <c r="R38" s="774" t="s">
        <v>17</v>
      </c>
      <c r="S38" s="775">
        <f t="shared" si="12"/>
        <v>100</v>
      </c>
      <c r="T38" s="774" t="s">
        <v>17</v>
      </c>
      <c r="U38" s="775">
        <f t="shared" si="13"/>
        <v>100</v>
      </c>
      <c r="V38" s="774" t="s">
        <v>17</v>
      </c>
      <c r="W38" s="775">
        <f t="shared" si="14"/>
        <v>100</v>
      </c>
      <c r="X38" s="1813"/>
      <c r="Y38" s="3161"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22"/>
      <c r="Q39" s="1810" t="str">
        <f t="shared" si="11"/>
        <v>层高</v>
      </c>
      <c r="R39" s="774" t="s">
        <v>17</v>
      </c>
      <c r="S39" s="775">
        <f t="shared" si="12"/>
        <v>100</v>
      </c>
      <c r="T39" s="774" t="s">
        <v>17</v>
      </c>
      <c r="U39" s="775">
        <f t="shared" si="13"/>
        <v>100</v>
      </c>
      <c r="V39" s="774" t="s">
        <v>17</v>
      </c>
      <c r="W39" s="775">
        <f t="shared" si="14"/>
        <v>100</v>
      </c>
      <c r="X39" s="1813"/>
      <c r="Y39" s="3161"/>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11"/>
        <v>单套建筑面积</v>
      </c>
      <c r="R40" s="774" t="s">
        <v>17</v>
      </c>
      <c r="S40" s="775">
        <f t="shared" si="12"/>
        <v>100</v>
      </c>
      <c r="T40" s="774" t="s">
        <v>17</v>
      </c>
      <c r="U40" s="775">
        <f t="shared" si="13"/>
        <v>100</v>
      </c>
      <c r="V40" s="774" t="s">
        <v>17</v>
      </c>
      <c r="W40" s="775">
        <f t="shared" si="14"/>
        <v>100</v>
      </c>
      <c r="X40" s="1813"/>
      <c r="Y40" s="3161"/>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22"/>
      <c r="Q42" s="1810" t="str">
        <f t="shared" si="11"/>
        <v>内部装修</v>
      </c>
      <c r="R42" s="774" t="s">
        <v>17</v>
      </c>
      <c r="S42" s="775">
        <f t="shared" si="12"/>
        <v>100</v>
      </c>
      <c r="T42" s="774" t="s">
        <v>17</v>
      </c>
      <c r="U42" s="775">
        <f t="shared" si="13"/>
        <v>100</v>
      </c>
      <c r="V42" s="774" t="s">
        <v>17</v>
      </c>
      <c r="W42" s="775">
        <f t="shared" si="14"/>
        <v>100</v>
      </c>
      <c r="X42" s="1813"/>
      <c r="Y42" s="3161"/>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22"/>
      <c r="Q43" s="1810" t="str">
        <f t="shared" si="11"/>
        <v>内部装修维护情况</v>
      </c>
      <c r="R43" s="774" t="s">
        <v>17</v>
      </c>
      <c r="S43" s="775">
        <f t="shared" si="12"/>
        <v>100</v>
      </c>
      <c r="T43" s="774" t="s">
        <v>17</v>
      </c>
      <c r="U43" s="775">
        <f t="shared" si="13"/>
        <v>100</v>
      </c>
      <c r="V43" s="774" t="s">
        <v>17</v>
      </c>
      <c r="W43" s="775">
        <f t="shared" si="14"/>
        <v>100</v>
      </c>
      <c r="X43" s="1813"/>
      <c r="Y43" s="316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11"/>
        <v>111</v>
      </c>
      <c r="R45" s="774" t="s">
        <v>17</v>
      </c>
      <c r="S45" s="775">
        <f t="shared" si="12"/>
        <v>100</v>
      </c>
      <c r="T45" s="774" t="s">
        <v>17</v>
      </c>
      <c r="U45" s="775">
        <f t="shared" si="13"/>
        <v>100</v>
      </c>
      <c r="V45" s="774" t="s">
        <v>17</v>
      </c>
      <c r="W45" s="775">
        <f t="shared" si="14"/>
        <v>100</v>
      </c>
      <c r="X45" s="1813"/>
      <c r="Y45" s="3161"/>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56" t="str">
        <f>A47</f>
        <v>成交单价（元/平方米）</v>
      </c>
      <c r="Q47" s="3156"/>
      <c r="R47" s="3162">
        <f>E47</f>
        <v>0</v>
      </c>
      <c r="S47" s="3162"/>
      <c r="T47" s="3162">
        <f>G47</f>
        <v>0</v>
      </c>
      <c r="U47" s="3162"/>
      <c r="V47" s="3162">
        <f>I47</f>
        <v>0</v>
      </c>
      <c r="W47" s="316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56" t="str">
        <f>A48</f>
        <v>比较价值（元/平方米）</v>
      </c>
      <c r="Q48" s="315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50" t="str">
        <f>A49</f>
        <v>估价对象XX用房的比较价值（楼面单价，元/平方米）</v>
      </c>
      <c r="Q49" s="3151"/>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94992.88</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233" t="s">
        <v>2651</v>
      </c>
      <c r="Q4" s="3234"/>
      <c r="R4" s="3237" t="s">
        <v>2647</v>
      </c>
      <c r="S4" s="3238"/>
      <c r="T4" s="3237" t="s">
        <v>2648</v>
      </c>
      <c r="U4" s="3238"/>
      <c r="V4" s="3239" t="s">
        <v>2649</v>
      </c>
      <c r="W4" s="3239"/>
      <c r="X4" s="2673"/>
      <c r="Y4" s="3237" t="s">
        <v>2651</v>
      </c>
      <c r="Z4" s="3238"/>
      <c r="AA4" s="3241" t="s">
        <v>2647</v>
      </c>
      <c r="AB4" s="3241" t="s">
        <v>2648</v>
      </c>
      <c r="AC4" s="3230" t="s">
        <v>2649</v>
      </c>
    </row>
    <row r="5" spans="1:29" ht="15">
      <c r="A5" s="404"/>
      <c r="B5" s="405"/>
      <c r="C5" s="3183" t="s">
        <v>2542</v>
      </c>
      <c r="D5" s="3184"/>
      <c r="E5" s="3190" t="s">
        <v>2543</v>
      </c>
      <c r="F5" s="3191"/>
      <c r="G5" s="3183" t="s">
        <v>2544</v>
      </c>
      <c r="H5" s="3184"/>
      <c r="I5" s="3183" t="s">
        <v>2545</v>
      </c>
      <c r="J5" s="3184"/>
      <c r="K5" s="610"/>
      <c r="L5" s="1130"/>
      <c r="M5" s="1131"/>
      <c r="N5" s="1131"/>
      <c r="O5" s="1131"/>
      <c r="P5" s="3235"/>
      <c r="Q5" s="3172"/>
      <c r="R5" s="3177"/>
      <c r="S5" s="3178"/>
      <c r="T5" s="3177"/>
      <c r="U5" s="3178"/>
      <c r="V5" s="3162"/>
      <c r="W5" s="3162"/>
      <c r="X5" s="1813"/>
      <c r="Y5" s="3177"/>
      <c r="Z5" s="3178"/>
      <c r="AA5" s="3164"/>
      <c r="AB5" s="3164"/>
      <c r="AC5" s="3231"/>
    </row>
    <row r="6" spans="1:29" ht="15.75" thickBot="1">
      <c r="A6" s="406"/>
      <c r="B6" s="407"/>
      <c r="C6" s="3181" t="s">
        <v>2546</v>
      </c>
      <c r="D6" s="3182"/>
      <c r="E6" s="3188" t="s">
        <v>2546</v>
      </c>
      <c r="F6" s="3189"/>
      <c r="G6" s="3181" t="s">
        <v>2546</v>
      </c>
      <c r="H6" s="3182"/>
      <c r="I6" s="3181" t="s">
        <v>2546</v>
      </c>
      <c r="J6" s="3182"/>
      <c r="K6" s="610" t="s">
        <v>2547</v>
      </c>
      <c r="L6" s="1130"/>
      <c r="M6" s="1131"/>
      <c r="N6" s="1131"/>
      <c r="O6" s="1131"/>
      <c r="P6" s="3236"/>
      <c r="Q6" s="3174"/>
      <c r="R6" s="3177"/>
      <c r="S6" s="3178"/>
      <c r="T6" s="3179"/>
      <c r="U6" s="3180"/>
      <c r="V6" s="3162"/>
      <c r="W6" s="3162"/>
      <c r="X6" s="1813"/>
      <c r="Y6" s="3179"/>
      <c r="Z6" s="3180"/>
      <c r="AA6" s="3165"/>
      <c r="AB6" s="3165"/>
      <c r="AC6" s="3232"/>
    </row>
    <row r="7" spans="1:29" s="117" customFormat="1" ht="15.75" thickBot="1">
      <c r="A7" s="408" t="s">
        <v>2548</v>
      </c>
      <c r="B7" s="409"/>
      <c r="C7" s="410">
        <f>'数据-取费表'!B2</f>
        <v>43614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2549</v>
      </c>
      <c r="Q7" s="3187"/>
      <c r="R7" s="770" t="s">
        <v>17</v>
      </c>
      <c r="S7" s="771">
        <f t="shared" ref="S7:S15" si="0">F7</f>
        <v>0</v>
      </c>
      <c r="T7" s="770" t="s">
        <v>17</v>
      </c>
      <c r="U7" s="771">
        <f t="shared" ref="U7:U15" si="1">H7</f>
        <v>0</v>
      </c>
      <c r="V7" s="770" t="s">
        <v>17</v>
      </c>
      <c r="W7" s="771">
        <f t="shared" ref="W7:W15" si="2">J7</f>
        <v>0</v>
      </c>
      <c r="X7" s="772"/>
      <c r="Y7" s="3185" t="s">
        <v>2549</v>
      </c>
      <c r="Z7" s="3186"/>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2552</v>
      </c>
      <c r="Q8" s="3186"/>
      <c r="R8" s="770" t="s">
        <v>17</v>
      </c>
      <c r="S8" s="771">
        <f t="shared" si="0"/>
        <v>0</v>
      </c>
      <c r="T8" s="770" t="s">
        <v>17</v>
      </c>
      <c r="U8" s="771">
        <f t="shared" si="1"/>
        <v>0</v>
      </c>
      <c r="V8" s="770" t="s">
        <v>17</v>
      </c>
      <c r="W8" s="771">
        <f t="shared" si="2"/>
        <v>0</v>
      </c>
      <c r="X8" s="772"/>
      <c r="Y8" s="3185" t="s">
        <v>2552</v>
      </c>
      <c r="Z8" s="3186"/>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5"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5"/>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5"/>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55"/>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55"/>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55"/>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5" t="s">
        <v>2560</v>
      </c>
      <c r="Q15" s="1810" t="str">
        <f t="shared" si="6"/>
        <v>办公集聚程度</v>
      </c>
      <c r="R15" s="774" t="s">
        <v>17</v>
      </c>
      <c r="S15" s="775">
        <f t="shared" si="0"/>
        <v>100</v>
      </c>
      <c r="T15" s="774" t="s">
        <v>17</v>
      </c>
      <c r="U15" s="775">
        <f t="shared" si="1"/>
        <v>100</v>
      </c>
      <c r="V15" s="774" t="s">
        <v>17</v>
      </c>
      <c r="W15" s="775">
        <f t="shared" si="2"/>
        <v>100</v>
      </c>
      <c r="X15" s="1813"/>
      <c r="Y15" s="3158"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26"/>
      <c r="Q16" s="1810"/>
      <c r="R16" s="774"/>
      <c r="S16" s="775"/>
      <c r="T16" s="774"/>
      <c r="U16" s="775"/>
      <c r="V16" s="774"/>
      <c r="W16" s="775"/>
      <c r="X16" s="1813"/>
      <c r="Y16" s="3159"/>
      <c r="Z16" s="1814"/>
      <c r="AA16" s="1811">
        <v>1</v>
      </c>
      <c r="AB16" s="1811">
        <v>1</v>
      </c>
      <c r="AC16" s="2677">
        <v>1</v>
      </c>
    </row>
    <row r="17" spans="1:29" ht="71.25">
      <c r="A17" s="428"/>
      <c r="B17" s="631" t="s">
        <v>2098</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6"/>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26"/>
      <c r="Q18" s="1810"/>
      <c r="R18" s="774"/>
      <c r="S18" s="775"/>
      <c r="T18" s="774"/>
      <c r="U18" s="775"/>
      <c r="V18" s="774"/>
      <c r="W18" s="775"/>
      <c r="X18" s="1813"/>
      <c r="Y18" s="3159"/>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6"/>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26"/>
      <c r="Q20" s="1810"/>
      <c r="R20" s="774"/>
      <c r="S20" s="775"/>
      <c r="T20" s="774"/>
      <c r="U20" s="775"/>
      <c r="V20" s="774"/>
      <c r="W20" s="775"/>
      <c r="X20" s="1813"/>
      <c r="Y20" s="3159"/>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26"/>
      <c r="Q22" s="1810"/>
      <c r="R22" s="774"/>
      <c r="S22" s="775"/>
      <c r="T22" s="774"/>
      <c r="U22" s="775"/>
      <c r="V22" s="774"/>
      <c r="W22" s="775"/>
      <c r="X22" s="1813"/>
      <c r="Y22" s="3159"/>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6"/>
      <c r="Q23" s="1810" t="str">
        <f>B23</f>
        <v>环境质量</v>
      </c>
      <c r="R23" s="774" t="s">
        <v>17</v>
      </c>
      <c r="S23" s="775">
        <f>F23</f>
        <v>100</v>
      </c>
      <c r="T23" s="774" t="s">
        <v>17</v>
      </c>
      <c r="U23" s="775">
        <f>H23</f>
        <v>100</v>
      </c>
      <c r="V23" s="774" t="s">
        <v>17</v>
      </c>
      <c r="W23" s="775">
        <f>J23</f>
        <v>100</v>
      </c>
      <c r="X23" s="1813"/>
      <c r="Y23" s="315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26"/>
      <c r="Q24" s="1810"/>
      <c r="R24" s="774"/>
      <c r="S24" s="775"/>
      <c r="T24" s="774"/>
      <c r="U24" s="775"/>
      <c r="V24" s="774"/>
      <c r="W24" s="775"/>
      <c r="X24" s="1813"/>
      <c r="Y24" s="3159"/>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26"/>
      <c r="Q25" s="1810" t="str">
        <f>B25</f>
        <v>毗邻道路的类型与等级</v>
      </c>
      <c r="R25" s="774" t="s">
        <v>17</v>
      </c>
      <c r="S25" s="775">
        <f>F25</f>
        <v>100</v>
      </c>
      <c r="T25" s="774" t="s">
        <v>17</v>
      </c>
      <c r="U25" s="775">
        <f>H25</f>
        <v>100</v>
      </c>
      <c r="V25" s="774" t="s">
        <v>17</v>
      </c>
      <c r="W25" s="775">
        <f>J25</f>
        <v>100</v>
      </c>
      <c r="X25" s="1813"/>
      <c r="Y25" s="315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26"/>
      <c r="Q26" s="1810"/>
      <c r="R26" s="774"/>
      <c r="S26" s="775"/>
      <c r="T26" s="774"/>
      <c r="U26" s="775"/>
      <c r="V26" s="774"/>
      <c r="W26" s="775"/>
      <c r="X26" s="1813"/>
      <c r="Y26" s="3159"/>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6"/>
      <c r="Q27" s="1810" t="str">
        <f t="shared" ref="Q27:Q47" si="11">B27</f>
        <v>楼层</v>
      </c>
      <c r="R27" s="774" t="s">
        <v>17</v>
      </c>
      <c r="S27" s="775">
        <f>F27</f>
        <v>100</v>
      </c>
      <c r="T27" s="774" t="s">
        <v>17</v>
      </c>
      <c r="U27" s="775">
        <f>H27</f>
        <v>100</v>
      </c>
      <c r="V27" s="774" t="s">
        <v>17</v>
      </c>
      <c r="W27" s="775">
        <f>J27</f>
        <v>100</v>
      </c>
      <c r="X27" s="1813"/>
      <c r="Y27" s="3159"/>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26"/>
      <c r="Q28" s="1795" t="str">
        <f t="shared" si="11"/>
        <v>朝向</v>
      </c>
      <c r="R28" s="770" t="s">
        <v>17</v>
      </c>
      <c r="S28" s="771">
        <f>F28</f>
        <v>100</v>
      </c>
      <c r="T28" s="770" t="s">
        <v>17</v>
      </c>
      <c r="U28" s="771">
        <f>H28</f>
        <v>100</v>
      </c>
      <c r="V28" s="770" t="s">
        <v>17</v>
      </c>
      <c r="W28" s="771">
        <f>J28</f>
        <v>100</v>
      </c>
      <c r="X28" s="772"/>
      <c r="Y28" s="315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26"/>
      <c r="Q29" s="1810">
        <f t="shared" si="11"/>
        <v>111</v>
      </c>
      <c r="R29" s="774" t="s">
        <v>17</v>
      </c>
      <c r="S29" s="775">
        <f t="shared" ref="S29:S47" si="12">F29</f>
        <v>100</v>
      </c>
      <c r="T29" s="774" t="s">
        <v>17</v>
      </c>
      <c r="U29" s="775">
        <f t="shared" ref="U29:U47" si="13">H29</f>
        <v>100</v>
      </c>
      <c r="V29" s="774" t="s">
        <v>17</v>
      </c>
      <c r="W29" s="775">
        <f t="shared" ref="W29:W47" si="14">J29</f>
        <v>100</v>
      </c>
      <c r="X29" s="1813"/>
      <c r="Y29" s="315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26"/>
      <c r="Q30" s="1810">
        <f t="shared" si="11"/>
        <v>111</v>
      </c>
      <c r="R30" s="774" t="s">
        <v>17</v>
      </c>
      <c r="S30" s="775">
        <f t="shared" si="12"/>
        <v>100</v>
      </c>
      <c r="T30" s="774" t="s">
        <v>17</v>
      </c>
      <c r="U30" s="775">
        <f t="shared" si="13"/>
        <v>100</v>
      </c>
      <c r="V30" s="774" t="s">
        <v>17</v>
      </c>
      <c r="W30" s="775">
        <f t="shared" si="14"/>
        <v>100</v>
      </c>
      <c r="X30" s="1813"/>
      <c r="Y30" s="315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26"/>
      <c r="Q31" s="1810">
        <f t="shared" si="11"/>
        <v>111</v>
      </c>
      <c r="R31" s="774" t="s">
        <v>17</v>
      </c>
      <c r="S31" s="775">
        <f t="shared" si="12"/>
        <v>100</v>
      </c>
      <c r="T31" s="774" t="s">
        <v>17</v>
      </c>
      <c r="U31" s="775">
        <f t="shared" si="13"/>
        <v>100</v>
      </c>
      <c r="V31" s="774" t="s">
        <v>17</v>
      </c>
      <c r="W31" s="775">
        <f t="shared" si="14"/>
        <v>100</v>
      </c>
      <c r="X31" s="1813"/>
      <c r="Y31" s="315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26"/>
      <c r="Q32" s="1810">
        <f t="shared" si="11"/>
        <v>111</v>
      </c>
      <c r="R32" s="774" t="s">
        <v>17</v>
      </c>
      <c r="S32" s="775">
        <f t="shared" si="12"/>
        <v>100</v>
      </c>
      <c r="T32" s="774" t="s">
        <v>17</v>
      </c>
      <c r="U32" s="775">
        <f t="shared" si="13"/>
        <v>100</v>
      </c>
      <c r="V32" s="774" t="s">
        <v>17</v>
      </c>
      <c r="W32" s="775">
        <f t="shared" si="14"/>
        <v>100</v>
      </c>
      <c r="X32" s="1813"/>
      <c r="Y32" s="3159"/>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21" t="s">
        <v>2565</v>
      </c>
      <c r="Q33" s="1810" t="str">
        <f t="shared" si="11"/>
        <v>建筑类型</v>
      </c>
      <c r="R33" s="774" t="s">
        <v>17</v>
      </c>
      <c r="S33" s="775">
        <f t="shared" si="12"/>
        <v>100</v>
      </c>
      <c r="T33" s="774" t="s">
        <v>17</v>
      </c>
      <c r="U33" s="775">
        <f t="shared" si="13"/>
        <v>100</v>
      </c>
      <c r="V33" s="774" t="s">
        <v>17</v>
      </c>
      <c r="W33" s="775">
        <f t="shared" si="14"/>
        <v>100</v>
      </c>
      <c r="X33" s="1813"/>
      <c r="Y33" s="3161"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11"/>
        <v>建筑结构</v>
      </c>
      <c r="R35" s="774" t="s">
        <v>17</v>
      </c>
      <c r="S35" s="775">
        <f t="shared" si="12"/>
        <v>100</v>
      </c>
      <c r="T35" s="774" t="s">
        <v>17</v>
      </c>
      <c r="U35" s="775">
        <f t="shared" si="13"/>
        <v>100</v>
      </c>
      <c r="V35" s="774" t="s">
        <v>17</v>
      </c>
      <c r="W35" s="775">
        <f t="shared" si="14"/>
        <v>100</v>
      </c>
      <c r="X35" s="1813"/>
      <c r="Y35" s="3161"/>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11"/>
        <v>公共部分装修</v>
      </c>
      <c r="R36" s="774" t="s">
        <v>17</v>
      </c>
      <c r="S36" s="775">
        <f t="shared" si="12"/>
        <v>100</v>
      </c>
      <c r="T36" s="774" t="s">
        <v>17</v>
      </c>
      <c r="U36" s="775">
        <f t="shared" si="13"/>
        <v>100</v>
      </c>
      <c r="V36" s="774" t="s">
        <v>17</v>
      </c>
      <c r="W36" s="775">
        <f t="shared" si="14"/>
        <v>100</v>
      </c>
      <c r="X36" s="1813"/>
      <c r="Y36" s="3161"/>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11"/>
        <v>成新度</v>
      </c>
      <c r="R37" s="774" t="s">
        <v>17</v>
      </c>
      <c r="S37" s="775" t="e">
        <f t="shared" si="12"/>
        <v>#N/A</v>
      </c>
      <c r="T37" s="774" t="s">
        <v>17</v>
      </c>
      <c r="U37" s="775" t="e">
        <f t="shared" si="13"/>
        <v>#N/A</v>
      </c>
      <c r="V37" s="774" t="s">
        <v>17</v>
      </c>
      <c r="W37" s="775" t="e">
        <f t="shared" si="14"/>
        <v>#N/A</v>
      </c>
      <c r="X37" s="1813"/>
      <c r="Y37" s="3161"/>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2565</v>
      </c>
      <c r="Q39" s="1810" t="str">
        <f t="shared" si="11"/>
        <v>物业管理</v>
      </c>
      <c r="R39" s="774" t="s">
        <v>17</v>
      </c>
      <c r="S39" s="775">
        <f t="shared" si="12"/>
        <v>100</v>
      </c>
      <c r="T39" s="774" t="s">
        <v>17</v>
      </c>
      <c r="U39" s="775">
        <f t="shared" si="13"/>
        <v>100</v>
      </c>
      <c r="V39" s="774" t="s">
        <v>17</v>
      </c>
      <c r="W39" s="775">
        <f t="shared" si="14"/>
        <v>100</v>
      </c>
      <c r="X39" s="1813"/>
      <c r="Y39" s="3161"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11"/>
        <v>市政基础设施</v>
      </c>
      <c r="R40" s="774" t="s">
        <v>17</v>
      </c>
      <c r="S40" s="775">
        <f t="shared" si="12"/>
        <v>100</v>
      </c>
      <c r="T40" s="774" t="s">
        <v>17</v>
      </c>
      <c r="U40" s="775">
        <f t="shared" si="13"/>
        <v>100</v>
      </c>
      <c r="V40" s="774" t="s">
        <v>17</v>
      </c>
      <c r="W40" s="775">
        <f t="shared" si="14"/>
        <v>100</v>
      </c>
      <c r="X40" s="1813"/>
      <c r="Y40" s="3161"/>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11"/>
        <v>层高</v>
      </c>
      <c r="R41" s="774" t="s">
        <v>17</v>
      </c>
      <c r="S41" s="775">
        <f t="shared" si="12"/>
        <v>100</v>
      </c>
      <c r="T41" s="774" t="s">
        <v>17</v>
      </c>
      <c r="U41" s="775">
        <f t="shared" si="13"/>
        <v>100</v>
      </c>
      <c r="V41" s="774" t="s">
        <v>17</v>
      </c>
      <c r="W41" s="775">
        <f t="shared" si="14"/>
        <v>100</v>
      </c>
      <c r="X41" s="1813"/>
      <c r="Y41" s="3161"/>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11"/>
        <v>内部装修</v>
      </c>
      <c r="R43" s="774" t="s">
        <v>17</v>
      </c>
      <c r="S43" s="775">
        <f t="shared" si="12"/>
        <v>100</v>
      </c>
      <c r="T43" s="774" t="s">
        <v>17</v>
      </c>
      <c r="U43" s="775">
        <f t="shared" si="13"/>
        <v>100</v>
      </c>
      <c r="V43" s="774" t="s">
        <v>17</v>
      </c>
      <c r="W43" s="775">
        <f t="shared" si="14"/>
        <v>100</v>
      </c>
      <c r="X43" s="1813"/>
      <c r="Y43" s="3161"/>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22"/>
      <c r="Q44" s="1810" t="str">
        <f t="shared" si="11"/>
        <v>内部装修维护情况</v>
      </c>
      <c r="R44" s="774" t="s">
        <v>17</v>
      </c>
      <c r="S44" s="775">
        <f t="shared" si="12"/>
        <v>100</v>
      </c>
      <c r="T44" s="774" t="s">
        <v>17</v>
      </c>
      <c r="U44" s="775">
        <f t="shared" si="13"/>
        <v>100</v>
      </c>
      <c r="V44" s="774" t="s">
        <v>17</v>
      </c>
      <c r="W44" s="775">
        <f t="shared" si="14"/>
        <v>100</v>
      </c>
      <c r="X44" s="1813"/>
      <c r="Y44" s="3161"/>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161"/>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11"/>
        <v>111</v>
      </c>
      <c r="R47" s="774" t="s">
        <v>17</v>
      </c>
      <c r="S47" s="775">
        <f t="shared" si="12"/>
        <v>100</v>
      </c>
      <c r="T47" s="774" t="s">
        <v>17</v>
      </c>
      <c r="U47" s="775">
        <f t="shared" si="13"/>
        <v>100</v>
      </c>
      <c r="V47" s="774" t="s">
        <v>17</v>
      </c>
      <c r="W47" s="775">
        <f t="shared" si="14"/>
        <v>100</v>
      </c>
      <c r="X47" s="1813"/>
      <c r="Y47" s="3224"/>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55" t="str">
        <f>A48</f>
        <v>成交单价（元/平方米）</v>
      </c>
      <c r="Q48" s="3156"/>
      <c r="R48" s="3220">
        <f>E48</f>
        <v>0</v>
      </c>
      <c r="S48" s="3220"/>
      <c r="T48" s="3220">
        <f>G48</f>
        <v>0</v>
      </c>
      <c r="U48" s="3220"/>
      <c r="V48" s="3220">
        <f>I48</f>
        <v>0</v>
      </c>
      <c r="W48" s="3220"/>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55" t="str">
        <f>A49</f>
        <v>比较价值（元/平方米）</v>
      </c>
      <c r="Q49" s="3156"/>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估价对象为出让国有建设用地使用权及在建建筑物房地产，为所有。根据《国有土地使用证》[]，估价对象（分摊）出让国有建设用地使用权面积为21344.57平方米，建筑面积为94992.88平方米。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21344.57平方米，规划建筑面积为94992.88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2019年5月29日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4"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94992.88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4" t="s">
        <v>2648</v>
      </c>
      <c r="AC4" s="3163" t="s">
        <v>2649</v>
      </c>
    </row>
    <row r="5" spans="1:29"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4"/>
      <c r="AC5" s="3164"/>
    </row>
    <row r="6" spans="1:29" ht="15.75" thickBot="1">
      <c r="A6" s="406"/>
      <c r="B6" s="407"/>
      <c r="C6" s="3181" t="s">
        <v>2546</v>
      </c>
      <c r="D6" s="3182"/>
      <c r="E6" s="3188" t="s">
        <v>2546</v>
      </c>
      <c r="F6" s="3189"/>
      <c r="G6" s="3181" t="s">
        <v>2546</v>
      </c>
      <c r="H6" s="3182"/>
      <c r="I6" s="3181" t="s">
        <v>2546</v>
      </c>
      <c r="J6" s="3182"/>
      <c r="K6" s="610" t="s">
        <v>2547</v>
      </c>
      <c r="L6" s="1130"/>
      <c r="M6" s="1131"/>
      <c r="N6" s="1131"/>
      <c r="O6" s="1131"/>
      <c r="P6" s="3173"/>
      <c r="Q6" s="3174"/>
      <c r="R6" s="3177"/>
      <c r="S6" s="3178"/>
      <c r="T6" s="3179"/>
      <c r="U6" s="3180"/>
      <c r="V6" s="3162"/>
      <c r="W6" s="3162"/>
      <c r="X6" s="1813"/>
      <c r="Y6" s="3179"/>
      <c r="Z6" s="3180"/>
      <c r="AA6" s="3165"/>
      <c r="AB6" s="3165"/>
      <c r="AC6" s="3165"/>
    </row>
    <row r="7" spans="1:29" s="117" customFormat="1" ht="15.75" thickBot="1">
      <c r="A7" s="408" t="s">
        <v>2548</v>
      </c>
      <c r="B7" s="409"/>
      <c r="C7" s="410">
        <f>'数据-取费表'!B2</f>
        <v>43614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2549</v>
      </c>
      <c r="Q7" s="3187"/>
      <c r="R7" s="770" t="s">
        <v>17</v>
      </c>
      <c r="S7" s="771">
        <f t="shared" ref="S7:S15" si="0">F7</f>
        <v>0</v>
      </c>
      <c r="T7" s="770" t="s">
        <v>17</v>
      </c>
      <c r="U7" s="771">
        <f t="shared" ref="U7:U15" si="1">H7</f>
        <v>0</v>
      </c>
      <c r="V7" s="770" t="s">
        <v>17</v>
      </c>
      <c r="W7" s="771">
        <f t="shared" ref="W7:W15" si="2">J7</f>
        <v>0</v>
      </c>
      <c r="X7" s="772"/>
      <c r="Y7" s="3185" t="s">
        <v>2549</v>
      </c>
      <c r="Z7" s="318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2552</v>
      </c>
      <c r="Q8" s="3186"/>
      <c r="R8" s="770" t="s">
        <v>17</v>
      </c>
      <c r="S8" s="771">
        <f t="shared" si="0"/>
        <v>0</v>
      </c>
      <c r="T8" s="770" t="s">
        <v>17</v>
      </c>
      <c r="U8" s="771">
        <f t="shared" si="1"/>
        <v>0</v>
      </c>
      <c r="V8" s="770" t="s">
        <v>17</v>
      </c>
      <c r="W8" s="771">
        <f t="shared" si="2"/>
        <v>0</v>
      </c>
      <c r="X8" s="772"/>
      <c r="Y8" s="3185" t="s">
        <v>2552</v>
      </c>
      <c r="Z8" s="318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6"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6"/>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6"/>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56"/>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56"/>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56"/>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8" t="s">
        <v>2560</v>
      </c>
      <c r="Q15" s="1810" t="str">
        <f t="shared" si="6"/>
        <v>产业集聚程度</v>
      </c>
      <c r="R15" s="774" t="s">
        <v>17</v>
      </c>
      <c r="S15" s="775">
        <f t="shared" si="0"/>
        <v>100</v>
      </c>
      <c r="T15" s="774" t="s">
        <v>17</v>
      </c>
      <c r="U15" s="775">
        <f t="shared" si="1"/>
        <v>100</v>
      </c>
      <c r="V15" s="774" t="s">
        <v>17</v>
      </c>
      <c r="W15" s="775">
        <f t="shared" si="2"/>
        <v>100</v>
      </c>
      <c r="X15" s="1813"/>
      <c r="Y15" s="3158"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9"/>
      <c r="Q16" s="1810"/>
      <c r="R16" s="774"/>
      <c r="S16" s="775"/>
      <c r="T16" s="774"/>
      <c r="U16" s="775"/>
      <c r="V16" s="774"/>
      <c r="W16" s="775"/>
      <c r="X16" s="1813"/>
      <c r="Y16" s="3159"/>
      <c r="Z16" s="1814"/>
      <c r="AA16" s="1811">
        <v>1</v>
      </c>
      <c r="AB16" s="1811">
        <v>1</v>
      </c>
      <c r="AC16" s="1811">
        <v>1</v>
      </c>
    </row>
    <row r="17" spans="1:29" ht="85.5">
      <c r="A17" s="428"/>
      <c r="B17" s="451" t="s">
        <v>2098</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9"/>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59"/>
      <c r="Q18" s="1810"/>
      <c r="R18" s="774"/>
      <c r="S18" s="775"/>
      <c r="T18" s="774"/>
      <c r="U18" s="775"/>
      <c r="V18" s="774"/>
      <c r="W18" s="775"/>
      <c r="X18" s="1813"/>
      <c r="Y18" s="3159"/>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9"/>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59"/>
      <c r="Q20" s="1810"/>
      <c r="R20" s="774"/>
      <c r="S20" s="775"/>
      <c r="T20" s="774"/>
      <c r="U20" s="775"/>
      <c r="V20" s="774"/>
      <c r="W20" s="775"/>
      <c r="X20" s="1813"/>
      <c r="Y20" s="3159"/>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9"/>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59"/>
      <c r="Q22" s="1810"/>
      <c r="R22" s="774"/>
      <c r="S22" s="775"/>
      <c r="T22" s="774"/>
      <c r="U22" s="775"/>
      <c r="V22" s="774"/>
      <c r="W22" s="775"/>
      <c r="X22" s="1813"/>
      <c r="Y22" s="3159"/>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9"/>
      <c r="Q23" s="1810" t="str">
        <f>B23</f>
        <v>环境质量</v>
      </c>
      <c r="R23" s="774" t="s">
        <v>17</v>
      </c>
      <c r="S23" s="775">
        <f>F23</f>
        <v>100</v>
      </c>
      <c r="T23" s="774" t="s">
        <v>17</v>
      </c>
      <c r="U23" s="775">
        <f>H23</f>
        <v>100</v>
      </c>
      <c r="V23" s="774" t="s">
        <v>17</v>
      </c>
      <c r="W23" s="775">
        <f>J23</f>
        <v>100</v>
      </c>
      <c r="X23" s="1813"/>
      <c r="Y23" s="315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59"/>
      <c r="Q24" s="1810"/>
      <c r="R24" s="774"/>
      <c r="S24" s="775"/>
      <c r="T24" s="774"/>
      <c r="U24" s="775"/>
      <c r="V24" s="774"/>
      <c r="W24" s="775"/>
      <c r="X24" s="1813"/>
      <c r="Y24" s="315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9"/>
      <c r="Q25" s="1810">
        <f>B25</f>
        <v>111</v>
      </c>
      <c r="R25" s="774" t="s">
        <v>17</v>
      </c>
      <c r="S25" s="775">
        <f>F25</f>
        <v>100</v>
      </c>
      <c r="T25" s="774" t="s">
        <v>17</v>
      </c>
      <c r="U25" s="775">
        <f>H25</f>
        <v>100</v>
      </c>
      <c r="V25" s="774" t="s">
        <v>17</v>
      </c>
      <c r="W25" s="775">
        <f>J25</f>
        <v>100</v>
      </c>
      <c r="X25" s="1813"/>
      <c r="Y25" s="315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9"/>
      <c r="Q26" s="1810">
        <f t="shared" ref="Q26:Q40" si="11">B26</f>
        <v>111</v>
      </c>
      <c r="R26" s="774" t="s">
        <v>17</v>
      </c>
      <c r="S26" s="775">
        <f>F26</f>
        <v>100</v>
      </c>
      <c r="T26" s="774" t="s">
        <v>17</v>
      </c>
      <c r="U26" s="775">
        <f>H26</f>
        <v>100</v>
      </c>
      <c r="V26" s="774" t="s">
        <v>17</v>
      </c>
      <c r="W26" s="775">
        <f>J26</f>
        <v>100</v>
      </c>
      <c r="X26" s="1813"/>
      <c r="Y26" s="315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9"/>
      <c r="Q27" s="1795">
        <f t="shared" si="11"/>
        <v>111</v>
      </c>
      <c r="R27" s="770" t="s">
        <v>17</v>
      </c>
      <c r="S27" s="771">
        <f>F27</f>
        <v>100</v>
      </c>
      <c r="T27" s="770" t="s">
        <v>17</v>
      </c>
      <c r="U27" s="771">
        <f>H27</f>
        <v>100</v>
      </c>
      <c r="V27" s="770" t="s">
        <v>17</v>
      </c>
      <c r="W27" s="771">
        <f>J27</f>
        <v>100</v>
      </c>
      <c r="X27" s="772"/>
      <c r="Y27" s="315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9"/>
      <c r="Q28" s="1810">
        <f t="shared" si="11"/>
        <v>111</v>
      </c>
      <c r="R28" s="774" t="s">
        <v>17</v>
      </c>
      <c r="S28" s="775">
        <f t="shared" ref="S28:S40" si="12">F28</f>
        <v>100</v>
      </c>
      <c r="T28" s="774" t="s">
        <v>17</v>
      </c>
      <c r="U28" s="775">
        <f t="shared" ref="U28:U40" si="13">H28</f>
        <v>100</v>
      </c>
      <c r="V28" s="774" t="s">
        <v>17</v>
      </c>
      <c r="W28" s="775">
        <f t="shared" ref="W28:W40" si="14">J28</f>
        <v>100</v>
      </c>
      <c r="X28" s="1813"/>
      <c r="Y28" s="3159"/>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160" t="s">
        <v>2565</v>
      </c>
      <c r="Q29" s="1810" t="str">
        <f t="shared" si="11"/>
        <v>建筑类型</v>
      </c>
      <c r="R29" s="774" t="s">
        <v>17</v>
      </c>
      <c r="S29" s="775">
        <f t="shared" si="12"/>
        <v>100</v>
      </c>
      <c r="T29" s="774" t="s">
        <v>17</v>
      </c>
      <c r="U29" s="775">
        <f t="shared" si="13"/>
        <v>100</v>
      </c>
      <c r="V29" s="774" t="s">
        <v>17</v>
      </c>
      <c r="W29" s="775">
        <f t="shared" si="14"/>
        <v>100</v>
      </c>
      <c r="X29" s="1813"/>
      <c r="Y29" s="3161"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1"/>
      <c r="Q31" s="1810" t="str">
        <f t="shared" si="11"/>
        <v>建筑结构</v>
      </c>
      <c r="R31" s="774" t="s">
        <v>17</v>
      </c>
      <c r="S31" s="775">
        <f t="shared" si="12"/>
        <v>100</v>
      </c>
      <c r="T31" s="774" t="s">
        <v>17</v>
      </c>
      <c r="U31" s="775">
        <f t="shared" si="13"/>
        <v>100</v>
      </c>
      <c r="V31" s="774" t="s">
        <v>17</v>
      </c>
      <c r="W31" s="775">
        <f t="shared" si="14"/>
        <v>100</v>
      </c>
      <c r="X31" s="1813"/>
      <c r="Y31" s="3161"/>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1"/>
      <c r="Q32" s="1810" t="str">
        <f t="shared" si="11"/>
        <v>公共部分装修</v>
      </c>
      <c r="R32" s="774" t="s">
        <v>17</v>
      </c>
      <c r="S32" s="775">
        <f t="shared" si="12"/>
        <v>100</v>
      </c>
      <c r="T32" s="774" t="s">
        <v>17</v>
      </c>
      <c r="U32" s="775">
        <f t="shared" si="13"/>
        <v>100</v>
      </c>
      <c r="V32" s="774" t="s">
        <v>17</v>
      </c>
      <c r="W32" s="775">
        <f t="shared" si="14"/>
        <v>100</v>
      </c>
      <c r="X32" s="1813"/>
      <c r="Y32" s="3161"/>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1"/>
      <c r="Q33" s="1810" t="str">
        <f t="shared" si="11"/>
        <v>成新度</v>
      </c>
      <c r="R33" s="774" t="s">
        <v>17</v>
      </c>
      <c r="S33" s="775" t="e">
        <f t="shared" si="12"/>
        <v>#N/A</v>
      </c>
      <c r="T33" s="774" t="s">
        <v>17</v>
      </c>
      <c r="U33" s="775" t="e">
        <f t="shared" si="13"/>
        <v>#N/A</v>
      </c>
      <c r="V33" s="774" t="s">
        <v>17</v>
      </c>
      <c r="W33" s="775" t="e">
        <f t="shared" si="14"/>
        <v>#N/A</v>
      </c>
      <c r="X33" s="1813"/>
      <c r="Y33" s="3161"/>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1"/>
      <c r="Q34" s="1795"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1" t="s">
        <v>2565</v>
      </c>
      <c r="Q35" s="1810" t="str">
        <f t="shared" si="11"/>
        <v>市政基础设施</v>
      </c>
      <c r="R35" s="774" t="s">
        <v>17</v>
      </c>
      <c r="S35" s="775">
        <f t="shared" si="12"/>
        <v>100</v>
      </c>
      <c r="T35" s="774" t="s">
        <v>17</v>
      </c>
      <c r="U35" s="775">
        <f t="shared" si="13"/>
        <v>100</v>
      </c>
      <c r="V35" s="774" t="s">
        <v>17</v>
      </c>
      <c r="W35" s="775">
        <f t="shared" si="14"/>
        <v>100</v>
      </c>
      <c r="X35" s="1813"/>
      <c r="Y35" s="3161"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1"/>
      <c r="Q36" s="1810" t="str">
        <f t="shared" si="11"/>
        <v>内部装修</v>
      </c>
      <c r="R36" s="774" t="s">
        <v>17</v>
      </c>
      <c r="S36" s="775">
        <f t="shared" si="12"/>
        <v>100</v>
      </c>
      <c r="T36" s="774" t="s">
        <v>17</v>
      </c>
      <c r="U36" s="775">
        <f t="shared" si="13"/>
        <v>100</v>
      </c>
      <c r="V36" s="774" t="s">
        <v>17</v>
      </c>
      <c r="W36" s="775">
        <f t="shared" si="14"/>
        <v>100</v>
      </c>
      <c r="X36" s="1813"/>
      <c r="Y36" s="3161"/>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1"/>
      <c r="Q37" s="1810" t="str">
        <f t="shared" si="11"/>
        <v>内部装修状况</v>
      </c>
      <c r="R37" s="774" t="s">
        <v>17</v>
      </c>
      <c r="S37" s="775">
        <f t="shared" si="12"/>
        <v>100</v>
      </c>
      <c r="T37" s="774" t="s">
        <v>17</v>
      </c>
      <c r="U37" s="775">
        <f t="shared" si="13"/>
        <v>100</v>
      </c>
      <c r="V37" s="774" t="s">
        <v>17</v>
      </c>
      <c r="W37" s="775">
        <f t="shared" si="14"/>
        <v>100</v>
      </c>
      <c r="X37" s="1813"/>
      <c r="Y37" s="316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1"/>
      <c r="Q39" s="1810">
        <f t="shared" si="11"/>
        <v>111</v>
      </c>
      <c r="R39" s="774" t="s">
        <v>17</v>
      </c>
      <c r="S39" s="775">
        <f t="shared" si="12"/>
        <v>100</v>
      </c>
      <c r="T39" s="774" t="s">
        <v>17</v>
      </c>
      <c r="U39" s="775">
        <f t="shared" si="13"/>
        <v>100</v>
      </c>
      <c r="V39" s="774" t="s">
        <v>17</v>
      </c>
      <c r="W39" s="775">
        <f t="shared" si="14"/>
        <v>100</v>
      </c>
      <c r="X39" s="1813"/>
      <c r="Y39" s="3161"/>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4"/>
      <c r="Q40" s="1810">
        <f t="shared" si="11"/>
        <v>111</v>
      </c>
      <c r="R40" s="774" t="s">
        <v>17</v>
      </c>
      <c r="S40" s="775">
        <f t="shared" si="12"/>
        <v>100</v>
      </c>
      <c r="T40" s="774" t="s">
        <v>17</v>
      </c>
      <c r="U40" s="775">
        <f t="shared" si="13"/>
        <v>100</v>
      </c>
      <c r="V40" s="774" t="s">
        <v>17</v>
      </c>
      <c r="W40" s="775">
        <f t="shared" si="14"/>
        <v>100</v>
      </c>
      <c r="X40" s="1813"/>
      <c r="Y40" s="3224"/>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56" t="str">
        <f>A41</f>
        <v>成交单价（元/平方米）</v>
      </c>
      <c r="Q41" s="3156"/>
      <c r="R41" s="3220">
        <f>E41</f>
        <v>0</v>
      </c>
      <c r="S41" s="3220"/>
      <c r="T41" s="3220">
        <f>G41</f>
        <v>0</v>
      </c>
      <c r="U41" s="3220"/>
      <c r="V41" s="3220">
        <f>I41</f>
        <v>0</v>
      </c>
      <c r="W41" s="3220"/>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56" t="str">
        <f>A42</f>
        <v>比较价值（元/平方米）</v>
      </c>
      <c r="Q42" s="3156"/>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50" t="str">
        <f>A43</f>
        <v>估价对象XX用房的比较价值（楼面单价，元/平方米）</v>
      </c>
      <c r="Q43" s="3151"/>
      <c r="R43" s="3219" t="e">
        <f>IF(F1="售价",ROUND(AVERAGE(R42:V42),0),ROUND(AVERAGE(R42:V42),1))</f>
        <v>#DIV/0!</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4" t="s">
        <v>2648</v>
      </c>
      <c r="AC4" s="3163" t="s">
        <v>2649</v>
      </c>
    </row>
    <row r="5" spans="1:29"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4"/>
      <c r="AC5" s="3164"/>
    </row>
    <row r="6" spans="1:29" ht="15.75" thickBot="1">
      <c r="A6" s="406"/>
      <c r="B6" s="407"/>
      <c r="C6" s="3181" t="s">
        <v>2546</v>
      </c>
      <c r="D6" s="3182"/>
      <c r="E6" s="3188" t="s">
        <v>2546</v>
      </c>
      <c r="F6" s="3189"/>
      <c r="G6" s="3181" t="s">
        <v>2546</v>
      </c>
      <c r="H6" s="3182"/>
      <c r="I6" s="3181" t="s">
        <v>2546</v>
      </c>
      <c r="J6" s="3182"/>
      <c r="K6" s="610" t="s">
        <v>2547</v>
      </c>
      <c r="L6" s="1130"/>
      <c r="M6" s="1131"/>
      <c r="N6" s="1131"/>
      <c r="O6" s="1131"/>
      <c r="P6" s="3173"/>
      <c r="Q6" s="3174"/>
      <c r="R6" s="3177"/>
      <c r="S6" s="3178"/>
      <c r="T6" s="3179"/>
      <c r="U6" s="3180"/>
      <c r="V6" s="3162"/>
      <c r="W6" s="3162"/>
      <c r="X6" s="1813"/>
      <c r="Y6" s="3179"/>
      <c r="Z6" s="3180"/>
      <c r="AA6" s="3165"/>
      <c r="AB6" s="3165"/>
      <c r="AC6" s="3165"/>
    </row>
    <row r="7" spans="1:29" s="117" customFormat="1" ht="15.75" thickBot="1">
      <c r="A7" s="408" t="s">
        <v>2548</v>
      </c>
      <c r="B7" s="409"/>
      <c r="C7" s="410">
        <f>'数据-取费表'!B2</f>
        <v>43614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2549</v>
      </c>
      <c r="Q7" s="3187"/>
      <c r="R7" s="770" t="s">
        <v>17</v>
      </c>
      <c r="S7" s="771">
        <f t="shared" ref="S7:S14" si="0">F7</f>
        <v>0</v>
      </c>
      <c r="T7" s="770" t="s">
        <v>17</v>
      </c>
      <c r="U7" s="771">
        <f t="shared" ref="U7:U14" si="1">H7</f>
        <v>0</v>
      </c>
      <c r="V7" s="770" t="s">
        <v>17</v>
      </c>
      <c r="W7" s="771">
        <f t="shared" ref="W7:W14" si="2">J7</f>
        <v>0</v>
      </c>
      <c r="X7" s="772"/>
      <c r="Y7" s="3185" t="s">
        <v>2549</v>
      </c>
      <c r="Z7" s="318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2552</v>
      </c>
      <c r="Q8" s="3186"/>
      <c r="R8" s="770" t="s">
        <v>17</v>
      </c>
      <c r="S8" s="771">
        <f t="shared" si="0"/>
        <v>0</v>
      </c>
      <c r="T8" s="770" t="s">
        <v>17</v>
      </c>
      <c r="U8" s="771">
        <f t="shared" si="1"/>
        <v>0</v>
      </c>
      <c r="V8" s="770" t="s">
        <v>17</v>
      </c>
      <c r="W8" s="771">
        <f t="shared" si="2"/>
        <v>0</v>
      </c>
      <c r="X8" s="772"/>
      <c r="Y8" s="3185" t="s">
        <v>2552</v>
      </c>
      <c r="Z8" s="318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6" t="s">
        <v>2555</v>
      </c>
      <c r="Q9" s="1795" t="str">
        <f t="shared" ref="Q9:Q14" si="6">B9</f>
        <v>用途</v>
      </c>
      <c r="R9" s="770" t="s">
        <v>17</v>
      </c>
      <c r="S9" s="771">
        <f t="shared" si="0"/>
        <v>100</v>
      </c>
      <c r="T9" s="770" t="s">
        <v>17</v>
      </c>
      <c r="U9" s="771">
        <f t="shared" si="1"/>
        <v>100</v>
      </c>
      <c r="V9" s="770" t="s">
        <v>17</v>
      </c>
      <c r="W9" s="771">
        <f t="shared" si="2"/>
        <v>100</v>
      </c>
      <c r="X9" s="772"/>
      <c r="Y9" s="300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6"/>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6"/>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6"/>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6"/>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8" t="s">
        <v>2560</v>
      </c>
      <c r="Q14" s="1810" t="str">
        <f t="shared" si="6"/>
        <v>交通便捷度</v>
      </c>
      <c r="R14" s="774" t="s">
        <v>17</v>
      </c>
      <c r="S14" s="775">
        <f t="shared" si="0"/>
        <v>100</v>
      </c>
      <c r="T14" s="774" t="s">
        <v>17</v>
      </c>
      <c r="U14" s="775">
        <f t="shared" si="1"/>
        <v>100</v>
      </c>
      <c r="V14" s="774" t="s">
        <v>17</v>
      </c>
      <c r="W14" s="775">
        <f t="shared" si="2"/>
        <v>100</v>
      </c>
      <c r="X14" s="1813"/>
      <c r="Y14" s="3158"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9"/>
      <c r="Q15" s="1810"/>
      <c r="R15" s="774"/>
      <c r="S15" s="775"/>
      <c r="T15" s="774"/>
      <c r="U15" s="775"/>
      <c r="V15" s="774"/>
      <c r="W15" s="775"/>
      <c r="X15" s="1813"/>
      <c r="Y15" s="3159"/>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9"/>
      <c r="Q16" s="1810" t="str">
        <f>B16</f>
        <v>公共配套设施</v>
      </c>
      <c r="R16" s="774" t="s">
        <v>17</v>
      </c>
      <c r="S16" s="775">
        <f>F16</f>
        <v>100</v>
      </c>
      <c r="T16" s="774" t="s">
        <v>17</v>
      </c>
      <c r="U16" s="775">
        <f>H16</f>
        <v>100</v>
      </c>
      <c r="V16" s="774" t="s">
        <v>17</v>
      </c>
      <c r="W16" s="775">
        <f>J16</f>
        <v>100</v>
      </c>
      <c r="X16" s="1813"/>
      <c r="Y16" s="315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59"/>
      <c r="Q17" s="1810"/>
      <c r="R17" s="774"/>
      <c r="S17" s="775"/>
      <c r="T17" s="774"/>
      <c r="U17" s="775"/>
      <c r="V17" s="774"/>
      <c r="W17" s="775"/>
      <c r="X17" s="1813"/>
      <c r="Y17" s="3159"/>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9"/>
      <c r="Q18" s="1810" t="str">
        <f>B18</f>
        <v>基础设施水平</v>
      </c>
      <c r="R18" s="774" t="s">
        <v>17</v>
      </c>
      <c r="S18" s="775">
        <f>F18</f>
        <v>100</v>
      </c>
      <c r="T18" s="774" t="s">
        <v>17</v>
      </c>
      <c r="U18" s="775">
        <f>H18</f>
        <v>100</v>
      </c>
      <c r="V18" s="774" t="s">
        <v>17</v>
      </c>
      <c r="W18" s="775">
        <f>J18</f>
        <v>100</v>
      </c>
      <c r="X18" s="1813"/>
      <c r="Y18" s="315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59"/>
      <c r="Q19" s="1810"/>
      <c r="R19" s="774"/>
      <c r="S19" s="775"/>
      <c r="T19" s="774"/>
      <c r="U19" s="775"/>
      <c r="V19" s="774"/>
      <c r="W19" s="775"/>
      <c r="X19" s="1813"/>
      <c r="Y19" s="3159"/>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9"/>
      <c r="Q20" s="1810" t="str">
        <f>B20</f>
        <v>自然及人文环境</v>
      </c>
      <c r="R20" s="774" t="s">
        <v>17</v>
      </c>
      <c r="S20" s="775">
        <f>F20</f>
        <v>100</v>
      </c>
      <c r="T20" s="774" t="s">
        <v>17</v>
      </c>
      <c r="U20" s="775">
        <f>H20</f>
        <v>100</v>
      </c>
      <c r="V20" s="774" t="s">
        <v>17</v>
      </c>
      <c r="W20" s="775">
        <f>J20</f>
        <v>100</v>
      </c>
      <c r="X20" s="1813"/>
      <c r="Y20" s="315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9"/>
      <c r="Q21" s="1810"/>
      <c r="R21" s="774"/>
      <c r="S21" s="775"/>
      <c r="T21" s="774"/>
      <c r="U21" s="775"/>
      <c r="V21" s="774"/>
      <c r="W21" s="775"/>
      <c r="X21" s="1813"/>
      <c r="Y21" s="3159"/>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9"/>
      <c r="Q22" s="1810" t="str">
        <f>B22</f>
        <v>楼层</v>
      </c>
      <c r="R22" s="774" t="s">
        <v>17</v>
      </c>
      <c r="S22" s="775">
        <f>F22</f>
        <v>100</v>
      </c>
      <c r="T22" s="774" t="s">
        <v>17</v>
      </c>
      <c r="U22" s="775">
        <f>H22</f>
        <v>100</v>
      </c>
      <c r="V22" s="774" t="s">
        <v>17</v>
      </c>
      <c r="W22" s="775">
        <f>J22</f>
        <v>100</v>
      </c>
      <c r="X22" s="1813"/>
      <c r="Y22" s="315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9"/>
      <c r="Q23" s="1810">
        <f>B23</f>
        <v>111</v>
      </c>
      <c r="R23" s="774" t="s">
        <v>17</v>
      </c>
      <c r="S23" s="775">
        <f>F23</f>
        <v>100</v>
      </c>
      <c r="T23" s="774" t="s">
        <v>17</v>
      </c>
      <c r="U23" s="775">
        <f>H23</f>
        <v>100</v>
      </c>
      <c r="V23" s="774" t="s">
        <v>17</v>
      </c>
      <c r="W23" s="775">
        <f>J23</f>
        <v>100</v>
      </c>
      <c r="X23" s="1813"/>
      <c r="Y23" s="315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9"/>
      <c r="Q24" s="1810">
        <f t="shared" ref="Q24:Q36" si="11">B24</f>
        <v>111</v>
      </c>
      <c r="R24" s="774" t="s">
        <v>17</v>
      </c>
      <c r="S24" s="775">
        <f>F24</f>
        <v>100</v>
      </c>
      <c r="T24" s="774" t="s">
        <v>17</v>
      </c>
      <c r="U24" s="775">
        <f>H24</f>
        <v>100</v>
      </c>
      <c r="V24" s="774" t="s">
        <v>17</v>
      </c>
      <c r="W24" s="775">
        <f>J24</f>
        <v>100</v>
      </c>
      <c r="X24" s="1813"/>
      <c r="Y24" s="315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9"/>
      <c r="Q25" s="1795">
        <f t="shared" si="11"/>
        <v>111</v>
      </c>
      <c r="R25" s="770" t="s">
        <v>17</v>
      </c>
      <c r="S25" s="771">
        <f>F25</f>
        <v>100</v>
      </c>
      <c r="T25" s="770" t="s">
        <v>17</v>
      </c>
      <c r="U25" s="771">
        <f>H25</f>
        <v>100</v>
      </c>
      <c r="V25" s="770" t="s">
        <v>17</v>
      </c>
      <c r="W25" s="771">
        <f>J25</f>
        <v>100</v>
      </c>
      <c r="X25" s="772"/>
      <c r="Y25" s="3159"/>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0"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1"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1"/>
      <c r="Q28" s="1810" t="str">
        <f t="shared" si="11"/>
        <v>公共部分装修</v>
      </c>
      <c r="R28" s="774" t="s">
        <v>17</v>
      </c>
      <c r="S28" s="775">
        <f t="shared" si="12"/>
        <v>100</v>
      </c>
      <c r="T28" s="774" t="s">
        <v>17</v>
      </c>
      <c r="U28" s="775">
        <f t="shared" si="13"/>
        <v>100</v>
      </c>
      <c r="V28" s="774" t="s">
        <v>17</v>
      </c>
      <c r="W28" s="775">
        <f t="shared" si="14"/>
        <v>100</v>
      </c>
      <c r="X28" s="1813"/>
      <c r="Y28" s="3161"/>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1"/>
      <c r="Q29" s="1810" t="str">
        <f t="shared" si="11"/>
        <v>成新率</v>
      </c>
      <c r="R29" s="774" t="s">
        <v>17</v>
      </c>
      <c r="S29" s="775" t="e">
        <f t="shared" si="12"/>
        <v>#N/A</v>
      </c>
      <c r="T29" s="774" t="s">
        <v>17</v>
      </c>
      <c r="U29" s="775" t="e">
        <f t="shared" si="13"/>
        <v>#N/A</v>
      </c>
      <c r="V29" s="774" t="s">
        <v>17</v>
      </c>
      <c r="W29" s="775" t="e">
        <f t="shared" si="14"/>
        <v>#N/A</v>
      </c>
      <c r="X29" s="1813"/>
      <c r="Y29" s="3161"/>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1"/>
      <c r="Q30" s="1810" t="str">
        <f t="shared" si="11"/>
        <v>物业等级</v>
      </c>
      <c r="R30" s="774" t="s">
        <v>17</v>
      </c>
      <c r="S30" s="775">
        <f t="shared" si="12"/>
        <v>100</v>
      </c>
      <c r="T30" s="774" t="s">
        <v>17</v>
      </c>
      <c r="U30" s="775">
        <f t="shared" si="13"/>
        <v>100</v>
      </c>
      <c r="V30" s="774" t="s">
        <v>17</v>
      </c>
      <c r="W30" s="775">
        <f t="shared" si="14"/>
        <v>100</v>
      </c>
      <c r="X30" s="1813"/>
      <c r="Y30" s="3161"/>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1"/>
      <c r="Q31" s="1795"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1" t="s">
        <v>2565</v>
      </c>
      <c r="Q32" s="1810" t="str">
        <f t="shared" si="11"/>
        <v>车位类型</v>
      </c>
      <c r="R32" s="774" t="s">
        <v>17</v>
      </c>
      <c r="S32" s="775">
        <f t="shared" si="12"/>
        <v>100</v>
      </c>
      <c r="T32" s="774" t="s">
        <v>17</v>
      </c>
      <c r="U32" s="775">
        <f t="shared" si="13"/>
        <v>100</v>
      </c>
      <c r="V32" s="774" t="s">
        <v>17</v>
      </c>
      <c r="W32" s="775">
        <f t="shared" si="14"/>
        <v>100</v>
      </c>
      <c r="X32" s="1813"/>
      <c r="Y32" s="3161"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1"/>
      <c r="Q33" s="1810" t="str">
        <f t="shared" si="11"/>
        <v>是否直接入户</v>
      </c>
      <c r="R33" s="774" t="s">
        <v>17</v>
      </c>
      <c r="S33" s="775">
        <f t="shared" si="12"/>
        <v>100</v>
      </c>
      <c r="T33" s="774" t="s">
        <v>17</v>
      </c>
      <c r="U33" s="775">
        <f t="shared" si="13"/>
        <v>100</v>
      </c>
      <c r="V33" s="774" t="s">
        <v>17</v>
      </c>
      <c r="W33" s="775">
        <f t="shared" si="14"/>
        <v>100</v>
      </c>
      <c r="X33" s="1813"/>
      <c r="Y33" s="316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1"/>
      <c r="Q34" s="1810">
        <f t="shared" si="11"/>
        <v>111</v>
      </c>
      <c r="R34" s="774" t="s">
        <v>17</v>
      </c>
      <c r="S34" s="775">
        <f t="shared" si="12"/>
        <v>100</v>
      </c>
      <c r="T34" s="774" t="s">
        <v>17</v>
      </c>
      <c r="U34" s="775">
        <f t="shared" si="13"/>
        <v>100</v>
      </c>
      <c r="V34" s="774" t="s">
        <v>17</v>
      </c>
      <c r="W34" s="775">
        <f t="shared" si="14"/>
        <v>100</v>
      </c>
      <c r="X34" s="1813"/>
      <c r="Y34" s="316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1"/>
      <c r="Q36" s="1810">
        <f t="shared" si="11"/>
        <v>111</v>
      </c>
      <c r="R36" s="774" t="s">
        <v>17</v>
      </c>
      <c r="S36" s="775">
        <f t="shared" si="12"/>
        <v>100</v>
      </c>
      <c r="T36" s="774" t="s">
        <v>17</v>
      </c>
      <c r="U36" s="775">
        <f t="shared" si="13"/>
        <v>100</v>
      </c>
      <c r="V36" s="774" t="s">
        <v>17</v>
      </c>
      <c r="W36" s="775">
        <f t="shared" si="14"/>
        <v>100</v>
      </c>
      <c r="X36" s="1813"/>
      <c r="Y36" s="3161"/>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156" t="str">
        <f>A37</f>
        <v>成交单价</v>
      </c>
      <c r="Q37" s="3156"/>
      <c r="R37" s="3220">
        <f>E37</f>
        <v>0</v>
      </c>
      <c r="S37" s="3220"/>
      <c r="T37" s="3220">
        <f>G37</f>
        <v>0</v>
      </c>
      <c r="U37" s="3220"/>
      <c r="V37" s="3220">
        <f>I37</f>
        <v>0</v>
      </c>
      <c r="W37" s="3220"/>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6" t="str">
        <f>A38</f>
        <v>比较价值（元/平方米）</v>
      </c>
      <c r="Q38" s="3156"/>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50" t="str">
        <f>A39</f>
        <v>估价对象XX用房的比较价值（楼面单价，元/平方米）</v>
      </c>
      <c r="Q39" s="3151"/>
      <c r="R39" s="3219" t="e">
        <f>IF(F1="售价",ROUND(AVERAGE(R38:V38),0),ROUND(AVERAGE(R38:V38),1))</f>
        <v>#DIV/0!</v>
      </c>
      <c r="S39" s="3219"/>
      <c r="T39" s="3219"/>
      <c r="U39" s="3219"/>
      <c r="V39" s="3219"/>
      <c r="W39" s="321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4" t="s">
        <v>2648</v>
      </c>
      <c r="AC4" s="3163" t="s">
        <v>2649</v>
      </c>
    </row>
    <row r="5" spans="1:29"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4"/>
      <c r="AC5" s="3164"/>
    </row>
    <row r="6" spans="1:29" ht="15.75" thickBot="1">
      <c r="A6" s="406"/>
      <c r="B6" s="407"/>
      <c r="C6" s="3181" t="s">
        <v>2546</v>
      </c>
      <c r="D6" s="3182"/>
      <c r="E6" s="3188" t="s">
        <v>2546</v>
      </c>
      <c r="F6" s="3189"/>
      <c r="G6" s="3181" t="s">
        <v>2546</v>
      </c>
      <c r="H6" s="3182"/>
      <c r="I6" s="3181" t="s">
        <v>2546</v>
      </c>
      <c r="J6" s="3182"/>
      <c r="K6" s="610" t="s">
        <v>2547</v>
      </c>
      <c r="L6" s="1130"/>
      <c r="M6" s="1131"/>
      <c r="N6" s="1131"/>
      <c r="O6" s="1131"/>
      <c r="P6" s="3173"/>
      <c r="Q6" s="3174"/>
      <c r="R6" s="3177"/>
      <c r="S6" s="3178"/>
      <c r="T6" s="3179"/>
      <c r="U6" s="3180"/>
      <c r="V6" s="3162"/>
      <c r="W6" s="3162"/>
      <c r="X6" s="1813"/>
      <c r="Y6" s="3179"/>
      <c r="Z6" s="3180"/>
      <c r="AA6" s="3165"/>
      <c r="AB6" s="3165"/>
      <c r="AC6" s="3165"/>
    </row>
    <row r="7" spans="1:29" s="117" customFormat="1" ht="15.75" thickBot="1">
      <c r="A7" s="408" t="s">
        <v>2548</v>
      </c>
      <c r="B7" s="409"/>
      <c r="C7" s="410">
        <f>'数据-取费表'!B2</f>
        <v>43614</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85" t="s">
        <v>2549</v>
      </c>
      <c r="Q7" s="3187"/>
      <c r="R7" s="770" t="s">
        <v>17</v>
      </c>
      <c r="S7" s="771">
        <f t="shared" ref="S7:S14" si="0">F7</f>
        <v>0</v>
      </c>
      <c r="T7" s="770" t="s">
        <v>17</v>
      </c>
      <c r="U7" s="771">
        <f t="shared" ref="U7:U14" si="1">H7</f>
        <v>0</v>
      </c>
      <c r="V7" s="770" t="s">
        <v>17</v>
      </c>
      <c r="W7" s="771">
        <f t="shared" ref="W7:W14" si="2">J7</f>
        <v>0</v>
      </c>
      <c r="X7" s="772"/>
      <c r="Y7" s="3185" t="s">
        <v>2549</v>
      </c>
      <c r="Z7" s="318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2552</v>
      </c>
      <c r="Q8" s="3186"/>
      <c r="R8" s="770" t="s">
        <v>17</v>
      </c>
      <c r="S8" s="771">
        <f t="shared" si="0"/>
        <v>0</v>
      </c>
      <c r="T8" s="770" t="s">
        <v>17</v>
      </c>
      <c r="U8" s="771">
        <f t="shared" si="1"/>
        <v>0</v>
      </c>
      <c r="V8" s="770" t="s">
        <v>17</v>
      </c>
      <c r="W8" s="771">
        <f t="shared" si="2"/>
        <v>0</v>
      </c>
      <c r="X8" s="772"/>
      <c r="Y8" s="3185" t="s">
        <v>2552</v>
      </c>
      <c r="Z8" s="318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6" t="s">
        <v>2555</v>
      </c>
      <c r="Q9" s="1795" t="str">
        <f t="shared" ref="Q9:Q14" si="6">B9</f>
        <v>用途</v>
      </c>
      <c r="R9" s="770" t="s">
        <v>17</v>
      </c>
      <c r="S9" s="771">
        <f t="shared" si="0"/>
        <v>100</v>
      </c>
      <c r="T9" s="770" t="s">
        <v>17</v>
      </c>
      <c r="U9" s="771">
        <f t="shared" si="1"/>
        <v>100</v>
      </c>
      <c r="V9" s="770" t="s">
        <v>17</v>
      </c>
      <c r="W9" s="771">
        <f t="shared" si="2"/>
        <v>100</v>
      </c>
      <c r="X9" s="772"/>
      <c r="Y9" s="300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6"/>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6"/>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6"/>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56"/>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8" t="s">
        <v>2560</v>
      </c>
      <c r="Q14" s="1810" t="str">
        <f t="shared" si="6"/>
        <v>交通便捷度</v>
      </c>
      <c r="R14" s="774" t="s">
        <v>17</v>
      </c>
      <c r="S14" s="775">
        <f t="shared" si="0"/>
        <v>100</v>
      </c>
      <c r="T14" s="774" t="s">
        <v>17</v>
      </c>
      <c r="U14" s="775">
        <f t="shared" si="1"/>
        <v>100</v>
      </c>
      <c r="V14" s="774" t="s">
        <v>17</v>
      </c>
      <c r="W14" s="775">
        <f t="shared" si="2"/>
        <v>100</v>
      </c>
      <c r="X14" s="1813"/>
      <c r="Y14" s="3158"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9"/>
      <c r="Q15" s="1810"/>
      <c r="R15" s="774"/>
      <c r="S15" s="775"/>
      <c r="T15" s="774"/>
      <c r="U15" s="775"/>
      <c r="V15" s="774"/>
      <c r="W15" s="775"/>
      <c r="X15" s="1813"/>
      <c r="Y15" s="3159"/>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9"/>
      <c r="Q16" s="1810" t="str">
        <f>B16</f>
        <v>公共配套设施</v>
      </c>
      <c r="R16" s="774" t="s">
        <v>17</v>
      </c>
      <c r="S16" s="775">
        <f>F16</f>
        <v>100</v>
      </c>
      <c r="T16" s="774" t="s">
        <v>17</v>
      </c>
      <c r="U16" s="775">
        <f>H16</f>
        <v>100</v>
      </c>
      <c r="V16" s="774" t="s">
        <v>17</v>
      </c>
      <c r="W16" s="775">
        <f>J16</f>
        <v>100</v>
      </c>
      <c r="X16" s="1813"/>
      <c r="Y16" s="315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59"/>
      <c r="Q17" s="1810"/>
      <c r="R17" s="774"/>
      <c r="S17" s="775"/>
      <c r="T17" s="774"/>
      <c r="U17" s="775"/>
      <c r="V17" s="774"/>
      <c r="W17" s="775"/>
      <c r="X17" s="1813"/>
      <c r="Y17" s="3159"/>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9"/>
      <c r="Q18" s="1810" t="str">
        <f>B18</f>
        <v>基础设施水平</v>
      </c>
      <c r="R18" s="774" t="s">
        <v>17</v>
      </c>
      <c r="S18" s="775">
        <f>F18</f>
        <v>100</v>
      </c>
      <c r="T18" s="774" t="s">
        <v>17</v>
      </c>
      <c r="U18" s="775">
        <f>H18</f>
        <v>100</v>
      </c>
      <c r="V18" s="774" t="s">
        <v>17</v>
      </c>
      <c r="W18" s="775">
        <f>J18</f>
        <v>100</v>
      </c>
      <c r="X18" s="1813"/>
      <c r="Y18" s="315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59"/>
      <c r="Q19" s="1810"/>
      <c r="R19" s="774"/>
      <c r="S19" s="775"/>
      <c r="T19" s="774"/>
      <c r="U19" s="775"/>
      <c r="V19" s="774"/>
      <c r="W19" s="775"/>
      <c r="X19" s="1813"/>
      <c r="Y19" s="3159"/>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9"/>
      <c r="Q20" s="1810" t="str">
        <f>B20</f>
        <v>自然及人文环境</v>
      </c>
      <c r="R20" s="774" t="s">
        <v>17</v>
      </c>
      <c r="S20" s="775">
        <f>F20</f>
        <v>100</v>
      </c>
      <c r="T20" s="774" t="s">
        <v>17</v>
      </c>
      <c r="U20" s="775">
        <f>H20</f>
        <v>100</v>
      </c>
      <c r="V20" s="774" t="s">
        <v>17</v>
      </c>
      <c r="W20" s="775">
        <f>J20</f>
        <v>100</v>
      </c>
      <c r="X20" s="1813"/>
      <c r="Y20" s="315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9"/>
      <c r="Q21" s="1810"/>
      <c r="R21" s="774"/>
      <c r="S21" s="775"/>
      <c r="T21" s="774"/>
      <c r="U21" s="775"/>
      <c r="V21" s="774"/>
      <c r="W21" s="775"/>
      <c r="X21" s="1813"/>
      <c r="Y21" s="3159"/>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9"/>
      <c r="Q22" s="1810" t="str">
        <f>B22</f>
        <v>楼层</v>
      </c>
      <c r="R22" s="774" t="s">
        <v>17</v>
      </c>
      <c r="S22" s="775">
        <f>F22</f>
        <v>100</v>
      </c>
      <c r="T22" s="774" t="s">
        <v>17</v>
      </c>
      <c r="U22" s="775">
        <f>H22</f>
        <v>100</v>
      </c>
      <c r="V22" s="774" t="s">
        <v>17</v>
      </c>
      <c r="W22" s="775">
        <f>J22</f>
        <v>100</v>
      </c>
      <c r="X22" s="1813"/>
      <c r="Y22" s="315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9"/>
      <c r="Q23" s="1810">
        <f>B23</f>
        <v>111</v>
      </c>
      <c r="R23" s="774" t="s">
        <v>17</v>
      </c>
      <c r="S23" s="775">
        <f>F23</f>
        <v>100</v>
      </c>
      <c r="T23" s="774" t="s">
        <v>17</v>
      </c>
      <c r="U23" s="775">
        <f>H23</f>
        <v>100</v>
      </c>
      <c r="V23" s="774" t="s">
        <v>17</v>
      </c>
      <c r="W23" s="775">
        <f>J23</f>
        <v>100</v>
      </c>
      <c r="X23" s="1813"/>
      <c r="Y23" s="315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9"/>
      <c r="Q24" s="1810">
        <f t="shared" ref="Q24:Q34" si="11">B24</f>
        <v>111</v>
      </c>
      <c r="R24" s="774" t="s">
        <v>17</v>
      </c>
      <c r="S24" s="775">
        <f>F24</f>
        <v>100</v>
      </c>
      <c r="T24" s="774" t="s">
        <v>17</v>
      </c>
      <c r="U24" s="775">
        <f>H24</f>
        <v>100</v>
      </c>
      <c r="V24" s="774" t="s">
        <v>17</v>
      </c>
      <c r="W24" s="775">
        <f>J24</f>
        <v>100</v>
      </c>
      <c r="X24" s="1813"/>
      <c r="Y24" s="315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59"/>
      <c r="Q25" s="1795">
        <f t="shared" si="11"/>
        <v>111</v>
      </c>
      <c r="R25" s="770" t="s">
        <v>17</v>
      </c>
      <c r="S25" s="771">
        <f>F25</f>
        <v>100</v>
      </c>
      <c r="T25" s="770" t="s">
        <v>17</v>
      </c>
      <c r="U25" s="771">
        <f>H25</f>
        <v>100</v>
      </c>
      <c r="V25" s="770" t="s">
        <v>17</v>
      </c>
      <c r="W25" s="771">
        <f>J25</f>
        <v>100</v>
      </c>
      <c r="X25" s="772"/>
      <c r="Y25" s="3159"/>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160"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1"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1"/>
      <c r="Q28" s="1810" t="str">
        <f t="shared" si="11"/>
        <v>物业等级</v>
      </c>
      <c r="R28" s="774" t="s">
        <v>17</v>
      </c>
      <c r="S28" s="775">
        <f t="shared" si="12"/>
        <v>100</v>
      </c>
      <c r="T28" s="774" t="s">
        <v>17</v>
      </c>
      <c r="U28" s="775">
        <f t="shared" si="13"/>
        <v>100</v>
      </c>
      <c r="V28" s="774" t="s">
        <v>17</v>
      </c>
      <c r="W28" s="775">
        <f t="shared" si="14"/>
        <v>100</v>
      </c>
      <c r="X28" s="1813"/>
      <c r="Y28" s="3161"/>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1"/>
      <c r="Q29" s="1810" t="str">
        <f t="shared" si="11"/>
        <v>有无电梯</v>
      </c>
      <c r="R29" s="774" t="s">
        <v>17</v>
      </c>
      <c r="S29" s="775">
        <f t="shared" si="12"/>
        <v>100</v>
      </c>
      <c r="T29" s="774" t="s">
        <v>17</v>
      </c>
      <c r="U29" s="775">
        <f t="shared" si="13"/>
        <v>100</v>
      </c>
      <c r="V29" s="774" t="s">
        <v>17</v>
      </c>
      <c r="W29" s="775">
        <f t="shared" si="14"/>
        <v>100</v>
      </c>
      <c r="X29" s="1813"/>
      <c r="Y29" s="3161"/>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1"/>
      <c r="Q30" s="1810" t="str">
        <f t="shared" si="11"/>
        <v>建筑面积</v>
      </c>
      <c r="R30" s="774" t="s">
        <v>17</v>
      </c>
      <c r="S30" s="775" t="e">
        <f t="shared" si="12"/>
        <v>#N/A</v>
      </c>
      <c r="T30" s="774" t="s">
        <v>17</v>
      </c>
      <c r="U30" s="775" t="e">
        <f t="shared" si="13"/>
        <v>#N/A</v>
      </c>
      <c r="V30" s="774" t="s">
        <v>17</v>
      </c>
      <c r="W30" s="775" t="e">
        <f t="shared" si="14"/>
        <v>#N/A</v>
      </c>
      <c r="X30" s="1813"/>
      <c r="Y30" s="3161"/>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1"/>
      <c r="Q31" s="1795"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1" t="s">
        <v>2565</v>
      </c>
      <c r="Q32" s="1810">
        <f t="shared" si="11"/>
        <v>111</v>
      </c>
      <c r="R32" s="774" t="s">
        <v>17</v>
      </c>
      <c r="S32" s="775">
        <f t="shared" si="12"/>
        <v>100</v>
      </c>
      <c r="T32" s="774" t="s">
        <v>17</v>
      </c>
      <c r="U32" s="775">
        <f t="shared" si="13"/>
        <v>100</v>
      </c>
      <c r="V32" s="774" t="s">
        <v>17</v>
      </c>
      <c r="W32" s="775">
        <f t="shared" si="14"/>
        <v>100</v>
      </c>
      <c r="X32" s="1813"/>
      <c r="Y32" s="3161"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1"/>
      <c r="Q33" s="1810">
        <f t="shared" si="11"/>
        <v>111</v>
      </c>
      <c r="R33" s="774" t="s">
        <v>17</v>
      </c>
      <c r="S33" s="775">
        <f t="shared" si="12"/>
        <v>100</v>
      </c>
      <c r="T33" s="774" t="s">
        <v>17</v>
      </c>
      <c r="U33" s="775">
        <f t="shared" si="13"/>
        <v>100</v>
      </c>
      <c r="V33" s="774" t="s">
        <v>17</v>
      </c>
      <c r="W33" s="775">
        <f t="shared" si="14"/>
        <v>100</v>
      </c>
      <c r="X33" s="1813"/>
      <c r="Y33" s="3161"/>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61"/>
      <c r="Q34" s="1810">
        <f t="shared" si="11"/>
        <v>111</v>
      </c>
      <c r="R34" s="774" t="s">
        <v>17</v>
      </c>
      <c r="S34" s="775">
        <f t="shared" si="12"/>
        <v>100</v>
      </c>
      <c r="T34" s="774" t="s">
        <v>17</v>
      </c>
      <c r="U34" s="775">
        <f t="shared" si="13"/>
        <v>100</v>
      </c>
      <c r="V34" s="774" t="s">
        <v>17</v>
      </c>
      <c r="W34" s="775">
        <f t="shared" si="14"/>
        <v>100</v>
      </c>
      <c r="X34" s="1813"/>
      <c r="Y34" s="3161"/>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56" t="str">
        <f>A35</f>
        <v>成交单价（元/平方米）</v>
      </c>
      <c r="Q35" s="3156"/>
      <c r="R35" s="3220">
        <f>E35</f>
        <v>0</v>
      </c>
      <c r="S35" s="3220"/>
      <c r="T35" s="3220">
        <f>G35</f>
        <v>0</v>
      </c>
      <c r="U35" s="3220"/>
      <c r="V35" s="3220">
        <f>I35</f>
        <v>0</v>
      </c>
      <c r="W35" s="3220"/>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56" t="str">
        <f>A36</f>
        <v>比较价值（元/平方米）</v>
      </c>
      <c r="Q36" s="3156"/>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50" t="str">
        <f>A37</f>
        <v>估价对象XX用房的比较价值（楼面单价，元/平方米）</v>
      </c>
      <c r="Q37" s="3151"/>
      <c r="R37" s="3219" t="e">
        <f>IF(F1="售价",ROUND(AVERAGE(R36:V36),0),ROUND(AVERAGE(R36:V36),1))</f>
        <v>#DIV/0!</v>
      </c>
      <c r="S37" s="3219"/>
      <c r="T37" s="3219"/>
      <c r="U37" s="3219"/>
      <c r="V37" s="3219"/>
      <c r="W37" s="321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3" t="s">
        <v>2646</v>
      </c>
      <c r="D4" s="3166"/>
      <c r="E4" s="3167" t="s">
        <v>2647</v>
      </c>
      <c r="F4" s="3168"/>
      <c r="G4" s="3153" t="s">
        <v>2648</v>
      </c>
      <c r="H4" s="3166"/>
      <c r="I4" s="3153" t="s">
        <v>2649</v>
      </c>
      <c r="J4" s="3166"/>
      <c r="K4" s="610" t="s">
        <v>2650</v>
      </c>
      <c r="L4" s="1130"/>
      <c r="M4" s="1131"/>
      <c r="N4" s="1131"/>
      <c r="O4" s="1131"/>
      <c r="P4" s="3169" t="s">
        <v>2651</v>
      </c>
      <c r="Q4" s="3170"/>
      <c r="R4" s="3175" t="s">
        <v>2647</v>
      </c>
      <c r="S4" s="3176"/>
      <c r="T4" s="3175" t="s">
        <v>2648</v>
      </c>
      <c r="U4" s="3176"/>
      <c r="V4" s="3162" t="s">
        <v>2649</v>
      </c>
      <c r="W4" s="3162"/>
      <c r="X4" s="1813"/>
      <c r="Y4" s="3175" t="s">
        <v>2651</v>
      </c>
      <c r="Z4" s="3176"/>
      <c r="AA4" s="3163" t="s">
        <v>2647</v>
      </c>
      <c r="AB4" s="3164" t="s">
        <v>2648</v>
      </c>
      <c r="AC4" s="3163" t="s">
        <v>2649</v>
      </c>
    </row>
    <row r="5" spans="1:29" ht="15">
      <c r="A5" s="404"/>
      <c r="B5" s="405"/>
      <c r="C5" s="3183" t="s">
        <v>2542</v>
      </c>
      <c r="D5" s="3184"/>
      <c r="E5" s="3190" t="s">
        <v>2543</v>
      </c>
      <c r="F5" s="3191"/>
      <c r="G5" s="3183" t="s">
        <v>2544</v>
      </c>
      <c r="H5" s="3184"/>
      <c r="I5" s="3183" t="s">
        <v>2545</v>
      </c>
      <c r="J5" s="3184"/>
      <c r="K5" s="610"/>
      <c r="L5" s="1130"/>
      <c r="M5" s="1131"/>
      <c r="N5" s="1131"/>
      <c r="O5" s="1131"/>
      <c r="P5" s="3171"/>
      <c r="Q5" s="3172"/>
      <c r="R5" s="3177"/>
      <c r="S5" s="3178"/>
      <c r="T5" s="3177"/>
      <c r="U5" s="3178"/>
      <c r="V5" s="3162"/>
      <c r="W5" s="3162"/>
      <c r="X5" s="1813"/>
      <c r="Y5" s="3177"/>
      <c r="Z5" s="3178"/>
      <c r="AA5" s="3164"/>
      <c r="AB5" s="3164"/>
      <c r="AC5" s="3164"/>
    </row>
    <row r="6" spans="1:29" ht="15.75" thickBot="1">
      <c r="A6" s="406"/>
      <c r="B6" s="407"/>
      <c r="C6" s="3242" t="s">
        <v>2797</v>
      </c>
      <c r="D6" s="3243"/>
      <c r="E6" s="3244" t="s">
        <v>2797</v>
      </c>
      <c r="F6" s="3245"/>
      <c r="G6" s="3242" t="s">
        <v>2797</v>
      </c>
      <c r="H6" s="3243"/>
      <c r="I6" s="3242" t="s">
        <v>2797</v>
      </c>
      <c r="J6" s="3243"/>
      <c r="K6" s="610" t="s">
        <v>2547</v>
      </c>
      <c r="L6" s="1130"/>
      <c r="M6" s="1131"/>
      <c r="N6" s="1131"/>
      <c r="O6" s="1131"/>
      <c r="P6" s="3173"/>
      <c r="Q6" s="3174"/>
      <c r="R6" s="3177"/>
      <c r="S6" s="3178"/>
      <c r="T6" s="3179"/>
      <c r="U6" s="3180"/>
      <c r="V6" s="3162"/>
      <c r="W6" s="3162"/>
      <c r="X6" s="1813"/>
      <c r="Y6" s="3179"/>
      <c r="Z6" s="3180"/>
      <c r="AA6" s="3165"/>
      <c r="AB6" s="3165"/>
      <c r="AC6" s="3165"/>
    </row>
    <row r="7" spans="1:29" s="117" customFormat="1" ht="15.75" thickBot="1">
      <c r="A7" s="408" t="s">
        <v>2548</v>
      </c>
      <c r="B7" s="409"/>
      <c r="C7" s="410">
        <f>'数据-取费表'!B2</f>
        <v>43614</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85" t="s">
        <v>2549</v>
      </c>
      <c r="Q7" s="3187"/>
      <c r="R7" s="770" t="s">
        <v>17</v>
      </c>
      <c r="S7" s="771">
        <f t="shared" ref="S7:S15" si="0">F7</f>
        <v>0</v>
      </c>
      <c r="T7" s="770" t="s">
        <v>17</v>
      </c>
      <c r="U7" s="771">
        <f t="shared" ref="U7:U15" si="1">H7</f>
        <v>0</v>
      </c>
      <c r="V7" s="770" t="s">
        <v>17</v>
      </c>
      <c r="W7" s="771">
        <f t="shared" ref="W7:W15" si="2">J7</f>
        <v>0</v>
      </c>
      <c r="X7" s="772"/>
      <c r="Y7" s="3185" t="s">
        <v>2549</v>
      </c>
      <c r="Z7" s="3186"/>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2552</v>
      </c>
      <c r="Q8" s="3186"/>
      <c r="R8" s="770" t="s">
        <v>17</v>
      </c>
      <c r="S8" s="771">
        <f t="shared" si="0"/>
        <v>0</v>
      </c>
      <c r="T8" s="770" t="s">
        <v>17</v>
      </c>
      <c r="U8" s="771">
        <f t="shared" si="1"/>
        <v>0</v>
      </c>
      <c r="V8" s="770" t="s">
        <v>17</v>
      </c>
      <c r="W8" s="771">
        <f t="shared" si="2"/>
        <v>0</v>
      </c>
      <c r="X8" s="772"/>
      <c r="Y8" s="3185" t="s">
        <v>2552</v>
      </c>
      <c r="Z8" s="3186"/>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56" t="s">
        <v>2555</v>
      </c>
      <c r="Q9" s="1795" t="str">
        <f t="shared" ref="Q9:Q15" si="6">B9</f>
        <v>用途</v>
      </c>
      <c r="R9" s="770" t="s">
        <v>17</v>
      </c>
      <c r="S9" s="771">
        <f t="shared" si="0"/>
        <v>100</v>
      </c>
      <c r="T9" s="770" t="s">
        <v>17</v>
      </c>
      <c r="U9" s="771">
        <f t="shared" si="1"/>
        <v>100</v>
      </c>
      <c r="V9" s="770" t="s">
        <v>17</v>
      </c>
      <c r="W9" s="771">
        <f t="shared" si="2"/>
        <v>100</v>
      </c>
      <c r="X9" s="772"/>
      <c r="Y9" s="300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56"/>
      <c r="Q10" s="1795" t="str">
        <f t="shared" si="6"/>
        <v>土地使用年限（年）</v>
      </c>
      <c r="R10" s="770" t="s">
        <v>17</v>
      </c>
      <c r="S10" s="771">
        <f t="shared" si="0"/>
        <v>104</v>
      </c>
      <c r="T10" s="770" t="s">
        <v>17</v>
      </c>
      <c r="U10" s="771">
        <f t="shared" si="1"/>
        <v>104</v>
      </c>
      <c r="V10" s="770" t="s">
        <v>17</v>
      </c>
      <c r="W10" s="771">
        <f t="shared" si="2"/>
        <v>104</v>
      </c>
      <c r="X10" s="772"/>
      <c r="Y10" s="3004"/>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6"/>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6"/>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6"/>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6"/>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8" t="s">
        <v>2560</v>
      </c>
      <c r="Q15" s="1810" t="str">
        <f t="shared" si="6"/>
        <v>产业集聚程度</v>
      </c>
      <c r="R15" s="774" t="s">
        <v>17</v>
      </c>
      <c r="S15" s="775">
        <f t="shared" si="0"/>
        <v>100</v>
      </c>
      <c r="T15" s="774" t="s">
        <v>17</v>
      </c>
      <c r="U15" s="775">
        <f t="shared" si="1"/>
        <v>100</v>
      </c>
      <c r="V15" s="774" t="s">
        <v>17</v>
      </c>
      <c r="W15" s="775">
        <f t="shared" si="2"/>
        <v>100</v>
      </c>
      <c r="X15" s="1813"/>
      <c r="Y15" s="3158"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59"/>
      <c r="Q16" s="1810"/>
      <c r="R16" s="774"/>
      <c r="S16" s="775"/>
      <c r="T16" s="774"/>
      <c r="U16" s="775"/>
      <c r="V16" s="774"/>
      <c r="W16" s="775"/>
      <c r="X16" s="1813"/>
      <c r="Y16" s="3159"/>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9"/>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59"/>
      <c r="Q18" s="1810"/>
      <c r="R18" s="774"/>
      <c r="S18" s="775"/>
      <c r="T18" s="774"/>
      <c r="U18" s="775"/>
      <c r="V18" s="774"/>
      <c r="W18" s="775"/>
      <c r="X18" s="1813"/>
      <c r="Y18" s="3159"/>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9"/>
      <c r="Q19" s="1810" t="str">
        <f t="shared" ref="Q19:Q33" si="8">B19</f>
        <v>区域土地利用方向</v>
      </c>
      <c r="R19" s="774" t="s">
        <v>17</v>
      </c>
      <c r="S19" s="775">
        <f>F19</f>
        <v>100</v>
      </c>
      <c r="T19" s="774" t="s">
        <v>17</v>
      </c>
      <c r="U19" s="775">
        <f>H19</f>
        <v>100</v>
      </c>
      <c r="V19" s="774" t="s">
        <v>17</v>
      </c>
      <c r="W19" s="775">
        <f>J19</f>
        <v>100</v>
      </c>
      <c r="X19" s="1813"/>
      <c r="Y19" s="315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59"/>
      <c r="Q20" s="1810"/>
      <c r="R20" s="774"/>
      <c r="S20" s="775"/>
      <c r="T20" s="774"/>
      <c r="U20" s="775"/>
      <c r="V20" s="774"/>
      <c r="W20" s="775"/>
      <c r="X20" s="1813"/>
      <c r="Y20" s="3159"/>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9"/>
      <c r="Q21" s="1810" t="str">
        <f t="shared" si="8"/>
        <v>环境状况</v>
      </c>
      <c r="R21" s="774" t="s">
        <v>17</v>
      </c>
      <c r="S21" s="775">
        <f>F21</f>
        <v>100</v>
      </c>
      <c r="T21" s="774" t="s">
        <v>17</v>
      </c>
      <c r="U21" s="775">
        <f>H21</f>
        <v>100</v>
      </c>
      <c r="V21" s="774" t="s">
        <v>17</v>
      </c>
      <c r="W21" s="775">
        <f>J21</f>
        <v>100</v>
      </c>
      <c r="X21" s="1813"/>
      <c r="Y21" s="315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59"/>
      <c r="Q22" s="1810"/>
      <c r="R22" s="774"/>
      <c r="S22" s="775"/>
      <c r="T22" s="774"/>
      <c r="U22" s="775"/>
      <c r="V22" s="774"/>
      <c r="W22" s="775"/>
      <c r="X22" s="1813"/>
      <c r="Y22" s="3159"/>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9"/>
      <c r="Q23" s="1795" t="str">
        <f t="shared" si="8"/>
        <v>公共配套设施</v>
      </c>
      <c r="R23" s="770" t="s">
        <v>17</v>
      </c>
      <c r="S23" s="771">
        <f>F23</f>
        <v>100</v>
      </c>
      <c r="T23" s="770" t="s">
        <v>17</v>
      </c>
      <c r="U23" s="771">
        <f>H23</f>
        <v>100</v>
      </c>
      <c r="V23" s="770" t="s">
        <v>17</v>
      </c>
      <c r="W23" s="771">
        <f>J23</f>
        <v>100</v>
      </c>
      <c r="X23" s="772"/>
      <c r="Y23" s="315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59"/>
      <c r="Q24" s="1795"/>
      <c r="R24" s="770"/>
      <c r="S24" s="771"/>
      <c r="T24" s="770"/>
      <c r="U24" s="771"/>
      <c r="V24" s="770"/>
      <c r="W24" s="771"/>
      <c r="X24" s="772"/>
      <c r="Y24" s="3159"/>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9"/>
      <c r="Q25" s="1795"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59"/>
      <c r="Q26" s="1795"/>
      <c r="R26" s="770"/>
      <c r="S26" s="771"/>
      <c r="T26" s="770"/>
      <c r="U26" s="771"/>
      <c r="V26" s="770"/>
      <c r="W26" s="771"/>
      <c r="X26" s="772"/>
      <c r="Y26" s="315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9"/>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9"/>
      <c r="Q28" s="1810" t="str">
        <f t="shared" si="8"/>
        <v>毗邻道路的类型与等级</v>
      </c>
      <c r="R28" s="774" t="s">
        <v>17</v>
      </c>
      <c r="S28" s="775">
        <f t="shared" si="10"/>
        <v>100</v>
      </c>
      <c r="T28" s="774" t="s">
        <v>17</v>
      </c>
      <c r="U28" s="775">
        <f t="shared" si="11"/>
        <v>100</v>
      </c>
      <c r="V28" s="774" t="s">
        <v>17</v>
      </c>
      <c r="W28" s="775">
        <f t="shared" si="12"/>
        <v>100</v>
      </c>
      <c r="X28" s="1813"/>
      <c r="Y28" s="315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59"/>
      <c r="Q29" s="1810"/>
      <c r="R29" s="774"/>
      <c r="S29" s="775"/>
      <c r="T29" s="774"/>
      <c r="U29" s="775"/>
      <c r="V29" s="774"/>
      <c r="W29" s="775"/>
      <c r="X29" s="1813"/>
      <c r="Y29" s="3159"/>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9"/>
      <c r="Q30" s="1810" t="str">
        <f t="shared" si="8"/>
        <v>土地级别</v>
      </c>
      <c r="R30" s="774" t="s">
        <v>17</v>
      </c>
      <c r="S30" s="775">
        <f t="shared" si="10"/>
        <v>100</v>
      </c>
      <c r="T30" s="774" t="s">
        <v>17</v>
      </c>
      <c r="U30" s="775">
        <f t="shared" si="11"/>
        <v>100</v>
      </c>
      <c r="V30" s="774" t="s">
        <v>17</v>
      </c>
      <c r="W30" s="775">
        <f t="shared" si="12"/>
        <v>100</v>
      </c>
      <c r="X30" s="1813"/>
      <c r="Y30" s="315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9"/>
      <c r="Q31" s="1810">
        <f t="shared" si="8"/>
        <v>111</v>
      </c>
      <c r="R31" s="774" t="s">
        <v>17</v>
      </c>
      <c r="S31" s="775">
        <f t="shared" si="10"/>
        <v>100</v>
      </c>
      <c r="T31" s="774" t="s">
        <v>17</v>
      </c>
      <c r="U31" s="775">
        <f t="shared" si="11"/>
        <v>100</v>
      </c>
      <c r="V31" s="774" t="s">
        <v>17</v>
      </c>
      <c r="W31" s="775">
        <f t="shared" si="12"/>
        <v>100</v>
      </c>
      <c r="X31" s="1813"/>
      <c r="Y31" s="315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0" t="s">
        <v>2565</v>
      </c>
      <c r="Q32" s="1810">
        <f t="shared" si="8"/>
        <v>111</v>
      </c>
      <c r="R32" s="774" t="s">
        <v>17</v>
      </c>
      <c r="S32" s="775">
        <f t="shared" si="10"/>
        <v>100</v>
      </c>
      <c r="T32" s="774" t="s">
        <v>17</v>
      </c>
      <c r="U32" s="775">
        <f t="shared" si="11"/>
        <v>100</v>
      </c>
      <c r="V32" s="774" t="s">
        <v>17</v>
      </c>
      <c r="W32" s="775">
        <f t="shared" si="12"/>
        <v>100</v>
      </c>
      <c r="X32" s="1813"/>
      <c r="Y32" s="3161"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1"/>
      <c r="Q33" s="1810">
        <f t="shared" si="8"/>
        <v>111</v>
      </c>
      <c r="R33" s="777" t="s">
        <v>17</v>
      </c>
      <c r="S33" s="778">
        <f t="shared" si="10"/>
        <v>100</v>
      </c>
      <c r="T33" s="777" t="s">
        <v>17</v>
      </c>
      <c r="U33" s="778">
        <f t="shared" si="11"/>
        <v>100</v>
      </c>
      <c r="V33" s="777" t="s">
        <v>17</v>
      </c>
      <c r="W33" s="778">
        <f t="shared" si="12"/>
        <v>100</v>
      </c>
      <c r="X33" s="779"/>
      <c r="Y33" s="3161"/>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1"/>
      <c r="Q34" s="1810" t="str">
        <f>B34</f>
        <v>宗地面积</v>
      </c>
      <c r="R34" s="774" t="s">
        <v>17</v>
      </c>
      <c r="S34" s="775" t="e">
        <f t="shared" si="10"/>
        <v>#N/A</v>
      </c>
      <c r="T34" s="774" t="s">
        <v>17</v>
      </c>
      <c r="U34" s="775" t="e">
        <f t="shared" si="11"/>
        <v>#N/A</v>
      </c>
      <c r="V34" s="774" t="s">
        <v>17</v>
      </c>
      <c r="W34" s="775" t="e">
        <f t="shared" si="12"/>
        <v>#N/A</v>
      </c>
      <c r="X34" s="1813"/>
      <c r="Y34" s="3161"/>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61"/>
      <c r="Q35" s="1810" t="str">
        <f t="shared" ref="Q35:Q40" si="14">B35</f>
        <v>宗地形状</v>
      </c>
      <c r="R35" s="774" t="s">
        <v>17</v>
      </c>
      <c r="S35" s="775">
        <f t="shared" si="10"/>
        <v>100</v>
      </c>
      <c r="T35" s="774" t="s">
        <v>17</v>
      </c>
      <c r="U35" s="775">
        <f t="shared" si="11"/>
        <v>100</v>
      </c>
      <c r="V35" s="774" t="s">
        <v>17</v>
      </c>
      <c r="W35" s="775">
        <f t="shared" si="12"/>
        <v>100</v>
      </c>
      <c r="X35" s="1813"/>
      <c r="Y35" s="3161"/>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61"/>
      <c r="Q36" s="1810"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61" t="s">
        <v>2565</v>
      </c>
      <c r="Q37" s="1810" t="str">
        <f t="shared" si="14"/>
        <v>工程地质条件</v>
      </c>
      <c r="R37" s="774" t="s">
        <v>17</v>
      </c>
      <c r="S37" s="775">
        <f t="shared" si="10"/>
        <v>100</v>
      </c>
      <c r="T37" s="774" t="s">
        <v>17</v>
      </c>
      <c r="U37" s="775">
        <f t="shared" si="11"/>
        <v>100</v>
      </c>
      <c r="V37" s="774" t="s">
        <v>17</v>
      </c>
      <c r="W37" s="775">
        <f t="shared" si="12"/>
        <v>100</v>
      </c>
      <c r="X37" s="1813"/>
      <c r="Y37" s="3161"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1"/>
      <c r="Q38" s="1810">
        <f t="shared" si="14"/>
        <v>111</v>
      </c>
      <c r="R38" s="774" t="s">
        <v>17</v>
      </c>
      <c r="S38" s="775">
        <f t="shared" si="10"/>
        <v>100</v>
      </c>
      <c r="T38" s="774" t="s">
        <v>17</v>
      </c>
      <c r="U38" s="775">
        <f t="shared" si="11"/>
        <v>100</v>
      </c>
      <c r="V38" s="774" t="s">
        <v>17</v>
      </c>
      <c r="W38" s="775">
        <f t="shared" si="12"/>
        <v>100</v>
      </c>
      <c r="X38" s="1813"/>
      <c r="Y38" s="316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1"/>
      <c r="Q39" s="1810">
        <f t="shared" si="14"/>
        <v>111</v>
      </c>
      <c r="R39" s="774" t="s">
        <v>17</v>
      </c>
      <c r="S39" s="775">
        <f t="shared" si="10"/>
        <v>100</v>
      </c>
      <c r="T39" s="774" t="s">
        <v>17</v>
      </c>
      <c r="U39" s="775">
        <f t="shared" si="11"/>
        <v>100</v>
      </c>
      <c r="V39" s="774" t="s">
        <v>17</v>
      </c>
      <c r="W39" s="775">
        <f t="shared" si="12"/>
        <v>100</v>
      </c>
      <c r="X39" s="1813"/>
      <c r="Y39" s="3161"/>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1"/>
      <c r="Q40" s="1810">
        <f t="shared" si="14"/>
        <v>111</v>
      </c>
      <c r="R40" s="777" t="s">
        <v>17</v>
      </c>
      <c r="S40" s="778">
        <f t="shared" si="10"/>
        <v>100</v>
      </c>
      <c r="T40" s="777" t="s">
        <v>17</v>
      </c>
      <c r="U40" s="778">
        <f t="shared" si="11"/>
        <v>100</v>
      </c>
      <c r="V40" s="777" t="s">
        <v>17</v>
      </c>
      <c r="W40" s="778">
        <f t="shared" si="12"/>
        <v>100</v>
      </c>
      <c r="X40" s="779"/>
      <c r="Y40" s="3161"/>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156" t="str">
        <f>A41</f>
        <v>成交单价</v>
      </c>
      <c r="Q41" s="3156"/>
      <c r="R41" s="3162">
        <f>E41</f>
        <v>0</v>
      </c>
      <c r="S41" s="3162"/>
      <c r="T41" s="3162">
        <f>G41</f>
        <v>0</v>
      </c>
      <c r="U41" s="3162"/>
      <c r="V41" s="3162">
        <f>I41</f>
        <v>0</v>
      </c>
      <c r="W41" s="316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56" t="str">
        <f>A42</f>
        <v>比较价值（元/平方米）</v>
      </c>
      <c r="Q42" s="3156"/>
      <c r="R42" s="3149" t="e">
        <f>ROUND(PRODUCT(R41,AA7:AA40),0)</f>
        <v>#DIV/0!</v>
      </c>
      <c r="S42" s="3149"/>
      <c r="T42" s="3149" t="e">
        <f>ROUND(PRODUCT(T41,AB7:AB40),0)</f>
        <v>#DIV/0!</v>
      </c>
      <c r="U42" s="3149"/>
      <c r="V42" s="3149" t="e">
        <f>ROUND(PRODUCT(V41,AC7:AC40),0)</f>
        <v>#DIV/0!</v>
      </c>
      <c r="W42" s="3149"/>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50" t="str">
        <f>A43</f>
        <v>估价对象XX用房的比较价值（楼面单价，元/平方米）</v>
      </c>
      <c r="Q43" s="3151"/>
      <c r="R43" s="3152" t="e">
        <f>ROUND(AVERAGE(R42:V42),0)</f>
        <v>#DIV/0!</v>
      </c>
      <c r="S43" s="3152"/>
      <c r="T43" s="3152"/>
      <c r="U43" s="3152"/>
      <c r="V43" s="3152"/>
      <c r="W43" s="315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53" t="s">
        <v>2764</v>
      </c>
      <c r="H50" s="3154"/>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74858.680000000008</v>
      </c>
      <c r="F51" s="691" t="e">
        <f t="shared" ref="F51:F60" si="15">ROUND(B51*E51/10000,0)</f>
        <v>#DIV/0!</v>
      </c>
      <c r="G51" s="3155"/>
      <c r="H51" s="3156"/>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5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5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5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5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20134.2</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21344.57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3.17</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9"/>
      <c r="B4" s="3250"/>
      <c r="C4" s="3250"/>
      <c r="D4" s="3251"/>
      <c r="E4" s="3251"/>
      <c r="F4" s="3251"/>
      <c r="G4" s="3251"/>
      <c r="H4" s="3251"/>
      <c r="I4" s="3251"/>
      <c r="J4" s="3252"/>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ROUND(IF(F17="增加",C6+C16,C6-C16),0)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53"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3.17</v>
      </c>
      <c r="AA7" s="1606"/>
      <c r="AB7" s="1606"/>
      <c r="AC7" s="1607"/>
      <c r="AD7" s="1608"/>
      <c r="AE7" s="1608"/>
      <c r="AF7" s="1608"/>
      <c r="AG7" s="1608"/>
      <c r="AH7" s="1608"/>
      <c r="AI7" s="1608"/>
      <c r="AJ7" s="1609"/>
    </row>
    <row r="8" spans="1:36" ht="15">
      <c r="A8" s="3254"/>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6" t="s">
        <v>2840</v>
      </c>
      <c r="X8" s="324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54"/>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4"/>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4"/>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8" t="s">
        <v>2864</v>
      </c>
      <c r="X11" s="1614" t="s">
        <v>2865</v>
      </c>
      <c r="Y11" s="1615">
        <f>$G$3</f>
        <v>3.17</v>
      </c>
      <c r="Z11" s="1615">
        <f t="shared" ref="Z11:AJ11" si="3">$G$3</f>
        <v>3.17</v>
      </c>
      <c r="AA11" s="1615">
        <f t="shared" si="3"/>
        <v>3.17</v>
      </c>
      <c r="AB11" s="1615">
        <f t="shared" si="3"/>
        <v>3.17</v>
      </c>
      <c r="AC11" s="1615">
        <f t="shared" si="3"/>
        <v>3.17</v>
      </c>
      <c r="AD11" s="1615">
        <f t="shared" si="3"/>
        <v>3.17</v>
      </c>
      <c r="AE11" s="1615">
        <f t="shared" si="3"/>
        <v>3.17</v>
      </c>
      <c r="AF11" s="1615">
        <f t="shared" si="3"/>
        <v>3.17</v>
      </c>
      <c r="AG11" s="1615">
        <f t="shared" si="3"/>
        <v>3.17</v>
      </c>
      <c r="AH11" s="1615">
        <f t="shared" si="3"/>
        <v>3.17</v>
      </c>
      <c r="AI11" s="1615">
        <f t="shared" si="3"/>
        <v>3.17</v>
      </c>
      <c r="AJ11" s="1615">
        <f t="shared" si="3"/>
        <v>3.17</v>
      </c>
    </row>
    <row r="12" spans="1:36" ht="25.5" thickBot="1">
      <c r="A12" s="3253"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5"/>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248"/>
      <c r="X13" s="1616"/>
      <c r="Y13" s="1613">
        <f>(-0.163*(Y12^2)-0.59*Y12+7617)*(10^(-4))/Y11</f>
        <v>0.24028391167192431</v>
      </c>
      <c r="Z13" s="1613">
        <f t="shared" ref="Z13:AJ13" si="5">(-0.163*(Z12^2)-0.59*Z12+7617)*(10^(-4))/Z11</f>
        <v>0.24028391167192431</v>
      </c>
      <c r="AA13" s="1613">
        <f t="shared" si="5"/>
        <v>0.24028391167192431</v>
      </c>
      <c r="AB13" s="1613">
        <f t="shared" si="5"/>
        <v>0.24028391167192431</v>
      </c>
      <c r="AC13" s="1613">
        <f t="shared" si="5"/>
        <v>0.24028391167192431</v>
      </c>
      <c r="AD13" s="1613">
        <f t="shared" si="5"/>
        <v>0.24028391167192431</v>
      </c>
      <c r="AE13" s="1613">
        <f t="shared" si="5"/>
        <v>0.24028391167192431</v>
      </c>
      <c r="AF13" s="1613">
        <f t="shared" si="5"/>
        <v>0.24028391167192431</v>
      </c>
      <c r="AG13" s="1613">
        <f t="shared" si="5"/>
        <v>0.24028391167192431</v>
      </c>
      <c r="AH13" s="1613">
        <f t="shared" si="5"/>
        <v>0.24028391167192431</v>
      </c>
      <c r="AI13" s="1613">
        <f t="shared" si="5"/>
        <v>0.24028391167192431</v>
      </c>
      <c r="AJ13" s="1613">
        <f t="shared" si="5"/>
        <v>0.24028391167192431</v>
      </c>
    </row>
    <row r="14" spans="1:36" ht="15">
      <c r="A14" s="3255"/>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6"/>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3" t="s">
        <v>2883</v>
      </c>
      <c r="B16" s="2748" t="s">
        <v>2884</v>
      </c>
      <c r="C16" s="2938" t="e">
        <f>ROUND(IF(F17="与级别开发程度一致",0,(G17-E17)/C17),0)</f>
        <v>#DIV/0!</v>
      </c>
      <c r="D16" s="3267" t="s">
        <v>2888</v>
      </c>
      <c r="E16" s="3268"/>
      <c r="F16" s="3267" t="s">
        <v>2885</v>
      </c>
      <c r="G16" s="3268"/>
      <c r="H16" s="2782"/>
      <c r="I16" s="2782"/>
      <c r="J16" s="2942"/>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7"/>
      <c r="B17" s="2949" t="s">
        <v>2887</v>
      </c>
      <c r="C17" s="2950">
        <f>SUMPRODUCT((修正!A2:A5=E2)*(修正!B1:M1=G2)*(修正!B2:M5))</f>
        <v>0</v>
      </c>
      <c r="D17" s="229" t="str">
        <f>IF(OR(G2="八级",G2="九级",G2="十级",G2="十一级",G2="十二级"),"五通一平","七通一平")</f>
        <v>七通一平</v>
      </c>
      <c r="E17" s="2939">
        <f>SUMPRODUCT((修正!B1:M1=G2)*(修正!B15:M15))</f>
        <v>0</v>
      </c>
      <c r="F17" s="2940"/>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2890</v>
      </c>
      <c r="C18" s="2945">
        <f>SUMIF(修正!C18:C39,E3,修正!E18:E39)</f>
        <v>0</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ROUND(IF(H19="按公示增长率计算",SUMPRODUCT((地价!A3:A26=YEAR(G19)&amp;"-"&amp;ROUNDUP(MONTH(G19)/3,0))*(地价!X2:AB2=E2)*(地价!X3:AB26)),IF(H19="地价指数",M20/M19,(1+I19)^O19)),4)</f>
        <v>#DIV/0!</v>
      </c>
      <c r="D19" s="2792" t="s">
        <v>2892</v>
      </c>
      <c r="E19" s="925">
        <v>41640</v>
      </c>
      <c r="F19" s="2792" t="s">
        <v>2893</v>
      </c>
      <c r="G19" s="926">
        <f>'数据-取费表'!B2</f>
        <v>43614</v>
      </c>
      <c r="H19" s="2793" t="s">
        <v>2894</v>
      </c>
      <c r="I19" s="927" t="str">
        <f>IF(H19="季度增幅（自定义）",SUMIF(N21:N24,E2,O21:O24),"")</f>
        <v/>
      </c>
      <c r="J19" s="2790"/>
      <c r="K19" s="1377"/>
      <c r="L19" s="2794" t="s">
        <v>2895</v>
      </c>
      <c r="M19" s="1734">
        <f>ROUND(SUMIF(地价!B2:F2,E2,地价!B26:F26),0)</f>
        <v>0</v>
      </c>
      <c r="N19" s="2795"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2897</v>
      </c>
      <c r="C20" s="929" t="e">
        <f>ROUND(POWER(1+G20,J20-I20)*(POWER(1+G20,I20)-1)/(POWER(1+G20,J20)-1),4)</f>
        <v>#DIV/0!</v>
      </c>
      <c r="D20" s="2801" t="s">
        <v>2898</v>
      </c>
      <c r="E20" s="1768">
        <f ca="1">存贷款利率!D4/100</f>
        <v>4.3499999999999997E-2</v>
      </c>
      <c r="F20" s="2801" t="s">
        <v>2889</v>
      </c>
      <c r="G20" s="934">
        <f>SUMIF(M26:P26,E2,M28:P28)</f>
        <v>0</v>
      </c>
      <c r="H20" s="2801" t="s">
        <v>2899</v>
      </c>
      <c r="I20" s="935" t="e">
        <f>SUMIF('数据-取费表'!C6:C15,E2,'数据-取费表'!F6:F15)/COUNTIF('数据-取费表'!C6:C15,E2)</f>
        <v>#DIV/0!</v>
      </c>
      <c r="J20" s="936">
        <f>IF(E2="住宅",70,IF(E2="商业",40,50))</f>
        <v>50</v>
      </c>
      <c r="K20" s="1377"/>
      <c r="L20" s="2802" t="s">
        <v>2900</v>
      </c>
      <c r="M20" s="1735">
        <f>ROUND(SUMPRODUCT((地价!A4:A26=YEAR(G19)&amp;"-"&amp;ROUNDUP(MONTH(G19)/3,0))*(地价!B2:F2=E2)*(地价!B4:F26)),0)</f>
        <v>0</v>
      </c>
      <c r="N20" s="2803" t="s">
        <v>2901</v>
      </c>
      <c r="O20" s="2804" t="s">
        <v>2902</v>
      </c>
      <c r="P20" s="2805" t="s">
        <v>2903</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2904</v>
      </c>
      <c r="C21" s="937">
        <f>IF(B21="容积率修正",IF(G3&lt;=10,D22,J22),C23)</f>
        <v>0</v>
      </c>
      <c r="D21" s="2808"/>
      <c r="E21" s="2808"/>
      <c r="F21" s="2808"/>
      <c r="G21" s="2808"/>
      <c r="H21" s="2808"/>
      <c r="I21" s="2808"/>
      <c r="J21" s="2809"/>
      <c r="K21" s="1377"/>
      <c r="N21" s="2810"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2906</v>
      </c>
      <c r="B22" s="2811" t="s">
        <v>2907</v>
      </c>
      <c r="C22" s="1810" t="s">
        <v>2908</v>
      </c>
      <c r="D22" s="1810">
        <f>IF(E22=G22,F22,IF(G3&lt;=10,ROUND(F22+(H22-F22)*(G3-E22)/(G22-E22),4),"——"))</f>
        <v>0</v>
      </c>
      <c r="E22" s="916">
        <f>ROUNDDOWN(G3,1)</f>
        <v>3.1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2910</v>
      </c>
      <c r="B23" s="2812" t="s">
        <v>2911</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2913</v>
      </c>
      <c r="C24" s="924">
        <f>SUMIF(A45:A88,E2,B45:B88)</f>
        <v>0</v>
      </c>
      <c r="D24" s="2789"/>
      <c r="E24" s="2818"/>
      <c r="F24" s="2818"/>
      <c r="G24" s="2818"/>
      <c r="H24" s="2818"/>
      <c r="I24" s="2818"/>
      <c r="J24" s="2819"/>
      <c r="K24" s="1377"/>
      <c r="N24" s="2820"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2915</v>
      </c>
      <c r="C25" s="930"/>
      <c r="D25" s="2751"/>
      <c r="E25" s="2751"/>
      <c r="F25" s="2822"/>
      <c r="G25" s="2751"/>
      <c r="H25" s="2751"/>
      <c r="I25" s="2751"/>
      <c r="J25" s="2752"/>
      <c r="K25" s="1370"/>
      <c r="N25" s="2823"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2917</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2918</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2919</v>
      </c>
      <c r="C28" s="2835" t="s">
        <v>2920</v>
      </c>
      <c r="D28" s="2835" t="s">
        <v>2921</v>
      </c>
      <c r="E28" s="2836" t="s">
        <v>2922</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2923</v>
      </c>
      <c r="C29" s="206" t="e">
        <f>ROUND(C5*C18*C19*C20*C21*C24,0)</f>
        <v>#DIV/0!</v>
      </c>
      <c r="D29" s="2840"/>
      <c r="E29" s="942" t="e">
        <f>ROUND(C29*D29/10000,0)</f>
        <v>#DIV/0!</v>
      </c>
      <c r="F29" s="2841" t="s">
        <v>2924</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2925</v>
      </c>
      <c r="C30" s="229" t="e">
        <f>ROUND(IF(E2="工业",C29*M39,C29*M38),0)</f>
        <v>#DIV/0!</v>
      </c>
      <c r="D30" s="2846"/>
      <c r="E30" s="942" t="e">
        <f>ROUND(C30*D30/10000,0)</f>
        <v>#DIV/0!</v>
      </c>
      <c r="F30" s="2847" t="s">
        <v>2926</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2927</v>
      </c>
      <c r="C31" s="2852" t="s">
        <v>2928</v>
      </c>
      <c r="D31" s="2764"/>
      <c r="E31" s="2852"/>
      <c r="F31" s="2852"/>
      <c r="G31" s="2762" t="s">
        <v>2929</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2920</v>
      </c>
      <c r="D32" s="498" t="s">
        <v>2921</v>
      </c>
      <c r="E32" s="498" t="s">
        <v>2922</v>
      </c>
      <c r="F32" s="388" t="s">
        <v>2930</v>
      </c>
      <c r="G32" s="2855" t="s">
        <v>2920</v>
      </c>
      <c r="H32" s="2855" t="s">
        <v>2921</v>
      </c>
      <c r="I32" s="2855"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4"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5"/>
      <c r="B34" s="2768"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5"/>
      <c r="B35" s="2768"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66"/>
      <c r="B36" s="2768"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2936</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2937</v>
      </c>
      <c r="M37" s="2860"/>
      <c r="N37" s="1370"/>
      <c r="O37" s="1370"/>
      <c r="P37" s="1370"/>
      <c r="Q37" s="1370"/>
      <c r="R37" s="1370"/>
      <c r="S37" s="1370"/>
      <c r="T37" s="1370"/>
      <c r="U37" s="1370"/>
      <c r="V37" s="1370"/>
      <c r="W37" s="1370"/>
      <c r="X37" s="1370"/>
      <c r="Y37" s="1370"/>
      <c r="Z37" s="1371"/>
    </row>
    <row r="38" spans="1:37">
      <c r="A38" s="2858"/>
      <c r="B38" s="2768" t="s">
        <v>2938</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2939</v>
      </c>
      <c r="M38" s="2861">
        <v>0.25</v>
      </c>
      <c r="N38" s="1370"/>
      <c r="O38" s="1370"/>
      <c r="P38" s="1370"/>
      <c r="Q38" s="1370"/>
      <c r="R38" s="1370"/>
      <c r="S38" s="1370"/>
      <c r="T38" s="1370"/>
      <c r="U38" s="1370"/>
      <c r="V38" s="1370"/>
      <c r="W38" s="1370"/>
      <c r="X38" s="1370"/>
      <c r="Y38" s="1370"/>
      <c r="Z38" s="1371"/>
    </row>
    <row r="39" spans="1:37" ht="13.5" thickBot="1">
      <c r="A39" s="2844"/>
      <c r="B39" s="2862" t="s">
        <v>2940</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3051</v>
      </c>
      <c r="C41" s="388" t="e">
        <f>ROUND(POWER(1+E41,H41-G41)*(POWER(1+E41,G41)-1)/(POWER(1+E41,H41)-1),4)</f>
        <v>#DIV/0!</v>
      </c>
      <c r="D41" s="200" t="s">
        <v>2889</v>
      </c>
      <c r="E41" s="2932">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2941</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2942</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2943</v>
      </c>
      <c r="B47" s="1809" t="s">
        <v>2944</v>
      </c>
      <c r="C47" s="1809" t="s">
        <v>2945</v>
      </c>
      <c r="D47" s="1809" t="s">
        <v>2946</v>
      </c>
      <c r="E47" s="819" t="s">
        <v>2947</v>
      </c>
      <c r="F47" s="2874" t="s">
        <v>2948</v>
      </c>
      <c r="G47" s="1809" t="s">
        <v>754</v>
      </c>
      <c r="H47" s="2875"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2951</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2952</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2953</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2954</v>
      </c>
      <c r="B51" s="2878" t="s">
        <v>2955</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2956</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2957</v>
      </c>
      <c r="B53" s="2879" t="s">
        <v>2958</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2959</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2960</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2961</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2962</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2943</v>
      </c>
      <c r="B58" s="1809"/>
      <c r="C58" s="1809" t="s">
        <v>2945</v>
      </c>
      <c r="D58" s="1809" t="s">
        <v>2946</v>
      </c>
      <c r="E58" s="819" t="s">
        <v>2947</v>
      </c>
      <c r="F58" s="2874" t="s">
        <v>2963</v>
      </c>
      <c r="G58" s="1809" t="s">
        <v>754</v>
      </c>
      <c r="H58" s="2875"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2964</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2952</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2953</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2954</v>
      </c>
      <c r="B62" s="2878" t="s">
        <v>2955</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2956</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2957</v>
      </c>
      <c r="B64" s="2879" t="s">
        <v>2958</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2959</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2960</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2961</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2965</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2943</v>
      </c>
      <c r="B69" s="1809"/>
      <c r="C69" s="1809" t="s">
        <v>2945</v>
      </c>
      <c r="D69" s="1809" t="s">
        <v>2946</v>
      </c>
      <c r="E69" s="819" t="s">
        <v>2947</v>
      </c>
      <c r="F69" s="2874" t="s">
        <v>2963</v>
      </c>
      <c r="G69" s="1809" t="s">
        <v>754</v>
      </c>
      <c r="H69" s="2875"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2966</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2952</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2953</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2967</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2959</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2960</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2957</v>
      </c>
      <c r="B76" s="2879" t="s">
        <v>2958</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2961</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2968</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2969</v>
      </c>
      <c r="B79" s="2870">
        <f>1+E81</f>
        <v>1</v>
      </c>
      <c r="C79" s="814"/>
      <c r="D79" s="814"/>
      <c r="E79" s="815"/>
      <c r="F79" s="2872"/>
      <c r="G79" s="6"/>
      <c r="H79" s="6"/>
      <c r="I79" s="6"/>
      <c r="J79" s="7"/>
      <c r="K79" s="7"/>
      <c r="L79" s="7"/>
      <c r="M79" s="7"/>
      <c r="N79" s="7"/>
      <c r="Z79" s="2723"/>
      <c r="AA79" s="2791"/>
      <c r="AG79" s="1372"/>
      <c r="AK79" s="2791"/>
    </row>
    <row r="80" spans="1:37" ht="24.75">
      <c r="A80" s="2873" t="s">
        <v>2943</v>
      </c>
      <c r="B80" s="1809"/>
      <c r="C80" s="1809" t="s">
        <v>2945</v>
      </c>
      <c r="D80" s="1809" t="s">
        <v>2946</v>
      </c>
      <c r="E80" s="819" t="s">
        <v>2947</v>
      </c>
      <c r="F80" s="2874" t="s">
        <v>2963</v>
      </c>
      <c r="G80" s="1809" t="s">
        <v>754</v>
      </c>
      <c r="H80" s="2875" t="s">
        <v>2949</v>
      </c>
      <c r="I80" s="1809" t="s">
        <v>2950</v>
      </c>
      <c r="J80" s="603" t="s">
        <v>2597</v>
      </c>
      <c r="K80" s="603" t="s">
        <v>2598</v>
      </c>
      <c r="L80" s="603" t="s">
        <v>2599</v>
      </c>
      <c r="M80" s="603" t="s">
        <v>2600</v>
      </c>
      <c r="N80" s="603" t="s">
        <v>2601</v>
      </c>
      <c r="Z80" s="2723"/>
      <c r="AA80" s="2791"/>
      <c r="AG80" s="1372"/>
      <c r="AK80" s="2791"/>
    </row>
    <row r="81" spans="1:37" ht="38.25">
      <c r="A81" s="2873" t="s">
        <v>2970</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2952</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2953</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2967</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2959</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2960</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2957</v>
      </c>
      <c r="B87" s="2879" t="s">
        <v>2971</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2972</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58" t="s">
        <v>2973</v>
      </c>
      <c r="B90" s="3258"/>
      <c r="C90" s="3258"/>
      <c r="D90" s="3258"/>
      <c r="E90" s="3258"/>
      <c r="F90" s="3258"/>
      <c r="G90" s="3258"/>
      <c r="H90" s="3258"/>
      <c r="I90" s="3258"/>
      <c r="J90" s="3258"/>
      <c r="K90" s="2887"/>
      <c r="L90" s="2887"/>
      <c r="M90" s="2887"/>
      <c r="N90" s="2887"/>
    </row>
    <row r="91" spans="1:37">
      <c r="A91" s="3260" t="s">
        <v>2974</v>
      </c>
      <c r="B91" s="3260" t="s">
        <v>2975</v>
      </c>
      <c r="C91" s="2841" t="s">
        <v>2976</v>
      </c>
      <c r="D91" s="2842"/>
      <c r="E91" s="2842"/>
      <c r="F91" s="2842"/>
      <c r="G91" s="2842"/>
      <c r="H91" s="2842"/>
      <c r="I91" s="2842"/>
      <c r="J91" s="2888"/>
      <c r="K91" s="2889"/>
      <c r="L91" s="2889"/>
      <c r="M91" s="2889"/>
      <c r="N91" s="2889"/>
    </row>
    <row r="92" spans="1:37">
      <c r="A92" s="3260"/>
      <c r="B92" s="3260"/>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61"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2"/>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1" t="s">
        <v>2978</v>
      </c>
      <c r="B101" s="2894" t="s">
        <v>2979</v>
      </c>
      <c r="C101" s="2895">
        <f>$G$3</f>
        <v>3.17</v>
      </c>
      <c r="D101" s="2895">
        <f t="shared" ref="D101:N101" si="31">$G$3</f>
        <v>3.17</v>
      </c>
      <c r="E101" s="2895">
        <f t="shared" si="31"/>
        <v>3.17</v>
      </c>
      <c r="F101" s="2895">
        <f t="shared" si="31"/>
        <v>3.17</v>
      </c>
      <c r="G101" s="2895">
        <f t="shared" si="31"/>
        <v>3.17</v>
      </c>
      <c r="H101" s="2895">
        <f t="shared" si="31"/>
        <v>3.17</v>
      </c>
      <c r="I101" s="2895">
        <f t="shared" si="31"/>
        <v>3.17</v>
      </c>
      <c r="J101" s="2895">
        <f t="shared" si="31"/>
        <v>3.17</v>
      </c>
      <c r="K101" s="2895">
        <f t="shared" si="31"/>
        <v>3.17</v>
      </c>
      <c r="L101" s="2895">
        <f t="shared" si="31"/>
        <v>3.17</v>
      </c>
      <c r="M101" s="2895">
        <f t="shared" si="31"/>
        <v>3.17</v>
      </c>
      <c r="N101" s="2895">
        <f t="shared" si="31"/>
        <v>3.17</v>
      </c>
    </row>
    <row r="102" spans="1:14">
      <c r="A102" s="3262"/>
      <c r="B102" s="2890">
        <v>1</v>
      </c>
      <c r="C102" s="2891">
        <f>1.9362/C101</f>
        <v>0.61078864353312301</v>
      </c>
      <c r="D102" s="2891">
        <f>1.9362/D101</f>
        <v>0.61078864353312301</v>
      </c>
      <c r="E102" s="2891">
        <f>1.8629/E101</f>
        <v>0.58766561514195581</v>
      </c>
      <c r="F102" s="2891">
        <f>1.8629/F101</f>
        <v>0.58766561514195581</v>
      </c>
      <c r="G102" s="2891">
        <f>1.8629/G101</f>
        <v>0.58766561514195581</v>
      </c>
      <c r="H102" s="2891">
        <f>1.8629/H101</f>
        <v>0.58766561514195581</v>
      </c>
      <c r="I102" s="2891">
        <f>1.8629/I101</f>
        <v>0.58766561514195581</v>
      </c>
      <c r="J102" s="2891">
        <f>1.942/J101</f>
        <v>0.61261829652996846</v>
      </c>
      <c r="K102" s="2891">
        <f>1.942/K101</f>
        <v>0.61261829652996846</v>
      </c>
      <c r="L102" s="2891">
        <f>1.942/L101</f>
        <v>0.61261829652996846</v>
      </c>
      <c r="M102" s="2891">
        <f>1.942/M101</f>
        <v>0.61261829652996846</v>
      </c>
      <c r="N102" s="2891">
        <f>1.942/N101</f>
        <v>0.61261829652996846</v>
      </c>
    </row>
    <row r="103" spans="1:14">
      <c r="A103" s="3262"/>
      <c r="B103" s="2890">
        <v>2</v>
      </c>
      <c r="C103" s="2891">
        <f>1.4198/C101</f>
        <v>0.44788643533123029</v>
      </c>
      <c r="D103" s="2891">
        <f>1.4198/D101</f>
        <v>0.44788643533123029</v>
      </c>
      <c r="E103" s="2891">
        <f>1.3372/E101</f>
        <v>0.42182965299684544</v>
      </c>
      <c r="F103" s="2891">
        <f>1.3372/F101</f>
        <v>0.42182965299684544</v>
      </c>
      <c r="G103" s="2891">
        <f>1.3372/G101</f>
        <v>0.42182965299684544</v>
      </c>
      <c r="H103" s="2891">
        <f>1.3372/H101</f>
        <v>0.42182965299684544</v>
      </c>
      <c r="I103" s="2891">
        <f>1.3372/I101</f>
        <v>0.42182965299684544</v>
      </c>
      <c r="J103" s="2891">
        <f>1.2799/J101</f>
        <v>0.40375394321766561</v>
      </c>
      <c r="K103" s="2891">
        <f>1.2799/K101</f>
        <v>0.40375394321766561</v>
      </c>
      <c r="L103" s="2891">
        <f>1.2799/L101</f>
        <v>0.40375394321766561</v>
      </c>
      <c r="M103" s="2891">
        <f>1.2799/M101</f>
        <v>0.40375394321766561</v>
      </c>
      <c r="N103" s="2891">
        <f>1.2799/N101</f>
        <v>0.40375394321766561</v>
      </c>
    </row>
    <row r="104" spans="1:14">
      <c r="A104" s="3262"/>
      <c r="B104" s="2890">
        <v>3</v>
      </c>
      <c r="C104" s="2891">
        <f>1.1594/C101</f>
        <v>0.36574132492113565</v>
      </c>
      <c r="D104" s="2891">
        <f>1.1594/D101</f>
        <v>0.36574132492113565</v>
      </c>
      <c r="E104" s="2891">
        <f>1.0788/E101</f>
        <v>0.3403154574132492</v>
      </c>
      <c r="F104" s="2891">
        <f>1.0788/F101</f>
        <v>0.3403154574132492</v>
      </c>
      <c r="G104" s="2891">
        <f>1.0788/G101</f>
        <v>0.3403154574132492</v>
      </c>
      <c r="H104" s="2891">
        <f>1.0788/H101</f>
        <v>0.3403154574132492</v>
      </c>
      <c r="I104" s="2891">
        <f>1.0788/I101</f>
        <v>0.3403154574132492</v>
      </c>
      <c r="J104" s="2891">
        <f>1.0072/J101</f>
        <v>0.31772870662460573</v>
      </c>
      <c r="K104" s="2891">
        <f>1.0072/K101</f>
        <v>0.31772870662460573</v>
      </c>
      <c r="L104" s="2891">
        <f>1.0072/L101</f>
        <v>0.31772870662460573</v>
      </c>
      <c r="M104" s="2891">
        <f>1.0072/M101</f>
        <v>0.31772870662460573</v>
      </c>
      <c r="N104" s="2891">
        <f>1.0072/N101</f>
        <v>0.31772870662460573</v>
      </c>
    </row>
    <row r="105" spans="1:14">
      <c r="A105" s="3262"/>
      <c r="B105" s="2890">
        <v>4</v>
      </c>
      <c r="C105" s="2891">
        <f>0.9622/C101</f>
        <v>0.30353312302839119</v>
      </c>
      <c r="D105" s="2891">
        <f>0.9622/D101</f>
        <v>0.30353312302839119</v>
      </c>
      <c r="E105" s="2891">
        <f>0.8656/E101</f>
        <v>0.27305993690851738</v>
      </c>
      <c r="F105" s="2891">
        <f>0.8656/F101</f>
        <v>0.27305993690851738</v>
      </c>
      <c r="G105" s="2891">
        <f>0.8656/G101</f>
        <v>0.27305993690851738</v>
      </c>
      <c r="H105" s="2891">
        <f>0.8656/H101</f>
        <v>0.27305993690851738</v>
      </c>
      <c r="I105" s="2891">
        <f>0.8656/I101</f>
        <v>0.27305993690851738</v>
      </c>
      <c r="J105" s="2891">
        <f>0.7525/J101</f>
        <v>0.23738170347003154</v>
      </c>
      <c r="K105" s="2891">
        <f>0.7525/K101</f>
        <v>0.23738170347003154</v>
      </c>
      <c r="L105" s="2891">
        <f>0.7525/L101</f>
        <v>0.23738170347003154</v>
      </c>
      <c r="M105" s="2891">
        <f>0.7525/M101</f>
        <v>0.23738170347003154</v>
      </c>
      <c r="N105" s="2891">
        <f>0.7525/N101</f>
        <v>0.23738170347003154</v>
      </c>
    </row>
    <row r="106" spans="1:14">
      <c r="A106" s="3262"/>
      <c r="B106" s="2890">
        <v>5</v>
      </c>
      <c r="C106" s="2891">
        <f>0.8417/C101</f>
        <v>0.26552050473186123</v>
      </c>
      <c r="D106" s="2891">
        <f>0.8417/D101</f>
        <v>0.26552050473186123</v>
      </c>
      <c r="E106" s="2891">
        <f>0.7371/E101</f>
        <v>0.2325236593059937</v>
      </c>
      <c r="F106" s="2891">
        <f>0.7371/F101</f>
        <v>0.2325236593059937</v>
      </c>
      <c r="G106" s="2891">
        <f>0.7371/G101</f>
        <v>0.2325236593059937</v>
      </c>
      <c r="H106" s="2891">
        <f>0.7371/H101</f>
        <v>0.2325236593059937</v>
      </c>
      <c r="I106" s="2891">
        <f>0.7371/I101</f>
        <v>0.2325236593059937</v>
      </c>
      <c r="J106" s="2891">
        <f>0.5659/J101</f>
        <v>0.17851735015772871</v>
      </c>
      <c r="K106" s="2891">
        <f>0.5659/K101</f>
        <v>0.17851735015772871</v>
      </c>
      <c r="L106" s="2891">
        <f>0.5659/L101</f>
        <v>0.17851735015772871</v>
      </c>
      <c r="M106" s="2891">
        <f>0.5659/M101</f>
        <v>0.17851735015772871</v>
      </c>
      <c r="N106" s="2891">
        <f>0.5659/N101</f>
        <v>0.17851735015772871</v>
      </c>
    </row>
    <row r="107" spans="1:14">
      <c r="A107" s="3262"/>
      <c r="B107" s="2890">
        <v>6</v>
      </c>
      <c r="C107" s="2891">
        <f>0.7608/C101</f>
        <v>0.24000000000000002</v>
      </c>
      <c r="D107" s="2891">
        <f>0.7608/D101</f>
        <v>0.24000000000000002</v>
      </c>
      <c r="E107" s="2891">
        <f>0.6482/E101</f>
        <v>0.2044794952681388</v>
      </c>
      <c r="F107" s="2891">
        <f>0.6482/F101</f>
        <v>0.2044794952681388</v>
      </c>
      <c r="G107" s="2891">
        <f>0.6482/G101</f>
        <v>0.2044794952681388</v>
      </c>
      <c r="H107" s="2891">
        <f>0.6482/H101</f>
        <v>0.2044794952681388</v>
      </c>
      <c r="I107" s="2891">
        <f>0.6482/I101</f>
        <v>0.2044794952681388</v>
      </c>
      <c r="J107" s="2891">
        <f>0.4525/J101</f>
        <v>0.14274447949526814</v>
      </c>
      <c r="K107" s="2891">
        <f>0.4525/K101</f>
        <v>0.14274447949526814</v>
      </c>
      <c r="L107" s="2891">
        <f>0.4525/L101</f>
        <v>0.14274447949526814</v>
      </c>
      <c r="M107" s="2891">
        <f>0.4525/M101</f>
        <v>0.14274447949526814</v>
      </c>
      <c r="N107" s="2891">
        <f>0.4525/N101</f>
        <v>0.14274447949526814</v>
      </c>
    </row>
    <row r="108" spans="1:14">
      <c r="A108" s="3262"/>
      <c r="B108" s="3119"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3"/>
      <c r="B109" s="3120"/>
      <c r="C109" s="2893">
        <f>(-0.163*(C108^2)-0.59*C108+7617)*(10^(-4))/C101</f>
        <v>0.24028391167192431</v>
      </c>
      <c r="D109" s="2893">
        <f>(-0.163*(D108^2)-0.59*D108+7617)*(10^(-4))/D101</f>
        <v>0.24028391167192431</v>
      </c>
      <c r="E109" s="2893">
        <f>(-0.161*(E108^2)-7.509*E108+6533)*(10^(-4))/E101</f>
        <v>0.20608832807570979</v>
      </c>
      <c r="F109" s="2893">
        <f>(-0.161*(F108^2)-7.509*F108+6533)*(10^(-4))/F101</f>
        <v>0.20608832807570979</v>
      </c>
      <c r="G109" s="2893">
        <f>(-0.161*(G108^2)-7.509*G108+6533)*(10^(-4))/G101</f>
        <v>0.20608832807570979</v>
      </c>
      <c r="H109" s="2893">
        <f>(-0.161*(H108^2)-7.509*H108+6533)*(10^(-4))/H101</f>
        <v>0.20608832807570979</v>
      </c>
      <c r="I109" s="2893">
        <f>(-0.161*(I108^2)-7.509*I108+6533)*(10^(-4))/I101</f>
        <v>0.20608832807570979</v>
      </c>
      <c r="J109" s="2893">
        <f>(-0.214*(J108^2)-21.991*J108+4665)*(10^(-4))/J101</f>
        <v>0.1471608832807571</v>
      </c>
      <c r="K109" s="2893">
        <f>(-0.214*(K108^2)-21.991*K108+4665)*(10^(-4))/K101</f>
        <v>0.1471608832807571</v>
      </c>
      <c r="L109" s="2893">
        <f>(-0.214*(L108^2)-21.991*L108+4665)*(10^(-4))/L101</f>
        <v>0.1471608832807571</v>
      </c>
      <c r="M109" s="2893">
        <f>(-0.214*(M108^2)-21.991*M108+4665)*(10^(-4))/M101</f>
        <v>0.1471608832807571</v>
      </c>
      <c r="N109" s="2893">
        <f>(-0.214*(N108^2)-21.991*N108+4665)*(10^(-4))/N101</f>
        <v>0.1471608832807571</v>
      </c>
    </row>
    <row r="110" spans="1:14">
      <c r="A110" s="3259" t="s">
        <v>2981</v>
      </c>
      <c r="B110" s="3259"/>
      <c r="C110" s="3259"/>
      <c r="D110" s="3259"/>
      <c r="E110" s="3259"/>
      <c r="F110" s="3259"/>
      <c r="G110" s="3259"/>
      <c r="H110" s="3259"/>
      <c r="I110" s="3259"/>
      <c r="J110" s="3259"/>
      <c r="K110" s="2896"/>
      <c r="L110" s="2896"/>
      <c r="M110" s="2896"/>
      <c r="N110" s="2896"/>
    </row>
    <row r="112" spans="1:14" ht="13.5" thickBot="1"/>
    <row r="113" spans="1:13" ht="25.5" thickBot="1">
      <c r="A113" s="903" t="s">
        <v>2982</v>
      </c>
      <c r="B113" s="1287">
        <f>G3</f>
        <v>3.17</v>
      </c>
      <c r="C113" s="904" t="s">
        <v>2983</v>
      </c>
      <c r="D113" s="905">
        <f>SUMPRODUCT((A115:A118=F113)*(B114:M114=H113)*B115:M118)</f>
        <v>0</v>
      </c>
      <c r="E113" s="2727" t="s">
        <v>2814</v>
      </c>
      <c r="F113" s="2898">
        <f>E2</f>
        <v>0</v>
      </c>
      <c r="G113" s="2727" t="s">
        <v>2815</v>
      </c>
      <c r="H113" s="2898">
        <f>G2</f>
        <v>0</v>
      </c>
      <c r="I113" s="2727"/>
      <c r="J113" s="2899"/>
      <c r="K113" s="2899"/>
      <c r="L113" s="2899"/>
      <c r="M113" s="2899"/>
    </row>
    <row r="114" spans="1:13">
      <c r="A114" s="908"/>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9" t="s">
        <v>2879</v>
      </c>
      <c r="B115" s="910">
        <f>ROUND(0.9335-0.0094*B113,4)</f>
        <v>0.90369999999999995</v>
      </c>
      <c r="C115" s="910">
        <f>B115</f>
        <v>0.90369999999999995</v>
      </c>
      <c r="D115" s="910">
        <f>ROUND(0.8331-0.0109*B113,4)</f>
        <v>0.79849999999999999</v>
      </c>
      <c r="E115" s="910">
        <f>D115</f>
        <v>0.79849999999999999</v>
      </c>
      <c r="F115" s="910">
        <f>E115</f>
        <v>0.79849999999999999</v>
      </c>
      <c r="G115" s="910">
        <f>F115</f>
        <v>0.79849999999999999</v>
      </c>
      <c r="H115" s="910">
        <f>G115</f>
        <v>0.79849999999999999</v>
      </c>
      <c r="I115" s="910">
        <f>ROUND(0.689-0.0155*B113,4)</f>
        <v>0.63990000000000002</v>
      </c>
      <c r="J115" s="910">
        <f t="shared" ref="J115:M118" si="33">I115</f>
        <v>0.63990000000000002</v>
      </c>
      <c r="K115" s="910">
        <f t="shared" si="33"/>
        <v>0.63990000000000002</v>
      </c>
      <c r="L115" s="910">
        <f t="shared" si="33"/>
        <v>0.63990000000000002</v>
      </c>
      <c r="M115" s="911">
        <f t="shared" si="33"/>
        <v>0.63990000000000002</v>
      </c>
    </row>
    <row r="116" spans="1:13">
      <c r="A116" s="909" t="s">
        <v>2880</v>
      </c>
      <c r="B116" s="910">
        <f>ROUND(0.949-0.012*B113,4)</f>
        <v>0.91100000000000003</v>
      </c>
      <c r="C116" s="910">
        <f>B116</f>
        <v>0.91100000000000003</v>
      </c>
      <c r="D116" s="910">
        <f>ROUND(0.8567-0.013*B113,4)</f>
        <v>0.8155</v>
      </c>
      <c r="E116" s="910">
        <f t="shared" ref="E116:H117" si="34">D116</f>
        <v>0.8155</v>
      </c>
      <c r="F116" s="910">
        <f t="shared" si="34"/>
        <v>0.8155</v>
      </c>
      <c r="G116" s="910">
        <f t="shared" si="34"/>
        <v>0.8155</v>
      </c>
      <c r="H116" s="910">
        <f t="shared" si="34"/>
        <v>0.8155</v>
      </c>
      <c r="I116" s="910">
        <f>ROUND(0.7694-0.014*B113,4)</f>
        <v>0.72499999999999998</v>
      </c>
      <c r="J116" s="910">
        <f t="shared" si="33"/>
        <v>0.72499999999999998</v>
      </c>
      <c r="K116" s="910">
        <f t="shared" si="33"/>
        <v>0.72499999999999998</v>
      </c>
      <c r="L116" s="910">
        <f t="shared" si="33"/>
        <v>0.72499999999999998</v>
      </c>
      <c r="M116" s="911">
        <f t="shared" si="33"/>
        <v>0.72499999999999998</v>
      </c>
    </row>
    <row r="117" spans="1:13">
      <c r="A117" s="909" t="s">
        <v>2881</v>
      </c>
      <c r="B117" s="910">
        <f>ROUND(0.8808-0.006*B113,4)</f>
        <v>0.86180000000000001</v>
      </c>
      <c r="C117" s="910">
        <f>B117</f>
        <v>0.86180000000000001</v>
      </c>
      <c r="D117" s="910">
        <f>ROUND(0.8748-0.008*B113,4)</f>
        <v>0.84940000000000004</v>
      </c>
      <c r="E117" s="910">
        <f t="shared" si="34"/>
        <v>0.84940000000000004</v>
      </c>
      <c r="F117" s="910">
        <f t="shared" si="34"/>
        <v>0.84940000000000004</v>
      </c>
      <c r="G117" s="910">
        <f t="shared" si="34"/>
        <v>0.84940000000000004</v>
      </c>
      <c r="H117" s="910">
        <f t="shared" si="34"/>
        <v>0.84940000000000004</v>
      </c>
      <c r="I117" s="910">
        <f>ROUND(0.7412-0.0095*B113,4)</f>
        <v>0.71109999999999995</v>
      </c>
      <c r="J117" s="910">
        <f t="shared" si="33"/>
        <v>0.71109999999999995</v>
      </c>
      <c r="K117" s="910">
        <f t="shared" si="33"/>
        <v>0.71109999999999995</v>
      </c>
      <c r="L117" s="910">
        <f t="shared" si="33"/>
        <v>0.71109999999999995</v>
      </c>
      <c r="M117" s="911">
        <f t="shared" si="33"/>
        <v>0.71109999999999995</v>
      </c>
    </row>
    <row r="118" spans="1:13" ht="13.5" thickBot="1">
      <c r="A118" s="714" t="s">
        <v>2882</v>
      </c>
      <c r="B118" s="912">
        <f>ROUND(0.7275-0.01*B113,4)</f>
        <v>0.69579999999999997</v>
      </c>
      <c r="C118" s="912">
        <f>B118</f>
        <v>0.69579999999999997</v>
      </c>
      <c r="D118" s="912">
        <f>ROUND(0.7043-0.012*B113,4)</f>
        <v>0.6663</v>
      </c>
      <c r="E118" s="912">
        <f>D118</f>
        <v>0.6663</v>
      </c>
      <c r="F118" s="912">
        <f>E118</f>
        <v>0.6663</v>
      </c>
      <c r="G118" s="912">
        <f>ROUND(0.6299-0.0122*B113,4)</f>
        <v>0.59119999999999995</v>
      </c>
      <c r="H118" s="912">
        <f>G118</f>
        <v>0.59119999999999995</v>
      </c>
      <c r="I118" s="912">
        <f>ROUND(0.5667-0.0136*B113,4)</f>
        <v>0.52359999999999995</v>
      </c>
      <c r="J118" s="912">
        <f t="shared" si="33"/>
        <v>0.52359999999999995</v>
      </c>
      <c r="K118" s="912">
        <f t="shared" si="33"/>
        <v>0.52359999999999995</v>
      </c>
      <c r="L118" s="912">
        <f t="shared" si="33"/>
        <v>0.52359999999999995</v>
      </c>
      <c r="M118" s="913">
        <f t="shared" si="33"/>
        <v>0.52359999999999995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8">
        <f ca="1">SUMIF(INDIRECT("'"&amp;A6&amp;"'"&amp;"!C:C"),"建筑面积",INDIRECT("'"&amp;A6&amp;"'"&amp;"!D:D"))</f>
        <v>0</v>
      </c>
    </row>
    <row r="7" spans="1:5" ht="15.75">
      <c r="A7" s="2910"/>
      <c r="B7" s="2906" t="e">
        <f ca="1">SUMIF(INDIRECT("'"&amp;A7&amp;"'"&amp;"!A:A"),"总价",INDIRECT("'"&amp;A7&amp;"'"&amp;"!B:B"))</f>
        <v>#REF!</v>
      </c>
      <c r="C7" s="2905" t="s">
        <v>2997</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8" t="e">
        <f t="shared" ca="1" si="0"/>
        <v>#REF!</v>
      </c>
    </row>
    <row r="9" spans="1:5" ht="15.75">
      <c r="A9" s="2910"/>
      <c r="B9" s="2906" t="e">
        <f t="shared" ca="1" si="1"/>
        <v>#REF!</v>
      </c>
      <c r="C9" s="2905" t="s">
        <v>2997</v>
      </c>
      <c r="D9" s="2907"/>
      <c r="E9" s="2578" t="e">
        <f t="shared" ca="1" si="0"/>
        <v>#REF!</v>
      </c>
    </row>
    <row r="10" spans="1:5" ht="15.75">
      <c r="A10" s="2910"/>
      <c r="B10" s="2906" t="e">
        <f t="shared" ca="1" si="1"/>
        <v>#REF!</v>
      </c>
      <c r="C10" s="2905" t="s">
        <v>2997</v>
      </c>
      <c r="D10" s="2907"/>
      <c r="E10" s="2578" t="e">
        <f t="shared" ca="1" si="0"/>
        <v>#REF!</v>
      </c>
    </row>
    <row r="11" spans="1:5" ht="15.75">
      <c r="A11" s="2910"/>
      <c r="B11" s="2906" t="e">
        <f t="shared" ca="1" si="1"/>
        <v>#REF!</v>
      </c>
      <c r="C11" s="2905" t="s">
        <v>2997</v>
      </c>
      <c r="D11" s="2907"/>
      <c r="E11" s="2578" t="e">
        <f t="shared" ca="1" si="0"/>
        <v>#REF!</v>
      </c>
    </row>
    <row r="12" spans="1:5" ht="15.75">
      <c r="A12" s="2910"/>
      <c r="B12" s="2906" t="e">
        <f t="shared" ca="1" si="1"/>
        <v>#REF!</v>
      </c>
      <c r="C12" s="2905" t="s">
        <v>2997</v>
      </c>
      <c r="D12" s="2907"/>
      <c r="E12" s="2578" t="e">
        <f t="shared" ca="1" si="0"/>
        <v>#REF!</v>
      </c>
    </row>
    <row r="13" spans="1:5" ht="15.75">
      <c r="A13" s="2910"/>
      <c r="B13" s="2906" t="e">
        <f t="shared" ca="1" si="1"/>
        <v>#REF!</v>
      </c>
      <c r="C13" s="2905" t="s">
        <v>2997</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3039</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3040</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82" t="s">
        <v>3007</v>
      </c>
      <c r="D1" s="3283"/>
      <c r="E1" s="3283"/>
      <c r="F1" s="3283"/>
      <c r="G1" s="3283"/>
      <c r="H1" s="3283"/>
      <c r="I1" s="3283"/>
      <c r="J1" s="3283"/>
      <c r="K1" s="3283"/>
      <c r="L1" s="3283"/>
      <c r="M1" s="3283"/>
      <c r="N1" s="3283"/>
      <c r="O1" s="3283"/>
      <c r="P1" s="3283"/>
      <c r="Q1" s="3283"/>
      <c r="R1" s="3283"/>
      <c r="S1" s="3284"/>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3016</v>
      </c>
      <c r="B17" s="2912"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4" t="s">
        <v>3020</v>
      </c>
      <c r="E20" s="1793"/>
      <c r="F20" s="1204" t="e">
        <f ca="1">SUMIF(INDIRECT("'"&amp;H20&amp;"'"&amp;"!A:A"),"承租人权益价值",INDIRECT("'"&amp;H20&amp;"'"&amp;"!c:c"))</f>
        <v>#REF!</v>
      </c>
      <c r="G20" s="1204" t="s">
        <v>3021</v>
      </c>
      <c r="H20" s="291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1" t="s">
        <v>33</v>
      </c>
      <c r="D22" s="3142"/>
      <c r="E22" s="3142"/>
      <c r="F22" s="3142"/>
      <c r="G22" s="3142"/>
      <c r="H22" s="3142"/>
      <c r="I22" s="3142"/>
      <c r="J22" s="3142"/>
      <c r="K22" s="3142"/>
      <c r="L22" s="3142"/>
      <c r="M22" s="3142"/>
      <c r="N22" s="3142"/>
      <c r="O22" s="3142"/>
      <c r="P22" s="3142"/>
      <c r="Q22" s="3281"/>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1"/>
      <c r="B4" s="2964" t="s">
        <v>1626</v>
      </c>
      <c r="C4" s="2964"/>
      <c r="D4" s="2964"/>
      <c r="E4" s="1961"/>
    </row>
    <row r="5" spans="1:5" ht="16.5" thickTop="1">
      <c r="A5" s="1959"/>
      <c r="B5" s="2962" t="s">
        <v>1618</v>
      </c>
      <c r="C5" s="1962" t="s">
        <v>1619</v>
      </c>
      <c r="D5" s="1040">
        <f ca="1">结果表!H101</f>
        <v>81902</v>
      </c>
      <c r="E5" s="1959"/>
    </row>
    <row r="6" spans="1:5" ht="15.75">
      <c r="A6" s="1959"/>
      <c r="B6" s="2962"/>
      <c r="C6" s="1962" t="s">
        <v>1620</v>
      </c>
      <c r="D6" s="1040" t="str">
        <f ca="1">NUMBERSTRING(INT(D5*10000),2)&amp;"元整"</f>
        <v>捌亿壹仟玖佰零贰万元整</v>
      </c>
      <c r="E6" s="1959"/>
    </row>
    <row r="7" spans="1:5" ht="15.75">
      <c r="A7" s="1959"/>
      <c r="B7" s="2967"/>
      <c r="C7" s="1963" t="s">
        <v>1621</v>
      </c>
      <c r="D7" s="1041">
        <f ca="1">结果表!H102</f>
        <v>8622</v>
      </c>
      <c r="E7" s="1959"/>
    </row>
    <row r="8" spans="1:5" ht="15.75">
      <c r="A8" s="1959"/>
      <c r="B8" s="2968" t="str">
        <f>结果表!E103</f>
        <v>2.估价师知悉的法定优先受偿款</v>
      </c>
      <c r="C8" s="1964" t="s">
        <v>1622</v>
      </c>
      <c r="D8" s="1041">
        <f>结果表!H103</f>
        <v>0</v>
      </c>
      <c r="E8" s="1959"/>
    </row>
    <row r="9" spans="1:5" ht="15.75">
      <c r="A9" s="1959"/>
      <c r="B9" s="2970"/>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1" t="str">
        <f>结果表!E107</f>
        <v>3.房地产抵押价值</v>
      </c>
      <c r="C13" s="1967" t="s">
        <v>1619</v>
      </c>
      <c r="D13" s="1043">
        <f ca="1">结果表!H107</f>
        <v>81902</v>
      </c>
      <c r="E13" s="1959"/>
    </row>
    <row r="14" spans="1:5" ht="15.75">
      <c r="A14" s="1959"/>
      <c r="B14" s="2962"/>
      <c r="C14" s="1962" t="s">
        <v>1620</v>
      </c>
      <c r="D14" s="1040" t="str">
        <f ca="1">NUMBERSTRING(INT(D13*10000),2)&amp;"元整"</f>
        <v>捌亿壹仟玖佰零贰万元整</v>
      </c>
      <c r="E14" s="1959"/>
    </row>
    <row r="15" spans="1:5" ht="15">
      <c r="A15" s="1959"/>
      <c r="B15" s="2967"/>
      <c r="C15" s="1963" t="s">
        <v>1630</v>
      </c>
      <c r="D15" s="1052">
        <f ca="1">结果表!H108</f>
        <v>8622</v>
      </c>
      <c r="E15" s="1959"/>
    </row>
    <row r="16" spans="1:5" ht="15">
      <c r="A16" s="1959"/>
      <c r="B16" s="2968" t="str">
        <f>结果表!E109</f>
        <v>——</v>
      </c>
      <c r="C16" s="1967" t="s">
        <v>1631</v>
      </c>
      <c r="D16" s="1968" t="str">
        <f>结果表!H109</f>
        <v>——</v>
      </c>
      <c r="E16" s="1959"/>
    </row>
    <row r="17" spans="1:5" ht="15.75">
      <c r="A17" s="1959"/>
      <c r="B17" s="2969"/>
      <c r="C17" s="1962" t="s">
        <v>1632</v>
      </c>
      <c r="D17" s="1040" t="e">
        <f>NUMBERSTRING(INT(D16*10000),2)&amp;"元整"</f>
        <v>#VALUE!</v>
      </c>
      <c r="E17" s="1959"/>
    </row>
    <row r="18" spans="1:5" ht="15">
      <c r="A18" s="1959"/>
      <c r="B18" s="2970"/>
      <c r="C18" s="1963" t="s">
        <v>1621</v>
      </c>
      <c r="D18" s="1052" t="str">
        <f>结果表!H110</f>
        <v>——</v>
      </c>
      <c r="E18" s="1959"/>
    </row>
    <row r="19" spans="1:5" ht="15.75">
      <c r="A19" s="1959"/>
      <c r="B19" s="2961" t="str">
        <f>结果表!E111</f>
        <v>4.抵押净值</v>
      </c>
      <c r="C19" s="1967" t="s">
        <v>1619</v>
      </c>
      <c r="D19" s="1041">
        <f ca="1">结果表!H111</f>
        <v>35504</v>
      </c>
      <c r="E19" s="1959"/>
    </row>
    <row r="20" spans="1:5" ht="15.75">
      <c r="A20" s="1959"/>
      <c r="B20" s="2962"/>
      <c r="C20" s="1962" t="s">
        <v>1632</v>
      </c>
      <c r="D20" s="1040" t="str">
        <f ca="1">NUMBERSTRING(INT(D19*10000),2)&amp;"元整"</f>
        <v>叁亿伍仟伍佰零肆万元整</v>
      </c>
      <c r="E20" s="1959"/>
    </row>
    <row r="21" spans="1:5" ht="15.75" thickBot="1">
      <c r="A21" s="1959"/>
      <c r="B21" s="2963"/>
      <c r="C21" s="1969" t="s">
        <v>1630</v>
      </c>
      <c r="D21" s="1053">
        <f ca="1">结果表!H112</f>
        <v>3738</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63607</v>
      </c>
      <c r="C2" s="2" t="s">
        <v>133</v>
      </c>
      <c r="D2" s="243"/>
      <c r="E2" s="243"/>
      <c r="F2" s="243"/>
      <c r="G2" s="243"/>
    </row>
    <row r="3" spans="1:7" s="244" customFormat="1" ht="18" customHeight="1" thickBot="1">
      <c r="A3" s="247" t="s">
        <v>85</v>
      </c>
      <c r="B3" s="248">
        <f ca="1">ROUND(B2*10000/'数据-汇总表'!E3,0)</f>
        <v>6696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1102</v>
      </c>
      <c r="D10" s="1032">
        <f>'数据-汇总表'!E6</f>
        <v>94992.88</v>
      </c>
      <c r="E10" s="269">
        <f>'数据-取费表'!B28</f>
        <v>116</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1900</v>
      </c>
      <c r="D19" s="1036">
        <f>'数据-汇总表'!E3</f>
        <v>94992.88</v>
      </c>
      <c r="E19" s="255">
        <f>'数据-取费表'!B31</f>
        <v>200</v>
      </c>
      <c r="F19" s="275"/>
      <c r="G19" s="1" t="s">
        <v>1071</v>
      </c>
    </row>
    <row r="20" spans="1:7" s="258" customFormat="1" ht="13.5" customHeight="1">
      <c r="A20" s="948" t="s">
        <v>1054</v>
      </c>
      <c r="B20" s="254" t="s">
        <v>104</v>
      </c>
      <c r="C20" s="276">
        <f>ROUND((C5+C19)*F20,0)</f>
        <v>450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1866</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1692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156</v>
      </c>
      <c r="D24" s="282"/>
      <c r="E24" s="282"/>
      <c r="F24" s="283"/>
      <c r="G24" s="284" t="s">
        <v>109</v>
      </c>
    </row>
    <row r="25" spans="1:7" s="258" customFormat="1" ht="24">
      <c r="A25" s="951" t="s">
        <v>793</v>
      </c>
      <c r="B25" s="259" t="s">
        <v>1055</v>
      </c>
      <c r="C25" s="1355">
        <f ca="1">ROUND(IF('数据-取费表'!B22&lt;=1,C20*F22*'数据-取费表'!B23/2,C20*(POWER((1+F22),'数据-取费表'!B23/2)-1)),0)</f>
        <v>18</v>
      </c>
      <c r="D25" s="282"/>
      <c r="E25" s="285"/>
      <c r="F25" s="283"/>
      <c r="G25" s="286" t="s">
        <v>110</v>
      </c>
    </row>
    <row r="26" spans="1:7" s="258" customFormat="1">
      <c r="A26" s="951" t="s">
        <v>795</v>
      </c>
      <c r="B26" s="259" t="s">
        <v>1057</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2927</v>
      </c>
      <c r="D27" s="279">
        <f>C29</f>
        <v>2.5999999999999999E-3</v>
      </c>
      <c r="E27" s="280" t="s">
        <v>126</v>
      </c>
      <c r="F27" s="290">
        <f>'数据-取费表'!Q16</f>
        <v>0.15</v>
      </c>
      <c r="G27" s="291" t="s">
        <v>1066</v>
      </c>
    </row>
    <row r="28" spans="1:7" s="258" customFormat="1" ht="13.5" customHeight="1">
      <c r="A28" s="951" t="s">
        <v>794</v>
      </c>
      <c r="B28" s="292" t="s">
        <v>1059</v>
      </c>
      <c r="C28" s="293">
        <f>ROUND((C5+C19+C20)*F27*'数据-取费表'!B21/'数据-取费表'!B20,0)</f>
        <v>2927</v>
      </c>
      <c r="D28" s="279"/>
      <c r="E28" s="280"/>
      <c r="F28" s="290"/>
      <c r="G28" s="291"/>
    </row>
    <row r="29" spans="1:7" s="258" customFormat="1" ht="13.5" customHeight="1">
      <c r="A29" s="951" t="s">
        <v>792</v>
      </c>
      <c r="B29" s="292" t="s">
        <v>1060</v>
      </c>
      <c r="C29" s="282">
        <f>ROUND(C21*F27*'数据-取费表'!B21/'数据-取费表'!B20,4)</f>
        <v>2.5999999999999999E-3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30060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25500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22856</v>
      </c>
      <c r="D34" s="261"/>
      <c r="E34" s="264"/>
      <c r="F34" s="301">
        <f>IF('数据-取费表'!B24=0,1,'数据-取费表'!N16)</f>
        <v>0.85</v>
      </c>
      <c r="G34" s="263" t="s">
        <v>116</v>
      </c>
    </row>
    <row r="35" spans="1:7" ht="13.5" customHeight="1">
      <c r="A35" s="951" t="s">
        <v>796</v>
      </c>
      <c r="B35" s="259" t="s">
        <v>60</v>
      </c>
      <c r="C35" s="264">
        <f>ROUND(C34*F35,0)</f>
        <v>686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1615</v>
      </c>
      <c r="D37" s="261">
        <f>'数据-汇总表'!E3</f>
        <v>94992.88</v>
      </c>
      <c r="E37" s="293">
        <f>'数据-取费表'!B35</f>
        <v>200</v>
      </c>
      <c r="F37" s="303"/>
      <c r="G37" s="305" t="s">
        <v>119</v>
      </c>
    </row>
    <row r="38" spans="1:7" ht="13.5" customHeight="1">
      <c r="A38" s="951" t="s">
        <v>799</v>
      </c>
      <c r="B38" s="259" t="s">
        <v>63</v>
      </c>
      <c r="C38" s="264">
        <f>ROUND(C34*F38,0)</f>
        <v>343</v>
      </c>
      <c r="D38" s="264"/>
      <c r="E38" s="264"/>
      <c r="F38" s="303">
        <f>'数据-取费表'!B36</f>
        <v>1.4999999999999999E-2</v>
      </c>
      <c r="G38" s="263" t="s">
        <v>117</v>
      </c>
    </row>
    <row r="39" spans="1:7" s="258" customFormat="1" ht="13.5" customHeight="1">
      <c r="A39" s="948" t="s">
        <v>783</v>
      </c>
      <c r="B39" s="254" t="s">
        <v>104</v>
      </c>
      <c r="C39" s="276">
        <f>ROUND(C33*F20,0)</f>
        <v>510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1047</v>
      </c>
      <c r="D41" s="279">
        <f ca="1">C44</f>
        <v>8.0000000000000004E-4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1026</v>
      </c>
      <c r="D42" s="282"/>
      <c r="E42" s="282"/>
      <c r="F42" s="283"/>
      <c r="G42" s="3146" t="s">
        <v>121</v>
      </c>
    </row>
    <row r="43" spans="1:7" ht="13.5" customHeight="1">
      <c r="A43" s="951" t="s">
        <v>792</v>
      </c>
      <c r="B43" s="259" t="s">
        <v>1061</v>
      </c>
      <c r="C43" s="282">
        <f ca="1">ROUND(IF('数据-取费表'!B22&lt;=1,C39*F22*'数据-取费表'!B21/2,C39*(POWER((1+F22),'数据-取费表'!B21/2)-1)),0)</f>
        <v>21</v>
      </c>
      <c r="D43" s="282"/>
      <c r="E43" s="282"/>
      <c r="F43" s="283"/>
      <c r="G43" s="3147"/>
    </row>
    <row r="44" spans="1:7" ht="13.5" customHeight="1">
      <c r="A44" s="951" t="s">
        <v>793</v>
      </c>
      <c r="B44" s="259" t="s">
        <v>1063</v>
      </c>
      <c r="C44" s="282">
        <f ca="1">ROUND(IF('数据-取费表'!B22&lt;=1,C40*F22*'数据-取费表'!B21/2,C40*(POWER((1+F22),'数据-取费表'!B21/2)-1)),4)</f>
        <v>8.0000000000000004E-4</v>
      </c>
      <c r="D44" s="282"/>
      <c r="E44" s="282"/>
      <c r="F44" s="283"/>
      <c r="G44" s="3148"/>
    </row>
    <row r="45" spans="1:7" s="258" customFormat="1" ht="13.5" customHeight="1">
      <c r="A45" s="948" t="s">
        <v>786</v>
      </c>
      <c r="B45" s="288" t="s">
        <v>112</v>
      </c>
      <c r="C45" s="289">
        <f>C46</f>
        <v>3902</v>
      </c>
      <c r="D45" s="279">
        <f>C47</f>
        <v>3.0000000000000001E-3</v>
      </c>
      <c r="E45" s="280" t="s">
        <v>129</v>
      </c>
      <c r="F45" s="290"/>
      <c r="G45" s="291" t="s">
        <v>1069</v>
      </c>
    </row>
    <row r="46" spans="1:7" s="258" customFormat="1" ht="13.5" customHeight="1">
      <c r="A46" s="951" t="s">
        <v>794</v>
      </c>
      <c r="B46" s="292" t="s">
        <v>1062</v>
      </c>
      <c r="C46" s="293">
        <f>ROUND((C33+C39)*F27,0)</f>
        <v>3902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33547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33547</v>
      </c>
      <c r="D51" s="276"/>
      <c r="E51" s="276"/>
      <c r="F51" s="308"/>
      <c r="G51" s="278" t="s">
        <v>64</v>
      </c>
    </row>
    <row r="52" spans="1:7" s="252" customFormat="1" ht="16.5" thickBot="1">
      <c r="A52" s="309" t="s">
        <v>65</v>
      </c>
      <c r="B52" s="310"/>
      <c r="C52" s="311">
        <f ca="1">C31+C51</f>
        <v>63607</v>
      </c>
      <c r="D52" s="310"/>
      <c r="E52" s="310"/>
      <c r="F52" s="310"/>
      <c r="G52" s="312"/>
    </row>
    <row r="55" spans="1:7" ht="15">
      <c r="B55" s="314" t="s">
        <v>66</v>
      </c>
      <c r="C55" s="315"/>
    </row>
    <row r="56" spans="1:7">
      <c r="B56" s="317" t="s">
        <v>67</v>
      </c>
      <c r="C56" s="318">
        <f ca="1">ROUND(C51/C52,3)</f>
        <v>0.52700000000000002</v>
      </c>
    </row>
    <row r="57" spans="1:7">
      <c r="B57" s="317" t="s">
        <v>68</v>
      </c>
      <c r="C57" s="319">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8"/>
  <sheetViews>
    <sheetView workbookViewId="0">
      <selection activeCell="D10" sqref="D2:D10"/>
    </sheetView>
  </sheetViews>
  <sheetFormatPr defaultRowHeight="13.5"/>
  <cols>
    <col min="6" max="6" width="10.5" bestFit="1" customWidth="1"/>
  </cols>
  <sheetData>
    <row r="3" spans="2:6">
      <c r="B3" s="2955" t="s">
        <v>3086</v>
      </c>
      <c r="C3">
        <f>ROUND(C8/5,2)</f>
        <v>7548.48</v>
      </c>
      <c r="D3">
        <v>32000</v>
      </c>
      <c r="E3">
        <v>1</v>
      </c>
      <c r="F3">
        <f>D3*C3</f>
        <v>241551360</v>
      </c>
    </row>
    <row r="4" spans="2:6">
      <c r="B4" s="2955" t="s">
        <v>3087</v>
      </c>
      <c r="C4">
        <f>C3</f>
        <v>7548.48</v>
      </c>
      <c r="D4">
        <f>D3*E4</f>
        <v>22400</v>
      </c>
      <c r="E4">
        <v>0.7</v>
      </c>
      <c r="F4">
        <f t="shared" ref="F4:F7" si="0">D4*C4</f>
        <v>169085952</v>
      </c>
    </row>
    <row r="5" spans="2:6">
      <c r="B5" s="2955" t="s">
        <v>3088</v>
      </c>
      <c r="C5">
        <f>C3</f>
        <v>7548.48</v>
      </c>
      <c r="D5">
        <f>D3*E5</f>
        <v>19200</v>
      </c>
      <c r="E5">
        <v>0.6</v>
      </c>
      <c r="F5">
        <f t="shared" si="0"/>
        <v>144930816</v>
      </c>
    </row>
    <row r="6" spans="2:6">
      <c r="B6" s="2955" t="s">
        <v>3089</v>
      </c>
      <c r="C6">
        <f>C3</f>
        <v>7548.48</v>
      </c>
      <c r="D6">
        <f>D3*E6</f>
        <v>16000</v>
      </c>
      <c r="E6">
        <v>0.5</v>
      </c>
      <c r="F6">
        <f t="shared" si="0"/>
        <v>120775680</v>
      </c>
    </row>
    <row r="7" spans="2:6">
      <c r="B7" s="2955" t="s">
        <v>3090</v>
      </c>
      <c r="C7">
        <f>C3</f>
        <v>7548.48</v>
      </c>
      <c r="D7">
        <f>D3*E7</f>
        <v>12800</v>
      </c>
      <c r="E7">
        <v>0.4</v>
      </c>
      <c r="F7">
        <f t="shared" si="0"/>
        <v>96620544</v>
      </c>
    </row>
    <row r="8" spans="2:6">
      <c r="C8">
        <f>'数据-基础表'!Q19</f>
        <v>37742.410000000003</v>
      </c>
      <c r="D8">
        <f>ROUND(F8/C8,0)</f>
        <v>20480</v>
      </c>
      <c r="F8">
        <f>SUM(F3:F7)</f>
        <v>772964352</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33" sqref="K33"/>
    </sheetView>
  </sheetViews>
  <sheetFormatPr defaultRowHeight="13.5"/>
  <cols>
    <col min="1" max="1" width="16.625" customWidth="1"/>
  </cols>
  <sheetData>
    <row r="1" spans="1:13">
      <c r="A1" s="2956" t="s">
        <v>3101</v>
      </c>
      <c r="B1" s="2956" t="s">
        <v>3102</v>
      </c>
      <c r="C1" s="2956" t="s">
        <v>3103</v>
      </c>
      <c r="D1" s="2956" t="s">
        <v>3104</v>
      </c>
      <c r="E1" s="2956" t="s">
        <v>3105</v>
      </c>
      <c r="F1" s="2956" t="s">
        <v>3106</v>
      </c>
      <c r="G1" s="2956" t="s">
        <v>3107</v>
      </c>
      <c r="H1" s="2956" t="s">
        <v>3108</v>
      </c>
      <c r="I1" s="2956" t="s">
        <v>3109</v>
      </c>
      <c r="J1" s="2956" t="s">
        <v>3110</v>
      </c>
      <c r="K1" s="2956" t="s">
        <v>3111</v>
      </c>
      <c r="L1" s="2956" t="s">
        <v>3112</v>
      </c>
      <c r="M1" s="2956" t="s">
        <v>3113</v>
      </c>
    </row>
    <row r="2" spans="1:13">
      <c r="A2" s="2956" t="s">
        <v>3114</v>
      </c>
      <c r="B2" s="2956" t="s">
        <v>3115</v>
      </c>
      <c r="C2" s="2956" t="s">
        <v>3116</v>
      </c>
      <c r="D2" s="2956">
        <v>72741</v>
      </c>
      <c r="E2" s="2956">
        <v>167304.29999999999</v>
      </c>
      <c r="F2" s="2956" t="s">
        <v>3117</v>
      </c>
      <c r="G2" s="2956" t="s">
        <v>3118</v>
      </c>
      <c r="H2" s="2956" t="s">
        <v>3119</v>
      </c>
      <c r="I2" s="2956">
        <v>26267</v>
      </c>
      <c r="J2" s="2956">
        <v>55880</v>
      </c>
      <c r="K2" s="2956">
        <v>3340.01</v>
      </c>
      <c r="L2" s="2956">
        <v>112.74</v>
      </c>
      <c r="M2" s="2956" t="s">
        <v>3120</v>
      </c>
    </row>
    <row r="3" spans="1:13">
      <c r="A3" s="2956" t="s">
        <v>3121</v>
      </c>
      <c r="B3" s="2956" t="s">
        <v>3115</v>
      </c>
      <c r="C3" s="2956" t="s">
        <v>3122</v>
      </c>
      <c r="D3" s="2956">
        <v>169556</v>
      </c>
      <c r="E3" s="2956">
        <v>305200.8</v>
      </c>
      <c r="F3" s="2956" t="s">
        <v>3123</v>
      </c>
      <c r="G3" s="2956" t="s">
        <v>3118</v>
      </c>
      <c r="H3" s="2956" t="s">
        <v>3119</v>
      </c>
      <c r="I3" s="2956">
        <v>103769</v>
      </c>
      <c r="J3" s="2956">
        <v>131237</v>
      </c>
      <c r="K3" s="2956">
        <v>4300.0200000000004</v>
      </c>
      <c r="L3" s="2956">
        <v>26.47</v>
      </c>
      <c r="M3" s="2956" t="s">
        <v>3124</v>
      </c>
    </row>
    <row r="4" spans="1:13">
      <c r="A4" s="2956" t="s">
        <v>3125</v>
      </c>
      <c r="B4" s="2956" t="s">
        <v>3115</v>
      </c>
      <c r="C4" s="2956" t="s">
        <v>3116</v>
      </c>
      <c r="D4" s="2956">
        <v>29047</v>
      </c>
      <c r="E4" s="2956">
        <v>58094</v>
      </c>
      <c r="F4" s="2956" t="s">
        <v>3126</v>
      </c>
      <c r="G4" s="2956" t="s">
        <v>3118</v>
      </c>
      <c r="H4" s="2956" t="s">
        <v>3127</v>
      </c>
      <c r="I4" s="2956">
        <v>10504</v>
      </c>
      <c r="J4" s="2956">
        <v>17533</v>
      </c>
      <c r="K4" s="2956">
        <v>3018.03</v>
      </c>
      <c r="L4" s="2956">
        <v>66.92</v>
      </c>
      <c r="M4" s="2956" t="s">
        <v>3128</v>
      </c>
    </row>
    <row r="5" spans="1:13" s="2958" customFormat="1">
      <c r="A5" s="2957" t="s">
        <v>3129</v>
      </c>
      <c r="B5" s="2957" t="s">
        <v>3115</v>
      </c>
      <c r="C5" s="2957" t="s">
        <v>3116</v>
      </c>
      <c r="D5" s="2957">
        <v>93007</v>
      </c>
      <c r="E5" s="2957">
        <v>120909.1</v>
      </c>
      <c r="F5" s="2957" t="s">
        <v>3130</v>
      </c>
      <c r="G5" s="2957" t="s">
        <v>3118</v>
      </c>
      <c r="H5" s="2957" t="s">
        <v>3127</v>
      </c>
      <c r="I5" s="2957">
        <v>36273</v>
      </c>
      <c r="J5" s="2957">
        <v>36273</v>
      </c>
      <c r="K5" s="2957">
        <v>3000.01</v>
      </c>
      <c r="L5" s="2957">
        <v>0</v>
      </c>
      <c r="M5" s="2957" t="s">
        <v>3131</v>
      </c>
    </row>
    <row r="6" spans="1:13">
      <c r="A6" s="2956" t="s">
        <v>3132</v>
      </c>
      <c r="B6" s="2956" t="s">
        <v>3115</v>
      </c>
      <c r="C6" s="2956" t="s">
        <v>3116</v>
      </c>
      <c r="D6" s="2956">
        <v>83859</v>
      </c>
      <c r="E6" s="2956">
        <v>192875.7</v>
      </c>
      <c r="F6" s="2956" t="s">
        <v>3117</v>
      </c>
      <c r="G6" s="2956" t="s">
        <v>3118</v>
      </c>
      <c r="H6" s="2956" t="s">
        <v>3133</v>
      </c>
      <c r="I6" s="2956">
        <v>55934</v>
      </c>
      <c r="J6" s="2956">
        <v>58441</v>
      </c>
      <c r="K6" s="2956">
        <v>3029.98</v>
      </c>
      <c r="L6" s="2956">
        <v>4.4800000000000004</v>
      </c>
      <c r="M6" s="2956" t="s">
        <v>3134</v>
      </c>
    </row>
    <row r="7" spans="1:13">
      <c r="A7" s="2956" t="s">
        <v>3135</v>
      </c>
      <c r="B7" s="2956" t="s">
        <v>3115</v>
      </c>
      <c r="C7" s="2956" t="s">
        <v>3122</v>
      </c>
      <c r="D7" s="2956">
        <v>29551</v>
      </c>
      <c r="E7" s="2956">
        <v>62057.1</v>
      </c>
      <c r="F7" s="2956" t="s">
        <v>3136</v>
      </c>
      <c r="G7" s="2956" t="s">
        <v>3118</v>
      </c>
      <c r="H7" s="2956" t="s">
        <v>3133</v>
      </c>
      <c r="I7" s="2956">
        <v>16680</v>
      </c>
      <c r="J7" s="2956">
        <v>18493</v>
      </c>
      <c r="K7" s="2956">
        <v>2980</v>
      </c>
      <c r="L7" s="2956">
        <v>10.87</v>
      </c>
      <c r="M7" s="2956" t="s">
        <v>3137</v>
      </c>
    </row>
    <row r="8" spans="1:13" s="2958" customFormat="1">
      <c r="A8" s="2957" t="s">
        <v>3138</v>
      </c>
      <c r="B8" s="2957" t="s">
        <v>3115</v>
      </c>
      <c r="C8" s="2957" t="s">
        <v>3116</v>
      </c>
      <c r="D8" s="2957">
        <v>19001</v>
      </c>
      <c r="E8" s="2957">
        <v>38002</v>
      </c>
      <c r="F8" s="2957" t="s">
        <v>3126</v>
      </c>
      <c r="G8" s="2957" t="s">
        <v>3118</v>
      </c>
      <c r="H8" s="2957" t="s">
        <v>3139</v>
      </c>
      <c r="I8" s="2957">
        <v>11401</v>
      </c>
      <c r="J8" s="2957">
        <v>11401</v>
      </c>
      <c r="K8" s="2957">
        <v>3000.11</v>
      </c>
      <c r="L8" s="2957">
        <v>0</v>
      </c>
      <c r="M8" s="2957" t="s">
        <v>3140</v>
      </c>
    </row>
    <row r="9" spans="1:13">
      <c r="A9" s="2956" t="s">
        <v>3141</v>
      </c>
      <c r="B9" s="2956" t="s">
        <v>3115</v>
      </c>
      <c r="C9" s="2956" t="s">
        <v>3122</v>
      </c>
      <c r="D9" s="2956">
        <v>57096</v>
      </c>
      <c r="E9" s="2956">
        <v>137030.39999999999</v>
      </c>
      <c r="F9" s="2956" t="s">
        <v>3142</v>
      </c>
      <c r="G9" s="2956" t="s">
        <v>3118</v>
      </c>
      <c r="H9" s="2956" t="s">
        <v>3143</v>
      </c>
      <c r="I9" s="2956">
        <v>33025</v>
      </c>
      <c r="J9" s="2956">
        <v>33025</v>
      </c>
      <c r="K9" s="2956">
        <v>2410.0500000000002</v>
      </c>
      <c r="L9" s="2956">
        <v>0</v>
      </c>
      <c r="M9" s="2956" t="s">
        <v>3144</v>
      </c>
    </row>
    <row r="10" spans="1:13">
      <c r="A10" s="2956" t="s">
        <v>3145</v>
      </c>
      <c r="B10" s="2956" t="s">
        <v>3115</v>
      </c>
      <c r="C10" s="2956" t="s">
        <v>3122</v>
      </c>
      <c r="D10" s="2956">
        <v>58756</v>
      </c>
      <c r="E10" s="2956">
        <v>117512</v>
      </c>
      <c r="F10" s="2956" t="s">
        <v>3126</v>
      </c>
      <c r="G10" s="2956" t="s">
        <v>3118</v>
      </c>
      <c r="H10" s="2956" t="s">
        <v>3143</v>
      </c>
      <c r="I10" s="2956">
        <v>30906</v>
      </c>
      <c r="J10" s="2956">
        <v>30906</v>
      </c>
      <c r="K10" s="2956">
        <v>2630.03</v>
      </c>
      <c r="L10" s="2956">
        <v>0</v>
      </c>
      <c r="M10" s="2956" t="s">
        <v>3146</v>
      </c>
    </row>
    <row r="11" spans="1:13">
      <c r="A11" s="2956" t="s">
        <v>3147</v>
      </c>
      <c r="B11" s="2956" t="s">
        <v>3115</v>
      </c>
      <c r="C11" s="2956" t="s">
        <v>3116</v>
      </c>
      <c r="D11" s="2956">
        <v>41999</v>
      </c>
      <c r="E11" s="2956">
        <v>92397.8</v>
      </c>
      <c r="F11" s="2956" t="s">
        <v>3148</v>
      </c>
      <c r="G11" s="2956" t="s">
        <v>3118</v>
      </c>
      <c r="H11" s="2956" t="s">
        <v>3149</v>
      </c>
      <c r="I11" s="2956">
        <v>22915</v>
      </c>
      <c r="J11" s="2956">
        <v>22915</v>
      </c>
      <c r="K11" s="2956">
        <v>2480.0300000000002</v>
      </c>
      <c r="L11" s="2956">
        <v>0</v>
      </c>
      <c r="M11" s="2956" t="s">
        <v>3150</v>
      </c>
    </row>
    <row r="12" spans="1:13">
      <c r="A12" s="2956" t="s">
        <v>3151</v>
      </c>
      <c r="B12" s="2956" t="s">
        <v>3115</v>
      </c>
      <c r="C12" s="2956" t="s">
        <v>3116</v>
      </c>
      <c r="D12" s="2956">
        <v>29188</v>
      </c>
      <c r="E12" s="2956">
        <v>67132.399999999994</v>
      </c>
      <c r="F12" s="2956" t="s">
        <v>3152</v>
      </c>
      <c r="G12" s="2956" t="s">
        <v>3118</v>
      </c>
      <c r="H12" s="2956" t="s">
        <v>3149</v>
      </c>
      <c r="I12" s="2956">
        <v>12319</v>
      </c>
      <c r="J12" s="2956">
        <v>12319</v>
      </c>
      <c r="K12" s="2956">
        <v>1835.02</v>
      </c>
      <c r="L12" s="2956">
        <v>0</v>
      </c>
      <c r="M12" s="2956" t="s">
        <v>3153</v>
      </c>
    </row>
    <row r="13" spans="1:13">
      <c r="A13" s="2956" t="s">
        <v>3154</v>
      </c>
      <c r="B13" s="2956" t="s">
        <v>3115</v>
      </c>
      <c r="C13" s="2956" t="s">
        <v>3116</v>
      </c>
      <c r="D13" s="2956">
        <v>40765</v>
      </c>
      <c r="E13" s="2956">
        <v>97836</v>
      </c>
      <c r="F13" s="2956" t="s">
        <v>3155</v>
      </c>
      <c r="G13" s="2956" t="s">
        <v>3118</v>
      </c>
      <c r="H13" s="2956" t="s">
        <v>3149</v>
      </c>
      <c r="I13" s="2956">
        <v>18589</v>
      </c>
      <c r="J13" s="2956">
        <v>18589</v>
      </c>
      <c r="K13" s="2956">
        <v>1900.01</v>
      </c>
      <c r="L13" s="2956">
        <v>0</v>
      </c>
      <c r="M13" s="2956" t="s">
        <v>3153</v>
      </c>
    </row>
    <row r="14" spans="1:13">
      <c r="A14" s="2956" t="s">
        <v>3147</v>
      </c>
      <c r="B14" s="2956" t="s">
        <v>3115</v>
      </c>
      <c r="C14" s="2956" t="s">
        <v>3116</v>
      </c>
      <c r="D14" s="2956">
        <v>31344</v>
      </c>
      <c r="E14" s="2956">
        <v>115972.8</v>
      </c>
      <c r="F14" s="2956" t="s">
        <v>3156</v>
      </c>
      <c r="G14" s="2956" t="s">
        <v>3118</v>
      </c>
      <c r="H14" s="2956" t="s">
        <v>3149</v>
      </c>
      <c r="I14" s="2956">
        <v>19657</v>
      </c>
      <c r="J14" s="2956">
        <v>19657</v>
      </c>
      <c r="K14" s="2956">
        <v>1694.97</v>
      </c>
      <c r="L14" s="2956">
        <v>0</v>
      </c>
      <c r="M14" s="2956" t="s">
        <v>3150</v>
      </c>
    </row>
    <row r="15" spans="1:13">
      <c r="A15" s="2956" t="s">
        <v>3157</v>
      </c>
      <c r="B15" s="2956" t="s">
        <v>3115</v>
      </c>
      <c r="C15" s="2956" t="s">
        <v>3116</v>
      </c>
      <c r="D15" s="2956">
        <v>12123</v>
      </c>
      <c r="E15" s="2956">
        <v>29458.89</v>
      </c>
      <c r="F15" s="2956" t="s">
        <v>3158</v>
      </c>
      <c r="G15" s="2956" t="s">
        <v>3118</v>
      </c>
      <c r="H15" s="2956" t="s">
        <v>3149</v>
      </c>
      <c r="I15" s="2956">
        <v>7645</v>
      </c>
      <c r="J15" s="2956">
        <v>7645</v>
      </c>
      <c r="K15" s="2956">
        <v>2595.13</v>
      </c>
      <c r="L15" s="2956">
        <v>0</v>
      </c>
      <c r="M15" s="2956" t="s">
        <v>3153</v>
      </c>
    </row>
    <row r="16" spans="1:13">
      <c r="A16" s="2956" t="s">
        <v>3159</v>
      </c>
      <c r="B16" s="2956" t="s">
        <v>3115</v>
      </c>
      <c r="C16" s="2956" t="s">
        <v>3122</v>
      </c>
      <c r="D16" s="2956">
        <v>9656</v>
      </c>
      <c r="E16" s="2956">
        <v>10621.6</v>
      </c>
      <c r="F16" s="2956" t="s">
        <v>3160</v>
      </c>
      <c r="G16" s="2956" t="s">
        <v>3118</v>
      </c>
      <c r="H16" s="2956" t="s">
        <v>3161</v>
      </c>
      <c r="I16" s="2956">
        <v>3033</v>
      </c>
      <c r="J16" s="2956">
        <v>4594</v>
      </c>
      <c r="K16" s="2956">
        <v>4325.1400000000003</v>
      </c>
      <c r="L16" s="2956">
        <v>51.47</v>
      </c>
      <c r="M16" s="2956" t="s">
        <v>3162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4" t="s">
        <v>1634</v>
      </c>
      <c r="E3" s="1044" t="s">
        <v>1640</v>
      </c>
      <c r="F3" s="1044" t="s">
        <v>1634</v>
      </c>
      <c r="G3" s="1044" t="s">
        <v>1635</v>
      </c>
      <c r="H3" s="1044" t="s">
        <v>1634</v>
      </c>
      <c r="I3" s="1044" t="s">
        <v>1635</v>
      </c>
    </row>
    <row r="4" spans="1:9" ht="30">
      <c r="A4" s="1973" t="str">
        <f>项目基本情况!S2</f>
        <v>出让国有建设用地使用权及在建建筑物房地产</v>
      </c>
      <c r="B4" s="1044">
        <f>项目基本情况!C17</f>
        <v>94992.88</v>
      </c>
      <c r="C4" s="1044">
        <f>项目基本情况!C18</f>
        <v>21344.57</v>
      </c>
      <c r="D4" s="1044" t="e">
        <f ca="1">结果表!D118</f>
        <v>#REF!</v>
      </c>
      <c r="E4" s="1044" t="e">
        <f ca="1">结果表!E118</f>
        <v>#REF!</v>
      </c>
      <c r="F4" s="1044" t="e">
        <f ca="1">结果表!F118</f>
        <v>#REF!</v>
      </c>
      <c r="G4" s="1044" t="e">
        <f ca="1">结果表!G118</f>
        <v>#REF!</v>
      </c>
      <c r="H4" s="1044">
        <f ca="1">结果表!H118</f>
        <v>81902</v>
      </c>
      <c r="I4" s="1044">
        <f ca="1">结果表!I118</f>
        <v>8622</v>
      </c>
    </row>
    <row r="5" spans="1:9" ht="30" customHeight="1">
      <c r="A5" s="2975" t="s">
        <v>1636</v>
      </c>
      <c r="B5" s="2975"/>
      <c r="C5" s="2975"/>
      <c r="D5" s="2976" t="e">
        <f ca="1">结果表!D119</f>
        <v>#REF!</v>
      </c>
      <c r="E5" s="2976"/>
      <c r="F5" s="2976" t="e">
        <f ca="1">结果表!F119</f>
        <v>#REF!</v>
      </c>
      <c r="G5" s="2976"/>
      <c r="H5" s="2976" t="str">
        <f ca="1">结果表!H119</f>
        <v>捌亿壹仟玖佰零贰万元整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1636</v>
      </c>
      <c r="B7" s="2975"/>
      <c r="C7" s="2975"/>
      <c r="D7" s="2977" t="str">
        <f>结果表!D121</f>
        <v>零元整</v>
      </c>
      <c r="E7" s="2978"/>
      <c r="F7" s="2978"/>
      <c r="G7" s="2978"/>
      <c r="H7" s="2978"/>
      <c r="I7" s="2979"/>
    </row>
    <row r="8" spans="1:9" ht="15.75">
      <c r="A8" s="2974" t="str">
        <f>结果表!A122</f>
        <v>房地产抵押价值</v>
      </c>
      <c r="B8" s="2974"/>
      <c r="C8" s="2974"/>
      <c r="D8" s="2974">
        <f ca="1">结果表!D122</f>
        <v>81902</v>
      </c>
      <c r="E8" s="2974"/>
      <c r="F8" s="2974"/>
      <c r="G8" s="2974"/>
      <c r="H8" s="2974"/>
      <c r="I8" s="2974"/>
    </row>
    <row r="9" spans="1:9" ht="15">
      <c r="A9" s="2975" t="s">
        <v>1636</v>
      </c>
      <c r="B9" s="2975"/>
      <c r="C9" s="2975"/>
      <c r="D9" s="2976" t="str">
        <f ca="1">结果表!D123</f>
        <v>捌亿壹仟玖佰零贰万元整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1636</v>
      </c>
      <c r="B11" s="2975"/>
      <c r="C11" s="2975"/>
      <c r="D11" s="2976" t="e">
        <f>结果表!D125</f>
        <v>#VALUE!</v>
      </c>
      <c r="E11" s="2976"/>
      <c r="F11" s="2976"/>
      <c r="G11" s="2976"/>
      <c r="H11" s="2976"/>
      <c r="I11" s="2976"/>
    </row>
    <row r="12" spans="1:9" ht="15.75">
      <c r="A12" s="2974" t="str">
        <f>结果表!A126</f>
        <v>抵押净值</v>
      </c>
      <c r="B12" s="2974"/>
      <c r="C12" s="2974"/>
      <c r="D12" s="2974">
        <f ca="1">结果表!D126</f>
        <v>35504</v>
      </c>
      <c r="E12" s="2974"/>
      <c r="F12" s="2974"/>
      <c r="G12" s="2974"/>
      <c r="H12" s="2974"/>
      <c r="I12" s="2974"/>
    </row>
    <row r="13" spans="1:9" ht="15.75" thickBot="1">
      <c r="A13" s="2971" t="s">
        <v>1636</v>
      </c>
      <c r="B13" s="2971"/>
      <c r="C13" s="2971"/>
      <c r="D13" s="2972" t="str">
        <f ca="1">结果表!D127</f>
        <v>叁亿伍仟伍佰零肆万元整</v>
      </c>
      <c r="E13" s="2972"/>
      <c r="F13" s="2972"/>
      <c r="G13" s="2972"/>
      <c r="H13" s="2972"/>
      <c r="I13" s="2972"/>
    </row>
    <row r="14" spans="1:9" ht="15" thickTop="1">
      <c r="A14" s="2973" t="s">
        <v>1641</v>
      </c>
      <c r="B14" s="2973"/>
      <c r="C14" s="2973"/>
      <c r="D14" s="2973"/>
      <c r="E14" s="2973"/>
      <c r="F14" s="2973"/>
      <c r="G14" s="2973"/>
      <c r="H14" s="2973"/>
      <c r="I14" s="2973"/>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8" t="s">
        <v>1658</v>
      </c>
      <c r="B1" s="2988"/>
      <c r="C1" s="2988"/>
      <c r="D1" s="2988"/>
    </row>
    <row r="2" spans="1:4" ht="18">
      <c r="A2" s="2989" t="s">
        <v>1642</v>
      </c>
      <c r="B2" s="2989"/>
      <c r="C2" s="2989"/>
      <c r="D2" s="2989"/>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9" t="s">
        <v>1648</v>
      </c>
      <c r="B6" s="2989"/>
      <c r="C6" s="2989"/>
      <c r="D6" s="298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0"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1652</v>
      </c>
      <c r="B16" s="2984"/>
      <c r="C16" s="2984"/>
      <c r="D16" s="2984"/>
    </row>
    <row r="17" spans="1:4" ht="144" customHeight="1">
      <c r="A17" s="2984" t="s">
        <v>1653</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1654</v>
      </c>
      <c r="B22" s="2986"/>
      <c r="C22" s="2986"/>
      <c r="D22" s="298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6" t="s">
        <v>1665</v>
      </c>
      <c r="B15" s="2991" t="s">
        <v>136</v>
      </c>
      <c r="C15" s="2992"/>
    </row>
    <row r="16" spans="1:7" ht="13.5">
      <c r="A16" s="2997"/>
      <c r="B16" s="2991" t="s">
        <v>69</v>
      </c>
      <c r="C16" s="2992"/>
    </row>
    <row r="17" spans="1:3" ht="13.5">
      <c r="A17" s="2997"/>
      <c r="B17" s="2994" t="s">
        <v>1666</v>
      </c>
      <c r="C17" s="2000" t="s">
        <v>1665</v>
      </c>
    </row>
    <row r="18" spans="1:3" ht="13.5">
      <c r="A18" s="2997"/>
      <c r="B18" s="2994"/>
      <c r="C18" s="2000" t="s">
        <v>1667</v>
      </c>
    </row>
    <row r="19" spans="1:3" ht="13.5">
      <c r="A19" s="2997"/>
      <c r="B19" s="2994"/>
      <c r="C19" s="2000" t="s">
        <v>1668</v>
      </c>
    </row>
    <row r="20" spans="1:3" ht="13.5">
      <c r="A20" s="2998"/>
      <c r="B20" s="2993" t="s">
        <v>1669</v>
      </c>
      <c r="C20" s="2992"/>
    </row>
    <row r="21" spans="1:3" ht="13.5">
      <c r="A21" s="2001" t="s">
        <v>1670</v>
      </c>
      <c r="B21" s="2002"/>
      <c r="C21" s="2003"/>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0" t="s">
        <v>1676</v>
      </c>
    </row>
    <row r="26" spans="1:3" ht="13.5">
      <c r="A26" s="2995"/>
      <c r="B26" s="2994"/>
      <c r="C26" s="2000" t="s">
        <v>1677</v>
      </c>
    </row>
    <row r="27" spans="1:3" ht="13.5">
      <c r="A27" s="2995"/>
      <c r="B27" s="2994"/>
      <c r="C27" s="2000" t="s">
        <v>1678</v>
      </c>
    </row>
    <row r="28" spans="1:3" ht="13.5">
      <c r="A28" s="2995"/>
      <c r="B28" s="2994"/>
      <c r="C28" s="2000" t="s">
        <v>1679</v>
      </c>
    </row>
    <row r="29" spans="1:3" ht="13.5">
      <c r="A29" s="2995"/>
      <c r="B29" s="2994"/>
      <c r="C29" s="2000" t="s">
        <v>1680</v>
      </c>
    </row>
    <row r="30" spans="1:3" ht="13.5">
      <c r="A30" s="2995"/>
      <c r="B30" s="2994"/>
      <c r="C30" s="2000" t="s">
        <v>1681</v>
      </c>
    </row>
    <row r="31" spans="1:3" ht="13.5">
      <c r="A31" s="2995"/>
      <c r="B31" s="2994"/>
      <c r="C31" s="2000" t="s">
        <v>1682</v>
      </c>
    </row>
    <row r="32" spans="1:3" ht="13.5">
      <c r="A32" s="2995"/>
      <c r="B32" s="2994"/>
      <c r="C32" s="2000" t="s">
        <v>1683</v>
      </c>
    </row>
    <row r="33" spans="1:3" ht="13.5">
      <c r="A33" s="2995"/>
      <c r="B33" s="2994"/>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3047</v>
      </c>
      <c r="B14" s="1022">
        <f ca="1">IF(C14&lt;B2,"已过期",1120040230)</f>
        <v>1120040230</v>
      </c>
      <c r="C14" s="2348">
        <v>43835</v>
      </c>
      <c r="D14" s="2351" t="s">
        <v>3047</v>
      </c>
      <c r="E14" s="1022">
        <f ca="1">IF(F14&lt;B2,"已过期",98030020)</f>
        <v>98030020</v>
      </c>
      <c r="F14" s="1030">
        <v>47118</v>
      </c>
    </row>
    <row r="15" spans="1:6" ht="24" customHeight="1">
      <c r="A15" s="1703" t="s">
        <v>3048</v>
      </c>
      <c r="B15" s="1022">
        <f ca="1">IF(C15&lt;B2,"已过期",1120070085)</f>
        <v>1120070085</v>
      </c>
      <c r="C15" s="2348">
        <v>43814</v>
      </c>
      <c r="D15" s="2352" t="s">
        <v>3048</v>
      </c>
      <c r="E15" s="1022">
        <f ca="1">IF(F15&lt;B2,"已过期",2004110128)</f>
        <v>2004110128</v>
      </c>
      <c r="F15" s="1023">
        <v>47118</v>
      </c>
    </row>
    <row r="16" spans="1:6" ht="24" customHeight="1">
      <c r="A16" s="1702" t="s">
        <v>3049</v>
      </c>
      <c r="B16" s="1022">
        <f ca="1">IF(C16&lt;B2,"已过期",1120140022)</f>
        <v>1120140022</v>
      </c>
      <c r="C16" s="2931">
        <v>44029</v>
      </c>
      <c r="D16" s="2351" t="s">
        <v>3049</v>
      </c>
      <c r="E16" s="1022">
        <f ca="1">IF(F16&lt;B2,"已过期",2008110059)</f>
        <v>2008110059</v>
      </c>
      <c r="F16" s="1030">
        <v>47177</v>
      </c>
    </row>
    <row r="17" spans="1:7" ht="24" customHeight="1">
      <c r="A17" s="1702"/>
      <c r="B17" s="1022"/>
      <c r="C17" s="2348"/>
      <c r="D17" s="2351" t="s">
        <v>3050</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2019-05-30T05:26:08Z</dcterms:modified>
</cp:coreProperties>
</file>