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2020-1-0129通州希尔顿酒店\"/>
    </mc:Choice>
  </mc:AlternateContent>
  <bookViews>
    <workbookView xWindow="96" yWindow="36" windowWidth="11388" windowHeight="9468"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企业提供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土地案例!$A$1:$AS$27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26" i="66" l="1"/>
  <c r="C31" i="66"/>
  <c r="C30" i="66"/>
  <c r="N14" i="1"/>
  <c r="L14" i="1"/>
  <c r="C6" i="15"/>
  <c r="I21" i="66"/>
  <c r="C29" i="66"/>
  <c r="C28" i="66"/>
  <c r="I10" i="66"/>
  <c r="D10" i="68"/>
  <c r="C10" i="68"/>
  <c r="D9" i="68"/>
  <c r="C9" i="68"/>
  <c r="B29" i="1"/>
  <c r="D120" i="39"/>
  <c r="F39" i="39"/>
  <c r="AA39" i="39"/>
  <c r="D122" i="39"/>
  <c r="F40" i="39"/>
  <c r="AA40" i="39"/>
  <c r="D124" i="39"/>
  <c r="E124" i="39"/>
  <c r="F124" i="39"/>
  <c r="G124" i="39"/>
  <c r="H124" i="39"/>
  <c r="F41" i="39"/>
  <c r="AA41" i="39"/>
  <c r="D126" i="39"/>
  <c r="F42" i="39"/>
  <c r="AA42" i="39"/>
  <c r="R47" i="39"/>
  <c r="H39" i="39"/>
  <c r="AB39" i="39"/>
  <c r="H40" i="39"/>
  <c r="AB40" i="39"/>
  <c r="H41" i="39"/>
  <c r="AB41" i="39"/>
  <c r="H42" i="39"/>
  <c r="AB42" i="39"/>
  <c r="T47" i="39"/>
  <c r="J39" i="39"/>
  <c r="AC39" i="39"/>
  <c r="J40" i="39"/>
  <c r="AC40" i="39"/>
  <c r="J41" i="39"/>
  <c r="AC41" i="39"/>
  <c r="J42" i="39"/>
  <c r="AC42"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81" i="39"/>
  <c r="E81" i="39"/>
  <c r="F81" i="39"/>
  <c r="G81" i="39"/>
  <c r="F11" i="39"/>
  <c r="AA11" i="39"/>
  <c r="H11" i="39"/>
  <c r="AB11" i="39"/>
  <c r="J11" i="39"/>
  <c r="AC11" i="39"/>
  <c r="I46" i="39"/>
  <c r="G46" i="39"/>
  <c r="I38" i="39"/>
  <c r="G38" i="39"/>
  <c r="O71" i="39"/>
  <c r="I7" i="39"/>
  <c r="G7" i="39"/>
  <c r="I5" i="39"/>
  <c r="G5" i="39"/>
  <c r="E46" i="39"/>
  <c r="E38" i="39"/>
  <c r="E71" i="39"/>
  <c r="F71" i="39"/>
  <c r="G71" i="39"/>
  <c r="H71" i="39"/>
  <c r="I71" i="39"/>
  <c r="J71" i="39"/>
  <c r="K71" i="39"/>
  <c r="L71" i="39"/>
  <c r="M71" i="39"/>
  <c r="N71" i="39"/>
  <c r="D71" i="39"/>
  <c r="E7" i="39"/>
  <c r="E5" i="39"/>
  <c r="F19" i="6"/>
  <c r="AL13" i="3"/>
  <c r="AN13" i="3"/>
  <c r="I13" i="3"/>
  <c r="G3" i="77"/>
  <c r="G6" i="77"/>
  <c r="G7" i="77"/>
  <c r="G8" i="77"/>
  <c r="G9" i="77"/>
  <c r="G11" i="77"/>
  <c r="G12" i="77"/>
  <c r="G13" i="77"/>
  <c r="G14" i="77"/>
  <c r="G15" i="77"/>
  <c r="G16" i="77"/>
  <c r="G17" i="77"/>
  <c r="B7" i="4"/>
  <c r="C11" i="4"/>
  <c r="D3"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K12" i="1"/>
  <c r="M12" i="1"/>
  <c r="O12" i="1"/>
  <c r="P12" i="1"/>
  <c r="S13" i="1"/>
  <c r="AR13" i="1"/>
  <c r="R13" i="1"/>
  <c r="S11" i="1"/>
  <c r="AQ11" i="1"/>
  <c r="R11" i="1"/>
  <c r="S9" i="1"/>
  <c r="AR9" i="1"/>
  <c r="R9" i="1"/>
  <c r="J51" i="67"/>
  <c r="C42" i="1"/>
  <c r="C4" i="12"/>
  <c r="B41"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AA13" i="39"/>
  <c r="S13" i="39"/>
  <c r="S14" i="39"/>
  <c r="AA14" i="39"/>
  <c r="U43" i="39"/>
  <c r="AB43"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C20" i="68"/>
  <c r="D5" i="73"/>
  <c r="G1" i="73"/>
  <c r="B40" i="1"/>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F4" i="73"/>
  <c r="I1" i="73"/>
  <c r="B39" i="1"/>
  <c r="F11" i="15"/>
  <c r="C10" i="15"/>
  <c r="C5" i="15"/>
  <c r="C14" i="15"/>
  <c r="C15" i="15"/>
  <c r="F16" i="15"/>
  <c r="C16" i="15"/>
  <c r="F43" i="15"/>
  <c r="C17" i="15"/>
  <c r="C18" i="15"/>
  <c r="C19" i="15"/>
  <c r="C20" i="15"/>
  <c r="F24" i="15"/>
  <c r="C23" i="15"/>
  <c r="F26" i="15"/>
  <c r="C26" i="15"/>
  <c r="C24" i="15"/>
  <c r="C27" i="15"/>
  <c r="C29" i="15"/>
  <c r="C33" i="15"/>
  <c r="F35" i="15"/>
  <c r="C34" i="15"/>
  <c r="C32" i="15"/>
  <c r="C31" i="15"/>
  <c r="F36" i="15"/>
  <c r="C36" i="15"/>
  <c r="F13" i="15"/>
  <c r="C13" i="15"/>
  <c r="F37" i="15"/>
  <c r="C37" i="15"/>
  <c r="F38" i="15"/>
  <c r="C38" i="15"/>
  <c r="C30" i="15"/>
  <c r="C39" i="15"/>
  <c r="F42" i="15"/>
  <c r="F40" i="15"/>
  <c r="F41" i="15"/>
  <c r="C40" i="15"/>
  <c r="M6" i="15"/>
  <c r="M8" i="15"/>
  <c r="F7" i="15"/>
  <c r="M7" i="15"/>
  <c r="M9" i="15"/>
  <c r="J6" i="15"/>
  <c r="M11" i="15"/>
  <c r="J10" i="15"/>
  <c r="J5" i="15"/>
  <c r="J26" i="15"/>
  <c r="J29" i="15"/>
  <c r="J57" i="15"/>
  <c r="J55" i="15"/>
  <c r="J58" i="15"/>
  <c r="J59" i="15"/>
  <c r="J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L48" i="67"/>
  <c r="D2" i="34"/>
  <c r="F26" i="67"/>
  <c r="D2" i="33"/>
  <c r="M9" i="67"/>
  <c r="B10" i="76"/>
  <c r="M27" i="67"/>
  <c r="B8" i="76"/>
  <c r="M29" i="67"/>
  <c r="AO7" i="1"/>
  <c r="F20" i="31"/>
  <c r="M21" i="15"/>
  <c r="F5" i="73"/>
  <c r="D2" i="21"/>
  <c r="F6" i="15"/>
  <c r="F8" i="15"/>
  <c r="F9" i="15"/>
  <c r="C76" i="15"/>
  <c r="L51" i="15"/>
  <c r="L57" i="15"/>
  <c r="L47" i="15"/>
  <c r="L58" i="15"/>
  <c r="L59" i="15"/>
  <c r="L60" i="15"/>
  <c r="AO6" i="1"/>
  <c r="E11" i="76"/>
  <c r="F7" i="73"/>
  <c r="F36" i="67"/>
  <c r="M6" i="67"/>
  <c r="AO12" i="1"/>
  <c r="F6" i="67"/>
  <c r="D34" i="9"/>
  <c r="B3" i="15"/>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B3" i="68"/>
  <c r="C20" i="9"/>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D3" i="73"/>
  <c r="F31" i="67"/>
  <c r="F31" i="15"/>
  <c r="E9" i="49"/>
  <c r="E13" i="49"/>
  <c r="B11" i="49"/>
  <c r="E21" i="49"/>
  <c r="E8" i="49"/>
  <c r="B10" i="49"/>
  <c r="E11" i="49"/>
  <c r="E22" i="49"/>
  <c r="B4" i="49"/>
  <c r="C29" i="69"/>
  <c r="D27" i="69"/>
  <c r="B6" i="49"/>
  <c r="R16" i="1"/>
  <c r="C12" i="12"/>
  <c r="C8" i="69"/>
  <c r="C5" i="69"/>
  <c r="K1" i="73"/>
  <c r="F69" i="67"/>
  <c r="F71" i="67"/>
  <c r="B2" i="76"/>
  <c r="E2" i="76"/>
  <c r="E20" i="43"/>
  <c r="B2" i="35"/>
  <c r="B3" i="35"/>
  <c r="F66" i="67"/>
  <c r="B10" i="70"/>
  <c r="F51" i="67"/>
  <c r="F69" i="15"/>
  <c r="B11" i="70"/>
  <c r="F65" i="15"/>
  <c r="F65" i="67"/>
  <c r="B9" i="70"/>
  <c r="N59" i="15"/>
  <c r="M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<sst xmlns="http://schemas.openxmlformats.org/spreadsheetml/2006/main" count="8386" uniqueCount="3396">
  <si>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</si>
  <si>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</si>
  <si>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</si>
  <si>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</si>
  <si>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</si>
  <si>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</si>
  <si>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</si>
  <si>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</si>
  <si>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</si>
  <si>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</si>
  <si>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</si>
  <si>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</si>
  <si>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</si>
  <si>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</si>
  <si>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</si>
  <si>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</si>
  <si>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</si>
  <si>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</si>
  <si>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</si>
  <si>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</si>
  <si>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</si>
  <si>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</si>
  <si>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</si>
  <si>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</si>
  <si>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</si>
  <si>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</si>
  <si>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</si>
  <si>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</si>
  <si>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</si>
  <si>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</si>
  <si>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</si>
  <si>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</si>
  <si>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</si>
  <si>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</si>
  <si>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</si>
  <si>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</si>
  <si>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</si>
  <si>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</si>
  <si>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</si>
  <si>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</si>
  <si>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</si>
  <si>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</si>
  <si>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</si>
  <si>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</si>
  <si>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</si>
  <si>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</si>
  <si>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</si>
  <si>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</si>
  <si>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</si>
  <si>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</si>
  <si>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</si>
  <si>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</si>
  <si>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</si>
  <si>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</si>
  <si>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</si>
  <si>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</si>
  <si>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</si>
  <si>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</si>
  <si>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</si>
  <si>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</si>
  <si>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</si>
  <si>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</si>
  <si>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</si>
  <si>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</si>
  <si>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</si>
  <si>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</si>
  <si>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</si>
  <si>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</si>
  <si>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</si>
  <si>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</si>
  <si>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</si>
  <si>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</si>
  <si>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</si>
  <si>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</si>
  <si>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</si>
  <si>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</si>
  <si>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</si>
  <si>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</si>
  <si>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</si>
  <si>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</si>
  <si>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</si>
  <si>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</si>
  <si>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</si>
  <si>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</si>
  <si>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</si>
  <si>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</si>
  <si>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</si>
  <si>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</si>
  <si>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</si>
  <si>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</si>
  <si>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</si>
  <si>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</si>
  <si>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</si>
  <si>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</si>
  <si>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</si>
  <si>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</si>
  <si>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</si>
  <si>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</si>
  <si>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</si>
  <si>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</si>
  <si>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</si>
  <si>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</si>
  <si>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</si>
  <si>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</si>
  <si>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</si>
  <si>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</si>
  <si>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</si>
  <si>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</si>
  <si>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</si>
  <si>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</si>
  <si>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</si>
  <si>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</si>
  <si>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</si>
  <si>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</si>
  <si>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</si>
  <si>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</si>
  <si>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</si>
  <si>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</si>
  <si>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</si>
  <si>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</si>
  <si>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</si>
  <si>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</si>
  <si>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</si>
  <si>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</si>
  <si>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</si>
  <si>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</si>
  <si>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</si>
  <si>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</si>
  <si>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</si>
  <si>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</si>
  <si>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</si>
  <si>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</si>
  <si>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</si>
  <si>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</si>
  <si>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</si>
  <si>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</si>
  <si>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</si>
  <si>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</si>
  <si>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</si>
  <si>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</si>
  <si>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</si>
  <si>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</si>
  <si>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</si>
  <si>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</si>
  <si>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</si>
  <si>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</si>
  <si>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</si>
  <si>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</si>
  <si>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</si>
  <si>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</si>
  <si>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</si>
  <si>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</si>
  <si>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</si>
  <si>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</si>
  <si>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</si>
  <si>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</si>
  <si>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</si>
  <si>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</si>
  <si>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</si>
  <si>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</si>
  <si>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</si>
  <si>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</si>
  <si>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</si>
  <si>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</si>
  <si>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</si>
  <si>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</si>
  <si>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</si>
  <si>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</si>
  <si>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</si>
  <si>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</si>
  <si>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</si>
  <si>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</si>
  <si>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</si>
  <si>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</si>
  <si>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</si>
  <si>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</si>
  <si>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</si>
  <si>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</si>
  <si>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</si>
  <si>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</si>
  <si>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</si>
  <si>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</si>
  <si>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</si>
  <si>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</si>
  <si>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</si>
  <si>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</si>
  <si>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</si>
  <si>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</si>
  <si>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</si>
  <si>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</si>
  <si>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</si>
  <si>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</si>
  <si>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</si>
  <si>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</si>
  <si>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</si>
  <si>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</si>
  <si>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</si>
  <si>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</si>
  <si>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</si>
  <si>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</si>
  <si>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</si>
  <si>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</si>
  <si>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</si>
  <si>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</si>
  <si>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</si>
  <si>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</si>
  <si>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</si>
  <si>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</si>
  <si>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</si>
  <si>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</si>
  <si>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</si>
  <si>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</si>
  <si>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</si>
  <si>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</si>
  <si>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</si>
  <si>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</si>
  <si>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</si>
  <si>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</si>
  <si>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</si>
  <si>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</si>
  <si>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</si>
  <si>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</si>
  <si>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</si>
  <si>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</si>
  <si>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</si>
  <si>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</si>
  <si>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</si>
  <si>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</si>
  <si>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</si>
  <si>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</si>
  <si>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</si>
  <si>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</si>
  <si>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</si>
  <si>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</si>
  <si>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</si>
  <si>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</si>
  <si>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</si>
  <si>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</si>
  <si>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</si>
  <si>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</si>
  <si>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</si>
  <si>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</si>
  <si>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</si>
  <si>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</si>
  <si>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</si>
  <si>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</si>
  <si>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</si>
  <si>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</si>
  <si>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</si>
  <si>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</si>
  <si>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</si>
  <si>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</si>
  <si>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</si>
  <si>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</si>
  <si>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</si>
  <si>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</si>
  <si>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</si>
  <si>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</si>
  <si>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</si>
  <si>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</si>
  <si>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</si>
  <si>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</si>
  <si>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</si>
  <si>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</si>
  <si>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</si>
  <si>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</si>
  <si>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</si>
  <si>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</si>
  <si>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</si>
  <si>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</si>
  <si>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</si>
  <si>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</si>
  <si>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</si>
  <si>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</si>
  <si>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</si>
  <si>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</si>
  <si>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</si>
  <si>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</si>
  <si>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</si>
  <si>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</si>
  <si>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</si>
  <si>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</si>
  <si>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</si>
  <si>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</si>
  <si>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</si>
  <si>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</si>
  <si>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</si>
  <si>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</si>
  <si>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</si>
  <si>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</si>
  <si>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</si>
  <si>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</si>
  <si>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</si>
  <si>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</si>
  <si>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</si>
  <si>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</si>
  <si>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</si>
  <si>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</si>
  <si>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</si>
  <si>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</si>
  <si>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</si>
  <si>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</si>
  <si>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</si>
  <si>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</si>
  <si>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</si>
  <si>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</si>
  <si>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</si>
  <si>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</si>
  <si>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</si>
  <si>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</si>
  <si>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</si>
  <si>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</si>
  <si>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</si>
  <si>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</si>
  <si>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</si>
  <si>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</si>
  <si>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</si>
  <si>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</si>
  <si>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</si>
  <si>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</si>
  <si>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</si>
  <si>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</si>
  <si>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</si>
  <si>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</si>
  <si>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</si>
  <si>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</si>
  <si>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</si>
  <si>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</si>
  <si>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</si>
  <si>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</si>
  <si>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</si>
  <si>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</si>
  <si>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</si>
  <si>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</si>
  <si>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</si>
  <si>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</si>
  <si>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</si>
  <si>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</si>
  <si>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</si>
  <si>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</si>
  <si>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</si>
  <si>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</si>
  <si>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</si>
  <si>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</si>
  <si>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</si>
  <si>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</si>
  <si>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</si>
  <si>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</si>
  <si>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</si>
  <si>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</si>
  <si>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</si>
  <si>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</si>
  <si>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</si>
  <si>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</si>
  <si>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</si>
  <si>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</si>
  <si>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</si>
  <si>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</si>
  <si>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</si>
  <si>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</si>
  <si>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</si>
  <si>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</si>
  <si>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</si>
  <si>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</si>
  <si>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</si>
  <si>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</si>
  <si>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</si>
  <si>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</si>
  <si>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</si>
  <si>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</si>
  <si>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</si>
  <si>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</si>
  <si>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</si>
  <si>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</si>
  <si>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</si>
  <si>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</si>
  <si>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</si>
  <si>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</si>
  <si>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</si>
  <si>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</si>
  <si>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</si>
  <si>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</si>
  <si>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</si>
  <si>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</si>
  <si>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</si>
  <si>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</si>
  <si>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</si>
  <si>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</si>
  <si>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</si>
  <si>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</si>
  <si>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</si>
  <si>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</si>
  <si>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</si>
  <si>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</si>
  <si>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</si>
  <si>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</si>
  <si>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</si>
  <si>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</si>
  <si>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</si>
  <si>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</si>
  <si>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</si>
  <si>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</si>
  <si>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</si>
  <si>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</si>
  <si>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</si>
  <si>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</si>
  <si>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</si>
  <si>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</si>
  <si>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</si>
  <si>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</si>
  <si>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</si>
  <si>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</si>
  <si>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</si>
  <si>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</si>
  <si>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</si>
  <si>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</si>
  <si>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</si>
  <si>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</si>
  <si>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</si>
  <si>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</si>
  <si>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</si>
  <si>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</si>
  <si>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</si>
  <si>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</si>
  <si>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</si>
  <si>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</si>
  <si>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</si>
  <si>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</si>
  <si>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</si>
  <si>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</si>
  <si>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</si>
  <si>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</si>
  <si>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</si>
  <si>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</si>
  <si>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</si>
  <si>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</si>
  <si>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</si>
  <si>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</si>
  <si>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</si>
  <si>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</si>
  <si>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</si>
  <si>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</si>
  <si>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</si>
  <si>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</si>
  <si>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</si>
  <si>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</si>
  <si>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</si>
  <si>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</si>
  <si>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</si>
  <si>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</si>
  <si>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</si>
  <si>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</si>
  <si>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</si>
  <si>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</si>
  <si>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</si>
  <si>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</si>
  <si>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</si>
  <si>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</si>
  <si>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</si>
  <si>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</si>
  <si>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</si>
  <si>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</si>
  <si>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</si>
  <si>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</si>
  <si>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</si>
  <si>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</si>
  <si>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</si>
  <si>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</si>
  <si>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</si>
  <si>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</si>
  <si>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</si>
  <si>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</si>
  <si>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</si>
  <si>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</si>
  <si>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</si>
  <si>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</si>
  <si>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</si>
  <si>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</si>
  <si>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</si>
  <si>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</si>
  <si>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</si>
  <si>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</si>
  <si>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</si>
  <si>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</si>
  <si>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</si>
  <si>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</si>
  <si>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</si>
  <si>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</si>
  <si>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</si>
  <si>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</si>
  <si>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</si>
  <si>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</si>
  <si>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</si>
  <si>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</si>
  <si>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</si>
  <si>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</si>
  <si>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</si>
  <si>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</si>
  <si>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</si>
  <si>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</si>
  <si>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</si>
  <si>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</si>
  <si>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</si>
  <si>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</si>
  <si>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</si>
  <si>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</si>
  <si>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</si>
  <si>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</si>
  <si>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</si>
  <si>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</si>
  <si>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</si>
  <si>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</si>
  <si>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</si>
  <si>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</si>
  <si>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</si>
  <si>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</si>
  <si>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</si>
  <si>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</si>
  <si>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</si>
  <si>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</si>
  <si>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</si>
  <si>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</si>
  <si>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</si>
  <si>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</si>
  <si>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</si>
  <si>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</si>
  <si>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</si>
  <si>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</si>
  <si>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</si>
  <si>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</si>
  <si>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</si>
  <si>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</si>
  <si>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</si>
  <si>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</si>
  <si>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</si>
  <si>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</si>
  <si>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</si>
  <si>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</si>
  <si>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</si>
  <si>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</si>
  <si>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</si>
  <si>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</si>
  <si>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</si>
  <si>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</si>
  <si>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</si>
  <si>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</si>
  <si>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</si>
  <si>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</si>
  <si>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</si>
  <si>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</si>
  <si>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</si>
  <si>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</si>
  <si>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</si>
  <si>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</si>
  <si>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</si>
  <si>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</si>
  <si>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</si>
  <si>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</si>
  <si>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</si>
  <si>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</si>
  <si>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</si>
  <si>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</si>
  <si>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</si>
  <si>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</si>
  <si>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</si>
  <si>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</si>
  <si>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</si>
  <si>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</si>
  <si>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</si>
  <si>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</si>
  <si>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</si>
  <si>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</si>
  <si>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</si>
  <si>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</si>
  <si>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</si>
  <si>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</si>
  <si>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</si>
  <si>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</si>
  <si>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</si>
  <si>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</si>
  <si>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</si>
  <si>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</si>
  <si>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</si>
  <si>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</si>
  <si>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</si>
  <si>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</si>
  <si>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</si>
  <si>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</si>
  <si>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</si>
  <si>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</si>
  <si>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</si>
  <si>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</si>
  <si>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</si>
  <si>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</si>
  <si>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</si>
  <si>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</si>
  <si>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</si>
  <si>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</si>
  <si>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</si>
  <si>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</si>
  <si>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</si>
  <si>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</si>
  <si>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</si>
  <si>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</si>
  <si>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</si>
  <si>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</si>
  <si>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</si>
  <si>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</si>
  <si>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</si>
  <si>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</si>
  <si>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</si>
  <si>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</si>
  <si>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</si>
  <si>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</si>
  <si>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</si>
  <si>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</si>
  <si>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</si>
  <si>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</si>
  <si>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</si>
  <si>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</si>
  <si>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</si>
  <si>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</si>
  <si>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</si>
  <si>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</si>
  <si>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</si>
  <si>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</si>
  <si>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</si>
  <si>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</si>
  <si>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</si>
  <si>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</si>
  <si>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</si>
  <si>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</si>
  <si>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</si>
  <si>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</si>
  <si>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</si>
  <si>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</si>
  <si>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</si>
  <si>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</si>
  <si>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</si>
  <si>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</si>
  <si>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</si>
  <si>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</si>
  <si>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</si>
  <si>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</si>
  <si>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</si>
  <si>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</si>
  <si>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</si>
  <si>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</si>
  <si>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</si>
  <si>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</si>
  <si>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</si>
  <si>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</si>
  <si>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</si>
  <si>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</si>
  <si>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</si>
  <si>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</si>
  <si>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</si>
  <si>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</si>
  <si>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</si>
  <si>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</si>
  <si>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</si>
  <si>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</si>
  <si>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</si>
  <si>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</si>
  <si>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</si>
  <si>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</si>
  <si>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</si>
  <si>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</si>
  <si>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</si>
  <si>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</si>
  <si>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</si>
  <si>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</si>
  <si>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</si>
  <si>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</si>
  <si>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</si>
  <si>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</si>
  <si>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</si>
  <si>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</si>
  <si>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</si>
  <si>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</si>
  <si>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</si>
  <si>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</si>
  <si>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</si>
  <si>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</si>
  <si>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</si>
  <si>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</si>
  <si>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</si>
  <si>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</si>
  <si>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</si>
  <si>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</si>
  <si>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</si>
  <si>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</si>
  <si>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</si>
  <si>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</si>
  <si>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</si>
  <si>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</si>
  <si>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</si>
  <si>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</si>
  <si>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</si>
  <si>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</si>
  <si>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</si>
  <si>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</si>
  <si>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</si>
  <si>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</si>
  <si>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</si>
  <si>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</si>
  <si>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</si>
  <si>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</si>
  <si>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</si>
  <si>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</si>
  <si>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</si>
  <si>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</si>
  <si>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</si>
  <si>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</si>
  <si>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</si>
  <si>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</si>
  <si>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</si>
  <si>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</si>
  <si>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</si>
  <si>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</si>
  <si>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</si>
  <si>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</si>
  <si>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</si>
  <si>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</si>
  <si>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</si>
  <si>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</si>
  <si>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</si>
  <si>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</si>
  <si>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</si>
  <si>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</si>
  <si>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</si>
  <si>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</si>
  <si>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</si>
  <si>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</si>
  <si>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</si>
  <si>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</si>
  <si>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</si>
  <si>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</si>
  <si>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</si>
  <si>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</si>
  <si>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</si>
  <si>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</si>
  <si>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</si>
  <si>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</si>
  <si>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</si>
  <si>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</si>
  <si>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</si>
  <si>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</si>
  <si>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</si>
  <si>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</si>
  <si>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</si>
  <si>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</si>
  <si>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</si>
  <si>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</si>
  <si>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</si>
  <si>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</si>
  <si>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</si>
  <si>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</si>
  <si>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</si>
  <si>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</si>
  <si>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</si>
  <si>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</si>
  <si>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</si>
  <si>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</si>
  <si>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</si>
  <si>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</si>
  <si>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</si>
  <si>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</si>
  <si>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</si>
  <si>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</si>
  <si>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</si>
  <si>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</si>
  <si>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</si>
  <si>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</si>
  <si>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</si>
  <si>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</si>
  <si>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</si>
  <si>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</si>
  <si>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</si>
  <si>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</si>
  <si>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</si>
  <si>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</si>
  <si>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</si>
  <si>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</si>
  <si>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</si>
  <si>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</si>
  <si>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</si>
  <si>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</si>
  <si>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</si>
  <si>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</si>
  <si>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</si>
  <si>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</si>
  <si>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</si>
  <si>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</si>
  <si>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</si>
  <si>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</si>
  <si>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</si>
  <si>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</si>
  <si>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</si>
  <si>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</si>
  <si>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</si>
  <si>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</si>
  <si>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</si>
  <si>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</si>
  <si>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</si>
  <si>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</si>
  <si>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</si>
  <si>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</si>
  <si>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</si>
  <si>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</si>
  <si>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</si>
  <si>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</si>
  <si>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</si>
  <si>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</si>
  <si>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</si>
  <si>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</si>
  <si>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</si>
  <si>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</si>
  <si>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</si>
  <si>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</si>
  <si>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</si>
  <si>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</si>
  <si>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</si>
  <si>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</si>
  <si>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</si>
  <si>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</si>
  <si>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</si>
  <si>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</si>
  <si>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</si>
  <si>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</si>
  <si>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</si>
  <si>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</si>
  <si>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</si>
  <si>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</si>
  <si>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</si>
  <si>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</si>
  <si>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</si>
  <si>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</si>
  <si>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</si>
  <si>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</si>
  <si>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</si>
  <si>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</si>
  <si>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</si>
  <si>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</si>
  <si>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</si>
  <si>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</si>
  <si>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</si>
  <si>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</si>
  <si>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</si>
  <si>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</si>
  <si>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</si>
  <si>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</si>
  <si>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</si>
  <si>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</si>
  <si>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</si>
  <si>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</si>
  <si>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</si>
  <si>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</si>
  <si>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</si>
  <si>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</si>
  <si>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</si>
  <si>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</si>
  <si>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</si>
  <si>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</si>
  <si>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</si>
  <si>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</si>
  <si>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</si>
  <si>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</si>
  <si>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</si>
  <si>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</si>
  <si>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</si>
  <si>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</si>
  <si>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</si>
  <si>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</si>
  <si>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</si>
  <si>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</si>
  <si>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</si>
  <si>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</si>
  <si>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</si>
  <si>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</si>
  <si>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</si>
  <si>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</si>
  <si>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</si>
  <si>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</si>
  <si>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</si>
  <si>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</si>
  <si>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</si>
  <si>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</si>
  <si>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</si>
  <si>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</si>
  <si>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</si>
  <si>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</si>
  <si>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</si>
  <si>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</si>
  <si>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</si>
  <si>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</si>
  <si>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</si>
  <si>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</si>
  <si>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</si>
  <si>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</si>
  <si>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</si>
  <si>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</si>
  <si>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</si>
  <si>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</si>
  <si>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</si>
  <si>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</si>
  <si>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</si>
  <si>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</si>
  <si>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</si>
  <si>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</si>
  <si>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</si>
  <si>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</si>
  <si>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</si>
  <si>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</si>
  <si>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</si>
  <si>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</si>
  <si>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</si>
  <si>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</si>
  <si>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</si>
  <si>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</si>
  <si>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</si>
  <si>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</si>
  <si>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</si>
  <si>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</si>
  <si>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</si>
  <si>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</si>
  <si>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</si>
  <si>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</si>
  <si>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</si>
  <si>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</si>
  <si>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</si>
  <si>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</si>
  <si>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</si>
  <si>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</si>
  <si>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</si>
  <si>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</si>
  <si>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</si>
  <si>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</si>
  <si>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</si>
  <si>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</si>
  <si>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</si>
  <si>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</si>
  <si>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</si>
  <si>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</si>
  <si>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</si>
  <si>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</si>
  <si>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</si>
  <si>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</si>
  <si>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</si>
  <si>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</si>
  <si>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</si>
  <si>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</si>
  <si>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</si>
  <si>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</si>
  <si>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</si>
  <si>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</si>
  <si>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</si>
  <si>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</si>
  <si>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</si>
  <si>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</si>
  <si>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</si>
  <si>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</si>
  <si>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</si>
  <si>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</si>
  <si>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</si>
  <si>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</si>
  <si>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</si>
  <si>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</si>
  <si>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</si>
  <si>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</si>
  <si>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</si>
  <si>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</si>
  <si>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</si>
  <si>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</si>
  <si>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</si>
  <si>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</si>
  <si>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</si>
  <si>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</si>
  <si>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</si>
  <si>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</si>
  <si>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</si>
  <si>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</si>
  <si>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</si>
  <si>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</si>
  <si>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</si>
  <si>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</si>
  <si>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</si>
  <si>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</si>
  <si>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</si>
  <si>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</si>
  <si>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</si>
  <si>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</si>
  <si>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</si>
  <si>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</si>
  <si>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</si>
  <si>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</si>
  <si>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</si>
  <si>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</si>
  <si>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</si>
  <si>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</si>
  <si>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</si>
  <si>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</si>
  <si>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</si>
  <si>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</si>
  <si>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</si>
  <si>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</si>
  <si>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</si>
  <si>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</si>
  <si>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</si>
  <si>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</si>
  <si>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</si>
  <si>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</si>
  <si>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</si>
  <si>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</si>
  <si>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</si>
  <si>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</si>
  <si>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</si>
  <si>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</si>
  <si>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</si>
  <si>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</si>
  <si>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</si>
  <si>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</si>
  <si>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</si>
  <si>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</si>
  <si>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</si>
  <si>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</si>
  <si>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</si>
  <si>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</si>
  <si>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</si>
  <si>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</si>
  <si>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</si>
  <si>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</si>
  <si>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</si>
  <si>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</si>
  <si>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</si>
  <si>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</si>
  <si>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</si>
  <si>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</si>
  <si>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</si>
  <si>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</si>
  <si>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</si>
  <si>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</si>
  <si>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</si>
  <si>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</si>
  <si>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</si>
  <si>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</si>
  <si>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</si>
  <si>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</si>
  <si>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</si>
  <si>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</si>
  <si>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</si>
  <si>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</si>
  <si>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</si>
  <si>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</si>
  <si>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</si>
  <si>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</si>
  <si>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</si>
  <si>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</si>
  <si>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</si>
  <si>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</si>
  <si>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</si>
  <si>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</si>
  <si>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</si>
  <si>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</si>
  <si>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</si>
  <si>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</si>
  <si>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</si>
  <si>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</si>
  <si>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</si>
  <si>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</si>
  <si>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</si>
  <si>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</si>
  <si>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</si>
  <si>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</si>
  <si>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</si>
  <si>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</si>
  <si>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</si>
  <si>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</si>
  <si>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</si>
  <si>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</si>
  <si>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</si>
  <si>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</si>
  <si>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</si>
  <si>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</si>
  <si>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</si>
  <si>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</si>
  <si>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</si>
  <si>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</si>
  <si>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</si>
  <si>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</si>
  <si>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</si>
  <si>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</si>
  <si>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</si>
  <si>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</si>
  <si>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</si>
  <si>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</si>
  <si>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</si>
  <si>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</si>
  <si>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</si>
  <si>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</si>
  <si>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</si>
  <si>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</si>
  <si>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</si>
  <si>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</si>
  <si>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</si>
  <si>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</si>
  <si>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</si>
  <si>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</si>
  <si>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</si>
  <si>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</si>
  <si>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</si>
  <si>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</si>
  <si>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</si>
  <si>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</si>
  <si>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</si>
  <si>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</si>
  <si>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</si>
  <si>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</si>
  <si>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</si>
  <si>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</si>
  <si>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</si>
  <si>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</si>
  <si>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</si>
  <si>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</si>
  <si>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</si>
  <si>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</si>
  <si>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</si>
  <si>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</si>
  <si>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</si>
  <si>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</si>
  <si>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</si>
  <si>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</si>
  <si>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</si>
  <si>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</si>
  <si>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</si>
  <si>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</si>
  <si>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</si>
  <si>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</si>
  <si>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</si>
  <si>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</si>
  <si>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</si>
  <si>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</si>
  <si>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</si>
  <si>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</si>
  <si>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</si>
  <si>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</si>
  <si>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</si>
  <si>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</si>
  <si>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</si>
  <si>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</si>
  <si>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</si>
  <si>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</si>
  <si>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</si>
  <si>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</si>
  <si>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</si>
  <si>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</si>
  <si>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</si>
  <si>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</si>
  <si>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</si>
  <si>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</si>
  <si>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</si>
  <si>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</si>
  <si>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</si>
  <si>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</si>
  <si>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</si>
  <si>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</si>
  <si>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</si>
  <si>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</si>
  <si>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</si>
  <si>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</si>
  <si>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</si>
  <si>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</si>
  <si>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</si>
  <si>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</si>
  <si>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</si>
  <si>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</si>
  <si>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</si>
  <si>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</si>
  <si>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</si>
  <si>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</si>
  <si>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</si>
  <si>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</si>
  <si>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</si>
  <si>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</si>
  <si>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</si>
  <si>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</si>
  <si>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</si>
  <si>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</si>
  <si>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</si>
  <si>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</si>
  <si>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</si>
  <si>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</si>
  <si>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</si>
  <si>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</si>
  <si>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</si>
  <si>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</si>
  <si>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</si>
  <si>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</si>
  <si>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</si>
  <si>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</si>
  <si>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</si>
  <si>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</si>
  <si>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</si>
  <si>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</si>
  <si>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</si>
  <si>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</si>
  <si>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</si>
  <si>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</si>
  <si>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</si>
  <si>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</si>
  <si>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</si>
  <si>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</si>
  <si>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</si>
  <si>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</si>
  <si>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</si>
  <si>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</si>
  <si>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</si>
  <si>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</si>
  <si>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</si>
  <si>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</si>
  <si>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</si>
  <si>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</si>
  <si>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</si>
  <si>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</si>
  <si>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</si>
  <si>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</si>
  <si>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</si>
  <si>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</si>
  <si>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</si>
  <si>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</si>
  <si>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</si>
  <si>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</si>
  <si>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</si>
  <si>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</si>
  <si>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</si>
  <si>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</si>
  <si>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</si>
  <si>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</si>
  <si>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</si>
  <si>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</si>
  <si>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</si>
  <si>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</si>
  <si>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</si>
  <si>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</si>
  <si>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</si>
  <si>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</si>
  <si>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</si>
  <si>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</si>
  <si>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</si>
  <si>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</si>
  <si>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</si>
  <si>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</si>
  <si>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</si>
  <si>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</si>
  <si>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</si>
  <si>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</si>
  <si>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</si>
  <si>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</si>
  <si>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</si>
  <si>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</si>
  <si>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</si>
  <si>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</si>
  <si>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</si>
  <si>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</si>
  <si>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</si>
  <si>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</si>
  <si>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</si>
  <si>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</si>
  <si>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</si>
  <si>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</si>
  <si>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</si>
  <si>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</si>
  <si>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</si>
  <si>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</si>
  <si>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</si>
  <si>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</si>
  <si>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</si>
  <si>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</si>
  <si>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</si>
  <si>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</si>
  <si>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</si>
  <si>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</si>
  <si>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</si>
  <si>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</si>
  <si>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</si>
  <si>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</si>
  <si>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</si>
  <si>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</si>
  <si>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</si>
  <si>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</si>
  <si>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</si>
  <si>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</si>
  <si>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</si>
  <si>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</si>
  <si>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</si>
  <si>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</si>
  <si>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</si>
  <si>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</si>
  <si>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</si>
  <si>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</si>
  <si>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</si>
  <si>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</si>
  <si>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</si>
  <si>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</si>
  <si>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</si>
  <si>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</si>
  <si>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</si>
  <si>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</si>
  <si>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</si>
  <si>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</si>
  <si>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</si>
  <si>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</si>
  <si>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</si>
  <si>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</si>
  <si>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</si>
  <si>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</si>
  <si>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</si>
  <si>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</si>
  <si>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</si>
  <si>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</si>
  <si>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</si>
  <si>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</si>
  <si>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</si>
  <si>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</si>
  <si>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</si>
  <si>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</si>
  <si>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</si>
  <si>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</si>
  <si>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</si>
  <si>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</si>
  <si>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</si>
  <si>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</si>
  <si>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</si>
  <si>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</si>
  <si>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</si>
  <si>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</si>
  <si>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</si>
  <si>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</si>
  <si>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</si>
  <si>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</si>
  <si>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</si>
  <si>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</si>
  <si>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</si>
  <si>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</si>
  <si>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</si>
  <si>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</si>
  <si>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</si>
  <si>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</si>
  <si>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</si>
  <si>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</si>
  <si>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</si>
  <si>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</si>
  <si>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</si>
  <si>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</si>
  <si>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</si>
  <si>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</si>
  <si>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</si>
  <si>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</si>
  <si>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</si>
  <si>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</si>
  <si>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</si>
  <si>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</si>
  <si>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</si>
  <si>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</si>
  <si>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</si>
  <si>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</si>
  <si>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</si>
  <si>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</si>
  <si>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</si>
  <si>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</si>
  <si>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</si>
  <si>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</si>
  <si>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</si>
  <si>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</si>
  <si>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</si>
  <si>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</si>
  <si>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</si>
  <si>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</si>
  <si>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</si>
  <si>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</si>
  <si>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</si>
  <si>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</si>
  <si>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</si>
  <si>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</si>
  <si>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</si>
  <si>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</si>
  <si>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</si>
  <si>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</si>
  <si>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</si>
  <si>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</si>
  <si>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</si>
  <si>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</si>
  <si>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</si>
  <si>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</si>
  <si>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</si>
  <si>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</si>
  <si>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</si>
  <si>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</si>
  <si>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</si>
  <si>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</si>
  <si>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</si>
  <si>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</si>
  <si>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</si>
  <si>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</si>
  <si>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</si>
  <si>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</si>
  <si>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</si>
  <si>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</si>
  <si>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</si>
  <si>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</si>
  <si>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</si>
  <si>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</si>
  <si>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</si>
  <si>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</si>
  <si>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</si>
  <si>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</si>
  <si>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</si>
  <si>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</si>
  <si>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</si>
  <si>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</si>
  <si>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</si>
  <si>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</si>
  <si>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</si>
  <si>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</si>
  <si>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</si>
  <si>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</si>
  <si>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</si>
  <si>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</si>
  <si>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</si>
  <si>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</si>
  <si>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</si>
  <si>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</si>
  <si>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</si>
  <si>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</si>
  <si>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</si>
  <si>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</si>
  <si>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</si>
  <si>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</si>
  <si>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</si>
  <si>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</si>
  <si>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</si>
  <si>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</si>
  <si>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</si>
  <si>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</si>
  <si>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</si>
  <si>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</si>
  <si>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</si>
  <si>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</si>
  <si>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</si>
  <si>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</si>
  <si>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</si>
  <si>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</si>
  <si>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</si>
  <si>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</si>
  <si>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</si>
  <si>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</si>
  <si>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</si>
  <si>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</si>
  <si>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</si>
  <si>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</si>
  <si>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</si>
  <si>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</si>
  <si>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</si>
  <si>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</si>
  <si>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</si>
  <si>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</si>
  <si>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</si>
  <si>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</si>
  <si>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</si>
  <si>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</si>
  <si>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</si>
  <si>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</si>
  <si>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</si>
  <si>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</si>
  <si>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</si>
  <si>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</si>
  <si>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</si>
  <si>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</si>
  <si>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</si>
  <si>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</si>
  <si>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</si>
  <si>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</si>
  <si>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</si>
  <si>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</si>
  <si>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</si>
  <si>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</si>
  <si>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</si>
  <si>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</si>
  <si>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</si>
  <si>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</si>
  <si>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</si>
  <si>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</si>
  <si>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</si>
  <si>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</si>
  <si>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</si>
  <si>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</si>
  <si>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</si>
  <si>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</si>
  <si>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</si>
  <si>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</si>
  <si>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</si>
  <si>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</si>
  <si>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</si>
  <si>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</si>
  <si>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</si>
  <si>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</si>
  <si>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</si>
  <si>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</si>
  <si>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</si>
  <si>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</si>
  <si>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</si>
  <si>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</si>
  <si>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</si>
  <si>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</si>
  <si>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</si>
  <si>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</si>
  <si>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</si>
  <si>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</si>
  <si>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</si>
  <si>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</si>
  <si>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</si>
  <si>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</si>
  <si>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</si>
  <si>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</si>
  <si>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</si>
  <si>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</si>
  <si>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</si>
  <si>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</si>
  <si>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</si>
  <si>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</si>
  <si>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</si>
  <si>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</si>
  <si>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</si>
  <si>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</si>
  <si>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</si>
  <si>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</si>
  <si>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</si>
  <si>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</si>
  <si>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</si>
  <si>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</si>
  <si>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</si>
  <si>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</si>
  <si>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</si>
  <si>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</si>
  <si>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</si>
  <si>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</si>
  <si>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</si>
  <si>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</si>
  <si>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</si>
  <si>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</si>
  <si>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</si>
  <si>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</si>
  <si>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</si>
  <si>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</si>
  <si>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</si>
  <si>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</si>
  <si>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</si>
  <si>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</si>
  <si>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</si>
  <si>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</si>
  <si>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</si>
  <si>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</si>
  <si>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</si>
  <si>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</si>
  <si>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</si>
  <si>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</si>
  <si>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</si>
  <si>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</si>
  <si>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</si>
  <si>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</si>
  <si>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</si>
  <si>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</si>
  <si>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</si>
  <si>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</si>
  <si>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</si>
  <si>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</si>
  <si>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</si>
  <si>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</si>
  <si>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</si>
  <si>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</si>
  <si>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</si>
  <si>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</si>
  <si>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</si>
  <si>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</si>
  <si>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</si>
  <si>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</si>
  <si>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</si>
  <si>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</si>
  <si>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</si>
  <si>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</si>
  <si>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</si>
  <si>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</si>
  <si>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</si>
  <si>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</si>
  <si>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</si>
  <si>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</si>
  <si>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</si>
  <si>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</si>
  <si>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</si>
  <si>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</si>
  <si>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</si>
  <si>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</si>
  <si>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</si>
  <si>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</si>
  <si>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</si>
  <si>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</si>
  <si>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</si>
  <si>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</si>
  <si>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</si>
  <si>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</si>
  <si>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</si>
  <si>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</si>
  <si>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</si>
  <si>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</si>
  <si>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</si>
  <si>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</si>
  <si>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</si>
  <si>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</si>
  <si>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</si>
  <si>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</si>
  <si>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</si>
  <si>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</si>
  <si>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</si>
  <si>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</si>
  <si>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</si>
  <si>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</si>
  <si>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</si>
  <si>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</si>
  <si>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</si>
  <si>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</si>
  <si>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</si>
  <si>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</si>
  <si>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</si>
  <si>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</si>
  <si>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</si>
  <si>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</si>
  <si>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</si>
  <si>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</si>
  <si>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</si>
  <si>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</si>
  <si>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</si>
  <si>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</si>
  <si>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</si>
  <si>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</si>
  <si>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</si>
  <si>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</si>
  <si>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</si>
  <si>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</si>
  <si>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</si>
  <si>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</si>
  <si>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</si>
  <si>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</si>
  <si>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</si>
  <si>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</si>
  <si>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</si>
  <si>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</si>
  <si>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</si>
  <si>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</si>
  <si>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</si>
  <si>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</si>
  <si>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</si>
  <si>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</si>
  <si>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</si>
  <si>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</si>
  <si>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</si>
  <si>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</si>
  <si>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</si>
  <si>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</si>
  <si>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</si>
  <si>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</si>
  <si>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</si>
  <si>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</si>
  <si>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</si>
  <si>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</si>
  <si>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</si>
  <si>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</si>
  <si>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</si>
  <si>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</si>
  <si>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</si>
  <si>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</si>
  <si>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</si>
  <si>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</si>
  <si>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</si>
  <si>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</si>
  <si>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</si>
  <si>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</si>
  <si>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</si>
  <si>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</si>
  <si>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</si>
  <si>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</si>
  <si>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</si>
  <si>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</si>
  <si>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</si>
  <si>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</si>
  <si>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</si>
  <si>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</si>
  <si>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</si>
  <si>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</si>
  <si>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</si>
  <si>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</si>
  <si>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</si>
  <si>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</si>
  <si>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</si>
  <si>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</si>
  <si>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</si>
  <si>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</si>
  <si>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</si>
  <si>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</si>
  <si>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</si>
  <si>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</si>
  <si>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</si>
  <si>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</si>
  <si>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</si>
  <si>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</si>
  <si>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</si>
  <si>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</si>
  <si>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</si>
  <si>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</si>
  <si>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</si>
  <si>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</si>
  <si>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</si>
  <si>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</si>
  <si>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</si>
  <si>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</si>
  <si>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</si>
  <si>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</si>
  <si>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</si>
  <si>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</si>
  <si>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</si>
  <si>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</si>
  <si>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</si>
  <si>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</si>
  <si>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</si>
  <si>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</si>
  <si>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</si>
  <si>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</si>
  <si>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</si>
  <si>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</si>
  <si>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</si>
  <si>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</si>
  <si>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</si>
  <si>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</si>
  <si>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</si>
  <si>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</si>
  <si>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</si>
  <si>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</si>
  <si>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</si>
  <si>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</si>
  <si>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</si>
  <si>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</si>
  <si>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</si>
  <si>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</si>
  <si>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</si>
  <si>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</si>
  <si>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</si>
  <si>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</si>
  <si>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</si>
  <si>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</si>
  <si>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</si>
  <si>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</si>
  <si>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</si>
  <si>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</si>
  <si>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</si>
  <si>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</si>
  <si>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</si>
  <si>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</si>
  <si>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</si>
  <si>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</si>
  <si>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</si>
  <si>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</si>
  <si>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</si>
  <si>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</si>
  <si>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</si>
  <si>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</si>
  <si>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</si>
  <si>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</si>
  <si>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</si>
  <si>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</si>
  <si>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</si>
  <si>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</si>
  <si>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</si>
  <si>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</si>
  <si>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</si>
  <si>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</si>
  <si>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</si>
  <si>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</si>
  <si>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</si>
  <si>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</si>
  <si>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</si>
  <si>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</si>
  <si>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</si>
  <si>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</si>
  <si>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</si>
  <si>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</si>
  <si>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</si>
  <si>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</si>
  <si>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</si>
  <si>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</si>
  <si>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</si>
  <si>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</si>
  <si>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</si>
  <si>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</si>
  <si>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</si>
  <si>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</si>
  <si>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</si>
  <si>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</si>
  <si>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</si>
  <si>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</si>
  <si>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</si>
  <si>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</si>
  <si>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</si>
  <si>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</si>
  <si>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</si>
  <si>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</si>
  <si>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</si>
  <si>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</si>
  <si>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</si>
  <si>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</si>
  <si>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</si>
  <si>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</si>
  <si>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</si>
  <si>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</si>
  <si>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</si>
  <si>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</si>
  <si>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</si>
  <si>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</si>
  <si>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</si>
  <si>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</si>
  <si>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</si>
  <si>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</si>
  <si>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</si>
  <si>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</si>
  <si>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</si>
  <si>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</si>
  <si>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</si>
  <si>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</si>
  <si>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</si>
  <si>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</si>
  <si>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</si>
  <si>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</si>
  <si>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</si>
  <si>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</si>
  <si>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</si>
  <si>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</si>
  <si>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</si>
  <si>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</si>
  <si>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</si>
  <si>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</si>
  <si>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</si>
  <si>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</si>
  <si>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</si>
  <si>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</si>
  <si>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</si>
  <si>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</si>
  <si>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</si>
  <si>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</si>
  <si>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</si>
  <si>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</si>
  <si>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</si>
  <si>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</si>
  <si>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</si>
  <si>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</si>
  <si>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</si>
  <si>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</si>
  <si>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</si>
  <si>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</si>
  <si>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</si>
  <si>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</si>
  <si>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</si>
  <si>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</si>
  <si>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</si>
  <si>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</si>
  <si>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</si>
  <si>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</si>
  <si>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</si>
  <si>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</si>
  <si>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</si>
  <si>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</si>
  <si>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</si>
  <si>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</si>
  <si>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</si>
  <si>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</si>
  <si>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</si>
  <si>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</si>
  <si>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</si>
  <si>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</si>
  <si>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</si>
  <si>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</si>
  <si>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</si>
  <si>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</si>
  <si>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</si>
  <si>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</si>
  <si>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</si>
  <si>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</si>
  <si>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</si>
  <si>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</si>
  <si>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</si>
  <si>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</si>
  <si>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</si>
  <si>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</si>
  <si>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</si>
  <si>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</si>
  <si>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</si>
  <si>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</si>
  <si>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</si>
  <si>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</si>
  <si>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</si>
  <si>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</si>
  <si>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</si>
  <si>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</si>
  <si>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</si>
  <si>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</si>
  <si>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</si>
  <si>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</si>
  <si>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</si>
  <si>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</si>
  <si>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</si>
  <si>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</si>
  <si>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</si>
  <si>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</si>
  <si>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</si>
  <si>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</si>
  <si>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</si>
  <si>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</si>
  <si>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</si>
  <si>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</si>
  <si>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</si>
  <si>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</si>
  <si>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</si>
  <si>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</si>
  <si>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</si>
  <si>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</si>
  <si>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</si>
  <si>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</si>
  <si>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</si>
  <si>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</si>
  <si>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</si>
  <si>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</si>
  <si>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</si>
  <si>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</si>
  <si>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</si>
  <si>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</si>
  <si>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</si>
  <si>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</si>
  <si>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</si>
  <si>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</si>
  <si>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</si>
  <si>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</si>
  <si>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</si>
  <si>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</si>
  <si>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</si>
  <si>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</si>
  <si>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</si>
  <si>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</si>
  <si>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</si>
  <si>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</si>
  <si>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</si>
  <si>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</si>
  <si>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</si>
  <si>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</si>
  <si>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</si>
  <si>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</si>
  <si>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</si>
  <si>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</si>
  <si>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</si>
  <si>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</si>
  <si>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</si>
  <si>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</si>
  <si>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</si>
  <si>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</si>
  <si>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</si>
  <si>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</si>
  <si>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</si>
  <si>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</si>
  <si>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</si>
  <si>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</si>
  <si>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</si>
  <si>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</si>
  <si>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</si>
  <si>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</si>
  <si>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</si>
  <si>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</si>
  <si>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</si>
  <si>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</si>
  <si>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</si>
  <si>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</si>
  <si>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</si>
  <si>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</si>
  <si>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</si>
  <si>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</si>
  <si>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</si>
  <si>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</si>
  <si>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</si>
  <si>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</si>
  <si>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</si>
  <si>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</si>
  <si>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</si>
  <si>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</si>
  <si>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</si>
  <si>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</si>
  <si>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</si>
  <si>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</si>
  <si>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</si>
  <si>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</si>
  <si>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</si>
  <si>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</si>
  <si>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</si>
  <si>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</si>
  <si>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</si>
  <si>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</si>
  <si>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</si>
  <si>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</si>
  <si>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</si>
  <si>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</si>
  <si>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</si>
  <si>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</si>
  <si>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</si>
  <si>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</si>
  <si>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</si>
  <si>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</si>
  <si>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</si>
  <si>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</si>
  <si>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</si>
  <si>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</si>
  <si>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</si>
  <si>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</si>
  <si>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</si>
  <si>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</si>
  <si>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</si>
  <si>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</si>
  <si>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</si>
  <si>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</si>
  <si>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</si>
  <si>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</si>
  <si>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</si>
  <si>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</si>
  <si>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</si>
  <si>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</si>
  <si>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</si>
  <si>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</si>
  <si>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</si>
  <si>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</si>
  <si>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</si>
  <si>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</si>
  <si>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</si>
  <si>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</si>
  <si>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</si>
  <si>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</si>
  <si>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</si>
  <si>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</si>
  <si>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</si>
  <si>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</si>
  <si>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</si>
  <si>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</si>
  <si>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</si>
  <si>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</si>
  <si>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</si>
  <si>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</si>
  <si>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</si>
  <si>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</si>
  <si>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</si>
  <si>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</si>
  <si>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</si>
  <si>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</si>
  <si>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</si>
  <si>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</si>
  <si>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</si>
  <si>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</si>
  <si>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</si>
  <si>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</si>
  <si>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</si>
  <si>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</si>
  <si>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</si>
  <si>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</si>
  <si>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</si>
  <si>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</si>
  <si>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</si>
  <si>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</si>
  <si>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</si>
  <si>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</si>
  <si>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</si>
  <si>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</si>
  <si>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</si>
  <si>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</si>
  <si>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</si>
  <si>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</si>
  <si>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</si>
  <si>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</si>
  <si>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</si>
  <si>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</si>
  <si>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</si>
  <si>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</si>
  <si>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</si>
  <si>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</si>
  <si>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</si>
  <si>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</si>
  <si>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</si>
  <si>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</si>
  <si>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</si>
  <si>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</si>
  <si>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</si>
  <si>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</si>
  <si>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</si>
  <si>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</si>
  <si>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</si>
  <si>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</si>
  <si>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</si>
  <si>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</si>
  <si>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</si>
  <si>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</si>
  <si>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</si>
  <si>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</si>
  <si>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</si>
  <si>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</si>
  <si>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</si>
  <si>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</si>
  <si>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</si>
  <si>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</si>
  <si>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</si>
  <si>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</si>
  <si>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</si>
  <si>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</si>
  <si>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</si>
  <si>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</si>
  <si>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</si>
  <si>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</si>
  <si>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</si>
  <si>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</si>
  <si>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</si>
  <si>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</si>
  <si>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</si>
  <si>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</si>
  <si>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</si>
  <si>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</si>
  <si>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</si>
  <si>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</si>
  <si>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</si>
  <si>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</si>
  <si>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</si>
  <si>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</si>
  <si>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</si>
  <si>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</si>
  <si>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</si>
  <si>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</si>
  <si>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</si>
  <si>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</si>
  <si>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</si>
  <si>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</si>
  <si>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</si>
  <si>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</si>
  <si>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</si>
  <si>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</si>
  <si>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</si>
  <si>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</si>
  <si>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</si>
  <si>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</si>
  <si>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</si>
  <si>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</si>
  <si>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</si>
  <si>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</si>
  <si>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</si>
  <si>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</si>
  <si>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</si>
  <si>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</si>
  <si>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</si>
  <si>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</si>
  <si>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</si>
  <si>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</si>
  <si>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</si>
  <si>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</si>
  <si>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</si>
  <si>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</si>
  <si>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</si>
  <si>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</si>
  <si>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</si>
  <si>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</si>
  <si>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</si>
  <si>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</si>
  <si>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</si>
  <si>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</si>
  <si>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</si>
  <si>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</si>
  <si>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</si>
  <si>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</si>
  <si>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</si>
  <si>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</si>
  <si>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</si>
  <si>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</si>
  <si>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</si>
  <si>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</si>
  <si>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</si>
  <si>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</si>
  <si>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</si>
  <si>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</si>
  <si>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</si>
  <si>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</si>
  <si>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</si>
  <si>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</si>
  <si>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</si>
  <si>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</si>
  <si>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</si>
  <si>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</si>
  <si>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</si>
  <si>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</si>
  <si>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</si>
  <si>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</si>
  <si>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</si>
  <si>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</si>
  <si>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</si>
  <si>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</si>
  <si>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</si>
  <si>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</si>
  <si>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</si>
  <si>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</si>
  <si>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</si>
  <si>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</si>
  <si>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</si>
  <si>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</si>
  <si>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</si>
  <si>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</si>
  <si>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</si>
  <si>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</si>
  <si>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</si>
  <si>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</si>
  <si>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</si>
  <si>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</si>
  <si>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</si>
  <si>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</si>
  <si>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</si>
  <si>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</si>
  <si>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</si>
  <si>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</si>
  <si>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</si>
  <si>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</si>
  <si>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</si>
  <si>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</si>
  <si>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</si>
  <si>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</si>
  <si>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</si>
  <si>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</si>
  <si>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</si>
  <si>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</si>
  <si>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</si>
  <si>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</si>
  <si>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</si>
  <si>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</si>
  <si>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</si>
  <si>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</si>
  <si>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</si>
  <si>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</si>
  <si>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</si>
  <si>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</si>
  <si>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</si>
  <si>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</si>
  <si>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</si>
  <si>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</si>
  <si>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</si>
  <si>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</si>
  <si>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</si>
  <si>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</si>
  <si>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</si>
  <si>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</si>
  <si>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</si>
  <si>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</si>
  <si>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</si>
  <si>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</si>
  <si>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</si>
  <si>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</si>
  <si>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</si>
  <si>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</si>
  <si>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</si>
  <si>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</si>
  <si>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</si>
  <si>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</si>
  <si>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</si>
  <si>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</si>
  <si>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</si>
  <si>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</si>
  <si>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</si>
  <si>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</si>
  <si>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</si>
  <si>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</si>
  <si>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</si>
  <si>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</si>
  <si>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</si>
  <si>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</si>
  <si>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</si>
  <si>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</si>
  <si>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</si>
  <si>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</si>
  <si>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</si>
  <si>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</si>
  <si>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</si>
  <si>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</si>
  <si>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</si>
  <si>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</si>
  <si>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</si>
  <si>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</si>
  <si>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</si>
  <si>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</si>
  <si>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</si>
  <si>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</si>
  <si>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</si>
  <si>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</si>
  <si>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</si>
  <si>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</si>
  <si>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</si>
  <si>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</si>
  <si>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</si>
  <si>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</si>
  <si>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</si>
  <si>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</si>
  <si>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</si>
  <si>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</si>
  <si>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</si>
  <si>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</si>
  <si>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</si>
  <si>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</si>
  <si>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</si>
  <si>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</si>
  <si>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</si>
  <si>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</si>
  <si>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</si>
  <si>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</si>
  <si>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</si>
  <si>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</si>
  <si>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</si>
  <si>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</si>
  <si>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</si>
  <si>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</si>
  <si>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</si>
  <si>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</si>
  <si>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</si>
  <si>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</si>
  <si>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</si>
  <si>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</si>
  <si>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</si>
  <si>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</si>
  <si>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</si>
  <si>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</si>
  <si>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</si>
  <si>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</si>
  <si>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</si>
  <si>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</si>
  <si>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</si>
  <si>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</si>
  <si>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</si>
  <si>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</si>
  <si>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</si>
  <si>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</si>
  <si>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</si>
  <si>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</si>
  <si>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</si>
  <si>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</si>
  <si>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</si>
  <si>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</si>
  <si>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</si>
  <si>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</si>
  <si>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</si>
  <si>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</si>
  <si>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</si>
  <si>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</si>
  <si>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</si>
  <si>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</si>
  <si>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</si>
  <si>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</si>
  <si>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</si>
  <si>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</si>
  <si>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</si>
  <si>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</si>
  <si>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</si>
  <si>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</si>
  <si>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</si>
  <si>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</si>
  <si>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</si>
  <si>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</si>
  <si>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</si>
  <si>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</si>
  <si>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</si>
  <si>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</si>
  <si>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</si>
  <si>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</si>
  <si>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</si>
  <si>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</si>
  <si>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</si>
  <si>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</si>
  <si>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</si>
  <si>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</si>
  <si>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</si>
  <si>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</si>
  <si>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</si>
  <si>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</si>
  <si>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</si>
  <si>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</si>
  <si>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</si>
  <si>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</si>
  <si>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</si>
  <si>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</si>
  <si>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</si>
  <si>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</si>
  <si>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</si>
  <si>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</si>
  <si>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</si>
  <si>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</si>
  <si>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</si>
  <si>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</si>
  <si>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</si>
  <si>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</si>
  <si>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</si>
  <si>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</si>
  <si>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</si>
  <si>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</si>
  <si>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</si>
  <si>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</si>
  <si>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</si>
  <si>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</si>
  <si>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</si>
  <si>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</si>
  <si>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</si>
  <si>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</si>
  <si>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</si>
  <si>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</si>
  <si>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</si>
  <si>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</si>
  <si>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</si>
  <si>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</si>
  <si>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</si>
  <si>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</si>
  <si>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</si>
  <si>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</si>
  <si>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</si>
  <si>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</si>
  <si>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</si>
  <si>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</si>
  <si>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</si>
  <si>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</si>
  <si>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</si>
  <si>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</si>
  <si>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</si>
  <si>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</si>
  <si>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</si>
  <si>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</si>
  <si>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</si>
  <si>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</si>
  <si>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</si>
  <si>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</si>
  <si>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</si>
  <si>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</si>
  <si>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</si>
  <si>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</si>
  <si>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</si>
  <si>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</si>
  <si>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</si>
  <si>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</si>
  <si>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</si>
  <si>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</si>
  <si>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</si>
  <si>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</si>
  <si>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</si>
  <si>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</si>
  <si>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</si>
  <si>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</si>
  <si>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</si>
  <si>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</si>
  <si>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</si>
  <si>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</si>
  <si>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</si>
  <si>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</si>
  <si>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</si>
  <si>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</si>
  <si>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</si>
  <si>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</si>
  <si>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</si>
  <si>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</si>
  <si>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</si>
  <si>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</si>
  <si>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</si>
  <si>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</si>
  <si>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</si>
  <si>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</si>
  <si>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</si>
  <si>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</si>
  <si>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</si>
  <si>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</si>
  <si>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</si>
  <si>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</si>
  <si>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</si>
  <si>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</si>
  <si>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</si>
  <si>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</si>
  <si>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</si>
  <si>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</si>
  <si>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</si>
  <si>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</si>
  <si>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</si>
  <si>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</si>
  <si>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</si>
  <si>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</si>
  <si>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</si>
  <si>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</si>
  <si>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</si>
  <si>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</si>
  <si>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</si>
  <si>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</si>
  <si>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</si>
  <si>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</si>
  <si>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</si>
  <si>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</si>
  <si>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</si>
  <si>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</si>
  <si>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</si>
  <si>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</si>
  <si>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</si>
  <si>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</si>
  <si>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</si>
  <si>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</si>
  <si>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</si>
  <si>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</si>
  <si>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</si>
  <si>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</si>
  <si>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</si>
  <si>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</si>
  <si>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</si>
  <si>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</si>
  <si>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</si>
  <si>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</si>
  <si>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</si>
  <si>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</si>
  <si>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</si>
  <si>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</si>
  <si>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</si>
  <si>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</si>
  <si>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</si>
  <si>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</si>
  <si>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</si>
  <si>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</si>
  <si>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</si>
  <si>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</si>
  <si>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</si>
  <si>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</si>
  <si>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</si>
  <si>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</si>
  <si>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</si>
  <si>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</si>
  <si>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</si>
  <si>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</si>
  <si>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</si>
  <si>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</si>
  <si>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</si>
  <si>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</si>
  <si>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</si>
  <si>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</si>
  <si>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</si>
  <si>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</si>
  <si>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</si>
  <si>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</si>
  <si>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</si>
  <si>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</si>
  <si>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</si>
  <si>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</si>
  <si>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</si>
  <si>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</si>
  <si>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</si>
  <si>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</si>
  <si>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</si>
  <si>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</si>
  <si>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</si>
  <si>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</si>
  <si>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</si>
  <si>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</si>
  <si>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</si>
  <si>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</si>
  <si>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</si>
  <si>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</si>
  <si>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</si>
  <si>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</si>
  <si>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</si>
  <si>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</si>
  <si>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</si>
  <si>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</si>
  <si>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</si>
  <si>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</si>
  <si>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</si>
  <si>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</si>
  <si>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</si>
  <si>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</si>
  <si>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</si>
  <si>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</si>
  <si>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</si>
  <si>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</si>
  <si>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</si>
  <si>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</si>
  <si>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</si>
  <si>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</si>
  <si>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</si>
  <si>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</si>
  <si>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</si>
  <si>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</si>
  <si>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</si>
  <si>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</si>
  <si>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</si>
  <si>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</si>
  <si>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</si>
  <si>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</si>
  <si>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</si>
  <si>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</si>
  <si>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</si>
  <si>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</si>
  <si>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</si>
  <si>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</si>
  <si>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</si>
  <si>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</si>
  <si>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</si>
  <si>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</si>
  <si>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</si>
  <si>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</si>
  <si>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</si>
  <si>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</si>
  <si>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</si>
  <si>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</si>
  <si>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</si>
  <si>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</si>
  <si>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</si>
  <si>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</si>
  <si>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</si>
  <si>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</si>
  <si>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</si>
  <si>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</si>
  <si>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</si>
  <si>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</si>
  <si>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</si>
  <si>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</si>
  <si>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</si>
  <si>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</si>
  <si>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</si>
  <si>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</si>
  <si>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</si>
  <si>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</si>
  <si>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</si>
  <si>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</si>
  <si>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</si>
  <si>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</si>
  <si>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</si>
  <si>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</si>
  <si>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</si>
  <si>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</si>
  <si>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</si>
  <si>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</si>
  <si>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</si>
  <si>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</si>
  <si>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</si>
  <si>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</si>
  <si>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</si>
  <si>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</si>
  <si>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</si>
  <si>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</si>
  <si>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</si>
  <si>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</si>
  <si>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</si>
  <si>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</si>
  <si>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</si>
  <si>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</si>
  <si>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</si>
  <si>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</si>
  <si>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</si>
  <si>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</si>
  <si>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</si>
  <si>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</si>
  <si>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</si>
  <si>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</si>
  <si>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</si>
  <si>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</si>
  <si>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</si>
  <si>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</si>
  <si>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</si>
  <si>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</si>
  <si>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</si>
  <si>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</si>
  <si>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</si>
  <si>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</si>
  <si>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</si>
  <si>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</si>
  <si>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</si>
  <si>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</si>
  <si>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</si>
  <si>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</si>
  <si>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</si>
  <si>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</si>
  <si>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</si>
  <si>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</si>
  <si>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</si>
  <si>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</si>
  <si>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</si>
  <si>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</si>
  <si>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</si>
  <si>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</si>
  <si>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</si>
  <si>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</si>
  <si>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</si>
  <si>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</si>
  <si>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</si>
  <si>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</si>
  <si>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</si>
  <si>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</si>
  <si>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</si>
  <si>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</si>
  <si>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</si>
  <si>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</si>
  <si>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</si>
  <si>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</si>
  <si>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</si>
  <si>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</si>
  <si>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</si>
  <si>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</si>
  <si>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</si>
  <si>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</si>
  <si>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</si>
  <si>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</si>
  <si>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</si>
  <si>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</si>
  <si>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</si>
  <si>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</si>
  <si>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</si>
  <si>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</si>
  <si>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</si>
  <si>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</si>
  <si>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</si>
  <si>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</si>
  <si>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</si>
  <si>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</si>
  <si>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</si>
  <si>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</si>
  <si>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</si>
  <si>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</si>
  <si>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</si>
  <si>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</si>
  <si>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</si>
  <si>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</si>
  <si>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</si>
  <si>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</si>
  <si>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</si>
  <si>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</si>
  <si>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</si>
  <si>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</si>
  <si>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</si>
  <si>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</si>
  <si>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</si>
  <si>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</si>
  <si>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</si>
  <si>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</si>
  <si>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</si>
  <si>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</si>
  <si>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</si>
  <si>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</si>
  <si>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</si>
  <si>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</si>
  <si>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</si>
  <si>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</si>
  <si>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</si>
  <si>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</si>
  <si>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</si>
  <si>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</si>
  <si>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</si>
  <si>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</si>
  <si>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</si>
  <si>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</si>
  <si>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</si>
  <si>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</si>
  <si>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</si>
  <si>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</si>
  <si>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</si>
  <si>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</si>
  <si>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</si>
  <si>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</si>
  <si>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</si>
  <si>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</si>
  <si>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</si>
  <si>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</si>
  <si>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</si>
  <si>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</si>
  <si>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</si>
  <si>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</si>
  <si>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</si>
  <si>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</si>
  <si>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</si>
  <si>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</si>
  <si>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</si>
  <si>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</si>
  <si>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</si>
  <si>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</si>
  <si>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</si>
  <si>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</si>
  <si>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</si>
  <si>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</si>
  <si>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</si>
  <si>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</si>
  <si>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</si>
  <si>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</si>
  <si>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</si>
  <si>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</si>
  <si>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</si>
  <si>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</si>
  <si>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</si>
  <si>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</si>
  <si>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</si>
  <si>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</si>
  <si>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</si>
  <si>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</si>
  <si>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</si>
  <si>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</si>
  <si>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</si>
  <si>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</si>
  <si>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</si>
  <si>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</si>
  <si>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</si>
  <si>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</si>
  <si>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</si>
  <si>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</si>
  <si>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</si>
  <si>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</si>
  <si>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</si>
  <si>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</si>
  <si>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</si>
  <si>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</si>
  <si>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</si>
  <si>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</si>
  <si>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</si>
  <si>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</si>
  <si>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</si>
  <si>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</si>
  <si>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</si>
  <si>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</si>
  <si>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</si>
  <si>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</si>
  <si>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</si>
  <si>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</si>
  <si>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</si>
  <si>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</si>
  <si>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</si>
  <si>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</si>
  <si>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</si>
  <si>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</si>
  <si>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</si>
  <si>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</si>
  <si>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</si>
  <si>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</si>
  <si>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</si>
  <si>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</si>
  <si>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</si>
  <si>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</si>
  <si>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</si>
  <si>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</si>
  <si>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</si>
  <si>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</si>
  <si>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</si>
  <si>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</si>
  <si>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</si>
  <si>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</si>
  <si>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</si>
  <si>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</si>
  <si>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</si>
  <si>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</si>
  <si>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</si>
  <si>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</si>
  <si>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</si>
  <si>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</si>
  <si>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</si>
  <si>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</si>
  <si>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</si>
  <si>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</si>
  <si>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</si>
  <si>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</si>
  <si>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</si>
  <si>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</si>
  <si>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</si>
  <si>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</si>
  <si>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</si>
  <si>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</si>
  <si>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</si>
  <si>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</si>
  <si>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</si>
  <si>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</si>
  <si>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</si>
  <si>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</si>
  <si>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</si>
  <si>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</si>
  <si>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</si>
  <si>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</si>
  <si>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</si>
  <si>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</si>
  <si>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</si>
  <si>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</si>
  <si>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</si>
  <si>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</si>
  <si>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</si>
  <si>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</si>
  <si>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</si>
  <si>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</si>
  <si>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</si>
  <si>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</si>
  <si>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</si>
  <si>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</si>
  <si>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</si>
  <si>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</si>
  <si>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</si>
  <si>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</si>
  <si>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</si>
  <si>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</si>
  <si>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</si>
  <si>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</si>
  <si>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</si>
  <si>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</si>
  <si>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</si>
  <si>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</si>
  <si>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</si>
  <si>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</si>
  <si>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</si>
  <si>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</si>
  <si>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</si>
  <si>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</si>
  <si>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</si>
  <si>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</si>
  <si>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</si>
  <si>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</si>
  <si>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</si>
  <si>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</si>
  <si>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</si>
  <si>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</si>
  <si>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</si>
  <si>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</si>
  <si>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</si>
  <si>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</si>
  <si>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</si>
  <si>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</si>
  <si>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</si>
  <si>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</si>
  <si>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</si>
  <si>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</si>
  <si>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</si>
  <si>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</si>
  <si>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</si>
  <si>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</si>
  <si>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</si>
  <si>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</si>
  <si>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</si>
  <si>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</si>
  <si>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</si>
  <si>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</si>
  <si>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</si>
  <si>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</si>
  <si>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</si>
  <si>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</si>
  <si>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</si>
  <si>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</si>
  <si>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</si>
  <si>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</si>
  <si>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</si>
  <si>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</si>
  <si>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</si>
  <si>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</si>
  <si>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</si>
  <si>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</si>
  <si>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</si>
  <si>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</si>
  <si>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</si>
  <si>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</si>
  <si>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</si>
  <si>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</si>
  <si>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</si>
  <si>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</si>
  <si>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</si>
  <si>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</si>
  <si>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</si>
  <si>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</si>
  <si>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</si>
  <si>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</si>
  <si>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</si>
  <si>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</si>
  <si>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</si>
  <si>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</si>
  <si>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</si>
  <si>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</si>
  <si>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</si>
  <si>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</si>
  <si>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</si>
  <si>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</si>
  <si>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</si>
  <si>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</si>
  <si>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</si>
  <si>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</si>
  <si>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</si>
  <si>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</si>
  <si>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</si>
  <si>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</si>
  <si>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</si>
  <si>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</si>
  <si>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</si>
  <si>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</si>
  <si>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</si>
  <si>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</si>
  <si>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</si>
  <si>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</si>
  <si>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</si>
  <si>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</si>
  <si>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</si>
  <si>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</si>
  <si>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</si>
  <si>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</si>
  <si>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</si>
  <si>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</si>
  <si>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</si>
  <si>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</si>
  <si>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</si>
  <si>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</si>
  <si>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</si>
  <si>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</si>
  <si>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</si>
  <si>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</si>
  <si>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</si>
  <si>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</si>
  <si>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</si>
  <si>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</si>
  <si>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</si>
  <si>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</si>
  <si>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</si>
  <si>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</si>
  <si>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</si>
  <si>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</si>
  <si>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</si>
  <si>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</si>
  <si>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</si>
  <si>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</si>
  <si>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</si>
  <si>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</si>
  <si>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</si>
  <si>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</si>
  <si>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</si>
  <si>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</si>
  <si>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</si>
  <si>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</si>
  <si>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</si>
  <si>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</si>
  <si>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</si>
  <si>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</si>
  <si>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</si>
  <si>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</si>
  <si>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</si>
  <si>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</si>
  <si>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</si>
  <si>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</si>
  <si>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</si>
  <si>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</si>
  <si>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</si>
  <si>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</si>
  <si>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</si>
  <si>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</si>
  <si>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</si>
  <si>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2020-1-0129</t>
    <phoneticPr fontId="6" type="noConversion"/>
  </si>
  <si>
    <t>吴薇</t>
  </si>
  <si>
    <t>郑燚</t>
  </si>
  <si>
    <t>出让</t>
  </si>
  <si>
    <t>企业</t>
  </si>
  <si>
    <t>北京市</t>
  </si>
  <si>
    <t>房地产抵押价值</t>
  </si>
  <si>
    <t>抵押</t>
  </si>
  <si>
    <t xml:space="preserve"> 北京东部绿城置业有限公司</t>
    <phoneticPr fontId="6" type="noConversion"/>
  </si>
  <si>
    <t>建设银行北京城建支行</t>
    <phoneticPr fontId="6" type="noConversion"/>
  </si>
  <si>
    <r>
      <rPr>
        <sz val="12"/>
        <color theme="9" tint="-0.249977111117893"/>
        <rFont val="宋体"/>
        <family val="3"/>
        <charset val="134"/>
      </rPr>
      <t>通州区新华东街</t>
    </r>
    <r>
      <rPr>
        <sz val="12"/>
        <color theme="9" tint="-0.249977111117893"/>
        <rFont val="Arial"/>
        <family val="2"/>
      </rPr>
      <t>289</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phoneticPr fontId="6" type="noConversion"/>
  </si>
  <si>
    <t>是</t>
  </si>
  <si>
    <t>复印件</t>
  </si>
  <si>
    <t>商业项目</t>
  </si>
  <si>
    <t>现房</t>
  </si>
  <si>
    <t>Ⅵ-通1</t>
  </si>
  <si>
    <t>测绘报告</t>
    <phoneticPr fontId="3" type="noConversion"/>
  </si>
  <si>
    <t>地上</t>
  </si>
  <si>
    <t>酒店</t>
  </si>
  <si>
    <t>北京通州希尔顿酒店各楼层面积、空间属性一览表</t>
    <phoneticPr fontId="255" type="noConversion"/>
  </si>
  <si>
    <t>序号</t>
    <phoneticPr fontId="255" type="noConversion"/>
  </si>
  <si>
    <t>楼层</t>
    <phoneticPr fontId="255" type="noConversion"/>
  </si>
  <si>
    <t>建筑面积（㎡）</t>
    <phoneticPr fontId="255" type="noConversion"/>
  </si>
  <si>
    <t>使用空间属性</t>
    <phoneticPr fontId="255" type="noConversion"/>
  </si>
  <si>
    <t>备注</t>
    <phoneticPr fontId="255" type="noConversion"/>
  </si>
  <si>
    <t>建筑面积</t>
    <phoneticPr fontId="255" type="noConversion"/>
  </si>
  <si>
    <t>B1</t>
    <phoneticPr fontId="255" type="noConversion"/>
  </si>
  <si>
    <t>大宴会厅、宴会厅前厅、宴会销售部、多功能厅、多功能厅前厅、会议室、董事长会议室、贵宾房、新娘房、衣帽寄存间、公共卫生间、厨房及服务区域、通道区域、设备用房</t>
    <phoneticPr fontId="255" type="noConversion"/>
  </si>
  <si>
    <t>酒店公共区域</t>
    <phoneticPr fontId="255" type="noConversion"/>
  </si>
  <si>
    <t>M</t>
    <phoneticPr fontId="255" type="noConversion"/>
  </si>
  <si>
    <t>2602（一区）</t>
    <phoneticPr fontId="255" type="noConversion"/>
  </si>
  <si>
    <t>员工宿舍、员工餐厅、员工休息室、对内厨房、内部办公区域及维修间、各类库房、高温冷库、花房、污衣收集间、预洗间、通道区域、卸料平台、设备用房</t>
    <phoneticPr fontId="255" type="noConversion"/>
  </si>
  <si>
    <t>后勤区域</t>
    <phoneticPr fontId="255" type="noConversion"/>
  </si>
  <si>
    <t>2075（二区）</t>
    <phoneticPr fontId="255" type="noConversion"/>
  </si>
  <si>
    <t>员工宿舍、更衣室及淋浴房及卫生间、内部办公区域及培训室、员工制服发放室、值班室、布草间、污布草间、洗衣房、各类仓库、通道区域、设备用房</t>
    <phoneticPr fontId="255" type="noConversion"/>
  </si>
  <si>
    <t>大堂、特色餐厅、宴会厅前厅、宴会会议室、寄存室、名品商店、公共卫生间、内部办公区域、厨房及服务区域、通道区域、设备用房</t>
    <phoneticPr fontId="255" type="noConversion"/>
  </si>
  <si>
    <t>全日式餐厅、休息区、公共卫生间、厨房及服务区域、通道区域、设备用房</t>
    <phoneticPr fontId="255" type="noConversion"/>
  </si>
  <si>
    <t>室内泳池、更衣室及淋浴房及卫生间、桑拿房、湿蒸房、儿童会所、健身房、瑜伽房、服务区域、通道区域、设备用房</t>
    <phoneticPr fontId="255" type="noConversion"/>
  </si>
  <si>
    <t>中餐包房（带备餐间及卫生间）、中餐大包房（带备餐间及卫生间）、中餐散座区域（带卫生间）、厨房及服务区域、通道区域、设备用房</t>
    <phoneticPr fontId="255" type="noConversion"/>
  </si>
  <si>
    <t>5~12</t>
    <phoneticPr fontId="255" type="noConversion"/>
  </si>
  <si>
    <t>/</t>
    <phoneticPr fontId="255" type="noConversion"/>
  </si>
  <si>
    <t>非酒店区域</t>
    <phoneticPr fontId="255" type="noConversion"/>
  </si>
  <si>
    <t>大床房、双床房、连通房、转角房、普通套房、总经理公寓、服务区域、通道、设备用房</t>
    <phoneticPr fontId="255" type="noConversion"/>
  </si>
  <si>
    <t>酒店客房楼层</t>
    <phoneticPr fontId="255" type="noConversion"/>
  </si>
  <si>
    <t>15~16</t>
    <phoneticPr fontId="255" type="noConversion"/>
  </si>
  <si>
    <t>大床房、双床房、转角房、连通房、残疾人房、普通套房、服务区域、通道区域、设备用房</t>
    <phoneticPr fontId="255" type="noConversion"/>
  </si>
  <si>
    <t>17~24</t>
    <phoneticPr fontId="255" type="noConversion"/>
  </si>
  <si>
    <t>大床房、双床房、转角房、连通房、普通套房、服务区域、通道区域、设备用房</t>
    <phoneticPr fontId="255" type="noConversion"/>
  </si>
  <si>
    <t>酒店客房楼层</t>
    <phoneticPr fontId="255" type="noConversion"/>
  </si>
  <si>
    <t>25~27</t>
    <phoneticPr fontId="255" type="noConversion"/>
  </si>
  <si>
    <t>行政大床房、行政双床房、行政转角房、行政套房、服务区域、通道区域、设备用房</t>
    <phoneticPr fontId="255" type="noConversion"/>
  </si>
  <si>
    <t>酒店客房行政楼层</t>
    <phoneticPr fontId="255" type="noConversion"/>
  </si>
  <si>
    <t>行政大床房、行政双床房、行政转角房、行政套房、行政酒廊、服务区域、通道区域、设备用房</t>
    <phoneticPr fontId="255" type="noConversion"/>
  </si>
  <si>
    <t>行政大床房、行政双床房、行政转角房、行政套房、豪华套房、总统套房、服务区域、通道区域、设备用房</t>
    <phoneticPr fontId="255" type="noConversion"/>
  </si>
  <si>
    <t>酒店客房行政楼层</t>
    <phoneticPr fontId="255" type="noConversion"/>
  </si>
  <si>
    <t>酒店</t>
    <phoneticPr fontId="7" type="noConversion"/>
  </si>
  <si>
    <t>成新度</t>
  </si>
  <si>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</si>
  <si>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</si>
  <si>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</si>
  <si>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</si>
  <si>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</si>
  <si>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</si>
  <si>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</si>
  <si>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</si>
  <si>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</si>
  <si>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</si>
  <si>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</si>
  <si>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</si>
  <si>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</si>
  <si>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</si>
  <si>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</si>
  <si>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</si>
  <si>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</si>
  <si>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</si>
  <si>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</si>
  <si>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</si>
  <si>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</si>
  <si>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</si>
  <si>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</si>
  <si>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</si>
  <si>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</si>
  <si>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</si>
  <si>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</si>
  <si>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</si>
  <si>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</si>
  <si>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</si>
  <si>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</si>
  <si>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</si>
  <si>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</si>
  <si>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</si>
  <si>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</si>
  <si>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</si>
  <si>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</si>
  <si>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</si>
  <si>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</si>
  <si>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</si>
  <si>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</si>
  <si>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</si>
  <si>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</si>
  <si>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</si>
  <si>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</si>
  <si>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</si>
  <si>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</si>
  <si>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</si>
  <si>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</si>
  <si>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</si>
  <si>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</si>
  <si>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</si>
  <si>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</si>
  <si>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</si>
  <si>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</si>
  <si>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</si>
  <si>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</si>
  <si>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</si>
  <si>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</si>
  <si>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</si>
  <si>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</si>
  <si>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</si>
  <si>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</si>
  <si>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北京市通州区潞城镇FZX-0901-0162地块F3其他类多功能用地</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</si>
  <si>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</si>
  <si>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</si>
  <si>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</si>
  <si>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</si>
  <si>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</si>
  <si>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</si>
  <si>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</si>
  <si>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</si>
  <si>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</si>
  <si>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</si>
  <si>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</si>
  <si>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</si>
  <si>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</si>
  <si>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</si>
  <si>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</si>
  <si>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</si>
  <si>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</si>
  <si>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</si>
  <si>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</si>
  <si>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</si>
  <si>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</si>
  <si>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</si>
  <si>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</si>
  <si>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</si>
  <si>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</si>
  <si>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</si>
  <si>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</si>
  <si>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</si>
  <si>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</si>
  <si>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</si>
  <si>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</si>
  <si>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</si>
  <si>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通州区</t>
  </si>
  <si>
    <t>通州区潞城镇</t>
  </si>
  <si>
    <t>京土整储挂(通)[2019]029号</t>
  </si>
  <si>
    <t>F3其他类多功能用地</t>
  </si>
  <si>
    <t>≤2.5</t>
  </si>
  <si>
    <t>≤45%</t>
  </si>
  <si>
    <t>≤36米(局部40)</t>
  </si>
  <si>
    <t>未开工</t>
  </si>
  <si>
    <t>2019-08-30</t>
  </si>
  <si>
    <t>2019-09-29</t>
  </si>
  <si>
    <t>2019-10-17</t>
  </si>
  <si>
    <t>已成交</t>
  </si>
  <si>
    <t>北京润置商业运营管理有限公司和北京首都开发股份有限公司联合体</t>
  </si>
  <si>
    <t>商业40年办公50年</t>
  </si>
  <si>
    <t>5星</t>
  </si>
  <si>
    <t>北京通州物流基地内</t>
  </si>
  <si>
    <t>京土整储挂(通)[2017]033号</t>
  </si>
  <si>
    <t>已完工</t>
  </si>
  <si>
    <t>2017-04-06</t>
  </si>
  <si>
    <t>2017-04-27</t>
  </si>
  <si>
    <t>2星</t>
  </si>
  <si>
    <t>通州文化旅游区内</t>
  </si>
  <si>
    <t>京土整储挂(通)[2016]013号</t>
  </si>
  <si>
    <t>F3其他类多功能用地、B31娱乐用地、B4综合性商业金融服务业用地、B14旅馆用地、S41公用停车场用地、S5加油加气站用地、U12供电用地</t>
  </si>
  <si>
    <t>2016-06-03</t>
  </si>
  <si>
    <t>2016-06-23</t>
  </si>
  <si>
    <t>商业40年、办公50年</t>
  </si>
  <si>
    <t>4星</t>
  </si>
  <si>
    <t>通州区宋庄镇</t>
  </si>
  <si>
    <t>京土整储挂(通)[2015]012号</t>
  </si>
  <si>
    <t>F3其它类多功能用地</t>
  </si>
  <si>
    <t>2015-02-13</t>
  </si>
  <si>
    <t>2015-03-10</t>
  </si>
  <si>
    <t>商业40年、综合50年</t>
  </si>
  <si>
    <t>通州区运河核心区五河交汇处东南角</t>
  </si>
  <si>
    <t>京土整储招(通)[2014]092号</t>
  </si>
  <si>
    <t>2014-12-25</t>
  </si>
  <si>
    <t>通州区运河核心区</t>
  </si>
  <si>
    <t>京土整储招(通)[2014]054号</t>
  </si>
  <si>
    <t>2014-07-18</t>
  </si>
  <si>
    <t>2014-08-08</t>
  </si>
  <si>
    <t>京土整储招(通)[2014]056号</t>
  </si>
  <si>
    <t>京土整储招(通)[2014]053号</t>
  </si>
  <si>
    <t>3星</t>
  </si>
  <si>
    <t>京土整储招(通)[2014]055号</t>
  </si>
  <si>
    <t>京土整储招(通)[2014]048号</t>
  </si>
  <si>
    <t>2014-07-11</t>
  </si>
  <si>
    <t>2014-08-01</t>
  </si>
  <si>
    <t>京土整储招(通)[2014]047号</t>
  </si>
  <si>
    <t>京土整储挂(通)[2014]022号</t>
  </si>
  <si>
    <t>2014-02-26</t>
  </si>
  <si>
    <t>2014-04-21</t>
  </si>
  <si>
    <t>京土整储挂(通)[2014]021号</t>
  </si>
  <si>
    <t>京土整储挂(通)[2014]014号</t>
  </si>
  <si>
    <t>2014-02-24</t>
  </si>
  <si>
    <t>2014-03-21</t>
  </si>
  <si>
    <t>京土整储挂(通)[2014]015号</t>
  </si>
  <si>
    <t>朝阳区</t>
  </si>
  <si>
    <t>朝阳区奥林匹克公园中心区</t>
  </si>
  <si>
    <t>京土整储挂(朝)[2018]026号</t>
  </si>
  <si>
    <t>B4综合性商业金融服务业用地、F3其他类多功能用地</t>
  </si>
  <si>
    <t>详见挂牌文件</t>
  </si>
  <si>
    <t>含租赁用地</t>
  </si>
  <si>
    <t>开工中</t>
  </si>
  <si>
    <t>2018-09-30</t>
  </si>
  <si>
    <t>2018-10-22</t>
  </si>
  <si>
    <t>东至规划金盏服务区东二路西红线,南至规划金盏服务区六街北红线,西至规划东高路东红线,北至规划楼梓庄大街南红线</t>
  </si>
  <si>
    <t>京土整储挂(朝)[2017]016号</t>
  </si>
  <si>
    <t>B1商业用地</t>
  </si>
  <si>
    <t>40%</t>
  </si>
  <si>
    <t>60米</t>
  </si>
  <si>
    <t>2017-03-10</t>
  </si>
  <si>
    <t>京土整储挂(平)[2017]016号</t>
  </si>
  <si>
    <t>商业40年*办公50年</t>
  </si>
  <si>
    <t>东至规划2902-73地块,*西至规划孙河组团六号路,南至规划孙河组团十号路,北至规划孙河组团九号路</t>
  </si>
  <si>
    <t>京土整储招(朝)[2017]019号</t>
  </si>
  <si>
    <t>B4综合性商业金融服务业用地</t>
  </si>
  <si>
    <t>2017-03-16</t>
  </si>
  <si>
    <t>2017-04-07</t>
  </si>
  <si>
    <t>朝阳区金盏乡楼梓庄村</t>
  </si>
  <si>
    <t>京土整储挂(朝)[2017]006号</t>
  </si>
  <si>
    <t>2017-02-24</t>
  </si>
  <si>
    <t>京土整储挂(朝)[2017]007号</t>
  </si>
  <si>
    <t>北京经济技术开发区河西区X78C2地块B4综合性商业金融服务业用地</t>
  </si>
  <si>
    <t>大兴区</t>
  </si>
  <si>
    <t>北京经济技术开发区河西区X78C2地块</t>
  </si>
  <si>
    <t>京土整储挂(开)[2019]019号</t>
  </si>
  <si>
    <t>≤2</t>
  </si>
  <si>
    <t>≤40%</t>
  </si>
  <si>
    <t>≤36米</t>
  </si>
  <si>
    <t>2019-07-26</t>
  </si>
  <si>
    <t>2019-08-15</t>
  </si>
  <si>
    <t>2019-08-29</t>
  </si>
  <si>
    <t>北京尚恒锦瑞商业运营管理有限公司</t>
  </si>
  <si>
    <t>办公50年、商业40年</t>
  </si>
  <si>
    <t>北京经济技术开发区南海子郊野公园B片区B-04/*B-06/B-11地块F3其他类多功能用地</t>
  </si>
  <si>
    <t>南海子郊野公园B片区B-04/*B-06/B-11地块</t>
  </si>
  <si>
    <t>京土整储挂(开)[2019]006号</t>
  </si>
  <si>
    <t>b-04、b-06≤1.5,b-11≤2</t>
  </si>
  <si>
    <t/>
  </si>
  <si>
    <t>2019-04-24</t>
  </si>
  <si>
    <t>2019-05-14</t>
  </si>
  <si>
    <t>2019-05-28</t>
  </si>
  <si>
    <t>北京国苑体育文化投资有限责任公司</t>
  </si>
  <si>
    <t>北京经济技术开发区路东区E16街区E16C-3、E16C-5、E16S-1地块</t>
  </si>
  <si>
    <t>京土整储挂(开)[2018]007号</t>
  </si>
  <si>
    <t>B4综合性商业金融服务业用地、S41公用停车场用地</t>
  </si>
  <si>
    <t>2018-05-11</t>
  </si>
  <si>
    <t>2018-05-31</t>
  </si>
  <si>
    <t>2018-06-14</t>
  </si>
  <si>
    <t>北京智方润科房地产开发有限公司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</si>
  <si>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</si>
  <si>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</si>
  <si>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</si>
  <si>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</si>
  <si>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</si>
  <si>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</si>
  <si>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</si>
  <si>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大兴开发区北区1号地DX00-0301-0145地块</t>
  </si>
  <si>
    <t>大兴区黄村镇</t>
  </si>
  <si>
    <t>京土整储挂(兴)[2017]013号</t>
  </si>
  <si>
    <t>2017-03-02</t>
  </si>
  <si>
    <t>2017-03-22</t>
  </si>
  <si>
    <t>北京亚通房地产开发有限责任公司</t>
  </si>
  <si>
    <t>大兴区北臧村生物医药基地DX00-0502-0008地块</t>
  </si>
  <si>
    <t>大兴区北臧村生物医药基地</t>
  </si>
  <si>
    <t>京土整储挂(兴)[2017]008号</t>
  </si>
  <si>
    <t>北京硕日新宇投资有限公司</t>
  </si>
  <si>
    <t>通州希尔顿</t>
    <phoneticPr fontId="3" type="noConversion"/>
  </si>
  <si>
    <t>通州区</t>
    <phoneticPr fontId="31" type="noConversion"/>
  </si>
  <si>
    <t>正常</t>
  </si>
  <si>
    <t>商业用地</t>
  </si>
  <si>
    <t>商业用地</t>
    <phoneticPr fontId="31" type="noConversion"/>
  </si>
  <si>
    <r>
      <t>F3</t>
    </r>
    <r>
      <rPr>
        <sz val="11"/>
        <rFont val="宋体"/>
        <family val="3"/>
        <charset val="134"/>
      </rPr>
      <t>其他多功能用地</t>
    </r>
    <phoneticPr fontId="31" type="noConversion"/>
  </si>
  <si>
    <t>F3其他多功能用地</t>
  </si>
  <si>
    <t>否</t>
  </si>
  <si>
    <t>较好</t>
  </si>
  <si>
    <t>一般</t>
  </si>
  <si>
    <t>七通</t>
  </si>
  <si>
    <t>主干道</t>
    <phoneticPr fontId="3" type="noConversion"/>
  </si>
  <si>
    <t>次干道</t>
    <phoneticPr fontId="3" type="noConversion"/>
  </si>
  <si>
    <t>支路</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</si>
  <si>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</si>
  <si>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</si>
  <si>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</si>
  <si>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</si>
  <si>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</si>
  <si>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</si>
  <si>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</si>
  <si>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</si>
  <si>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七通</t>
    <phoneticPr fontId="31" type="noConversion"/>
  </si>
  <si>
    <t>六通</t>
  </si>
  <si>
    <t>六通</t>
    <phoneticPr fontId="31" type="noConversion"/>
  </si>
  <si>
    <t>五通</t>
    <phoneticPr fontId="31" type="noConversion"/>
  </si>
  <si>
    <t>四通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</si>
  <si>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</si>
  <si>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</si>
  <si>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</si>
  <si>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</si>
  <si>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</si>
  <si>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三通</t>
    <phoneticPr fontId="31" type="noConversion"/>
  </si>
  <si>
    <t>二通</t>
  </si>
  <si>
    <t>二通</t>
    <phoneticPr fontId="31" type="noConversion"/>
  </si>
  <si>
    <t>朝阳区</t>
    <phoneticPr fontId="3" type="noConversion"/>
  </si>
  <si>
    <t>自持情况</t>
    <phoneticPr fontId="31" type="noConversion"/>
  </si>
  <si>
    <t>不自持</t>
    <phoneticPr fontId="31" type="noConversion"/>
  </si>
  <si>
    <t>部分自持</t>
    <phoneticPr fontId="31" type="noConversion"/>
  </si>
  <si>
    <t>全部自持</t>
    <phoneticPr fontId="31" type="noConversion"/>
  </si>
  <si>
    <t>权重</t>
    <phoneticPr fontId="3" type="noConversion"/>
  </si>
  <si>
    <t>全部缴纳</t>
  </si>
  <si>
    <t>已包含在土地取得成本中</t>
  </si>
  <si>
    <t>未包含在土地购买价格中</t>
  </si>
  <si>
    <t>自定义</t>
  </si>
  <si>
    <t>钢混</t>
  </si>
  <si>
    <t>非生产用房</t>
  </si>
  <si>
    <r>
      <t>北京酒店分析2</t>
    </r>
    <r>
      <rPr>
        <sz val="11"/>
        <color theme="1"/>
        <rFont val="宋体"/>
        <family val="3"/>
        <charset val="134"/>
        <scheme val="minor"/>
      </rPr>
      <t>018年1-11月</t>
    </r>
    <phoneticPr fontId="143" type="noConversion"/>
  </si>
  <si>
    <t>通州万达橘子精选</t>
    <phoneticPr fontId="143" type="noConversion"/>
  </si>
  <si>
    <t>平均房价</t>
    <phoneticPr fontId="143" type="noConversion"/>
  </si>
  <si>
    <t>星级</t>
    <phoneticPr fontId="143" type="noConversion"/>
  </si>
  <si>
    <t>三星</t>
    <phoneticPr fontId="143" type="noConversion"/>
  </si>
  <si>
    <t>https://www.askci.com/news/chanye/20190104/1352111139698_2.shtml</t>
    <phoneticPr fontId="143" type="noConversion"/>
  </si>
  <si>
    <t>房山阎村希尔顿欢鹏酒店</t>
    <phoneticPr fontId="143" type="noConversion"/>
  </si>
  <si>
    <t>四星</t>
    <phoneticPr fontId="143" type="noConversion"/>
  </si>
  <si>
    <t>广安门希尔顿逸林酒店</t>
    <phoneticPr fontId="143" type="noConversion"/>
  </si>
  <si>
    <t>北京首都机场希尔顿酒店</t>
    <phoneticPr fontId="14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</si>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</sst>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宋体"/>
      <family val="3"/>
      <charset val="134"/>
      <scheme val="minor"/>
    </font>
    <font>
      <sz val="9"/>
      <name val="宋体"/>
      <family val="2"/>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256" fillId="0" borderId="0" applyNumberForma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254"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58" xfId="0"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01" fillId="0" borderId="0" xfId="0" applyFont="1" applyAlignment="1"/>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6"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99" fillId="0" borderId="0" xfId="0" applyFont="1">
      <alignment vertical="center"/>
    </xf>
    <xf numFmtId="0" fontId="256" fillId="0" borderId="0" xfId="18">
      <alignment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26</xdr:col>
      <xdr:colOff>173700</xdr:colOff>
      <xdr:row>19</xdr:row>
      <xdr:rowOff>130629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42914" y="0"/>
          <a:ext cx="5050500" cy="3820886"/>
        </a:xfrm>
        <a:prstGeom prst="rect">
          <a:avLst/>
        </a:prstGeom>
      </xdr:spPr>
    </xdr:pic>
    <xdr:clientData/>
  </xdr:twoCellAnchor>
  <xdr:twoCellAnchor editAs="oneCell">
    <xdr:from>
      <xdr:col>18</xdr:col>
      <xdr:colOff>0</xdr:colOff>
      <xdr:row>21</xdr:row>
      <xdr:rowOff>0</xdr:rowOff>
    </xdr:from>
    <xdr:to>
      <xdr:col>26</xdr:col>
      <xdr:colOff>199512</xdr:colOff>
      <xdr:row>50</xdr:row>
      <xdr:rowOff>21772</xdr:rowOff>
    </xdr:to>
    <xdr:pic>
      <xdr:nvPicPr>
        <xdr:cNvPr id="3" name="图片 2"/>
        <xdr:cNvPicPr>
          <a:picLocks noChangeAspect="1"/>
        </xdr:cNvPicPr>
      </xdr:nvPicPr>
      <xdr:blipFill>
        <a:blip xmlns:r="http://schemas.openxmlformats.org/officeDocument/2006/relationships" r:embed="rId2"/>
        <a:stretch>
          <a:fillRect/>
        </a:stretch>
      </xdr:blipFill>
      <xdr:spPr>
        <a:xfrm>
          <a:off x="11342914" y="4060371"/>
          <a:ext cx="5076312" cy="4299858"/>
        </a:xfrm>
        <a:prstGeom prst="rect">
          <a:avLst/>
        </a:prstGeom>
      </xdr:spPr>
    </xdr:pic>
    <xdr:clientData/>
  </xdr:twoCellAnchor>
  <xdr:twoCellAnchor editAs="oneCell">
    <xdr:from>
      <xdr:col>8</xdr:col>
      <xdr:colOff>555171</xdr:colOff>
      <xdr:row>17</xdr:row>
      <xdr:rowOff>32657</xdr:rowOff>
    </xdr:from>
    <xdr:to>
      <xdr:col>20</xdr:col>
      <xdr:colOff>556952</xdr:colOff>
      <xdr:row>24</xdr:row>
      <xdr:rowOff>122285</xdr:rowOff>
    </xdr:to>
    <xdr:pic>
      <xdr:nvPicPr>
        <xdr:cNvPr id="4" name="图片 3"/>
        <xdr:cNvPicPr>
          <a:picLocks noChangeAspect="1"/>
        </xdr:cNvPicPr>
      </xdr:nvPicPr>
      <xdr:blipFill>
        <a:blip xmlns:r="http://schemas.openxmlformats.org/officeDocument/2006/relationships" r:embed="rId3"/>
        <a:stretch>
          <a:fillRect/>
        </a:stretch>
      </xdr:blipFill>
      <xdr:spPr>
        <a:xfrm>
          <a:off x="5802085" y="3331028"/>
          <a:ext cx="7523809" cy="1428571"/>
        </a:xfrm>
        <a:prstGeom prst="rect">
          <a:avLst/>
        </a:prstGeom>
      </xdr:spPr>
    </xdr:pic>
    <xdr:clientData/>
  </xdr:twoCellAnchor>
  <xdr:twoCellAnchor editAs="oneCell">
    <xdr:from>
      <xdr:col>9</xdr:col>
      <xdr:colOff>0</xdr:colOff>
      <xdr:row>25</xdr:row>
      <xdr:rowOff>0</xdr:rowOff>
    </xdr:from>
    <xdr:to>
      <xdr:col>21</xdr:col>
      <xdr:colOff>446705</xdr:colOff>
      <xdr:row>42</xdr:row>
      <xdr:rowOff>93082</xdr:rowOff>
    </xdr:to>
    <xdr:pic>
      <xdr:nvPicPr>
        <xdr:cNvPr id="5" name="图片 4"/>
        <xdr:cNvPicPr>
          <a:picLocks noChangeAspect="1"/>
        </xdr:cNvPicPr>
      </xdr:nvPicPr>
      <xdr:blipFill>
        <a:blip xmlns:r="http://schemas.openxmlformats.org/officeDocument/2006/relationships" r:embed="rId4"/>
        <a:stretch>
          <a:fillRect/>
        </a:stretch>
      </xdr:blipFill>
      <xdr:spPr>
        <a:xfrm>
          <a:off x="5859780" y="4792980"/>
          <a:ext cx="7761905" cy="2104762"/>
        </a:xfrm>
        <a:prstGeom prst="rect">
          <a:avLst/>
        </a:prstGeom>
      </xdr:spPr>
    </xdr:pic>
    <xdr:clientData/>
  </xdr:twoCellAnchor>
  <xdr:twoCellAnchor editAs="oneCell">
    <xdr:from>
      <xdr:col>0</xdr:col>
      <xdr:colOff>0</xdr:colOff>
      <xdr:row>41</xdr:row>
      <xdr:rowOff>0</xdr:rowOff>
    </xdr:from>
    <xdr:to>
      <xdr:col>18</xdr:col>
      <xdr:colOff>459163</xdr:colOff>
      <xdr:row>80</xdr:row>
      <xdr:rowOff>1013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21780"/>
          <a:ext cx="12600000" cy="7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26</xdr:col>
      <xdr:colOff>484714</xdr:colOff>
      <xdr:row>58</xdr:row>
      <xdr:rowOff>8838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20640"/>
          <a:ext cx="8485714" cy="5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skci.com/news/chanye/20190104/1352111139698_2.shtm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北京市通州区新华东街289号院2号楼房地产抵押价值预评估</v>
      </c>
    </row>
    <row r="3" spans="1:2" s="1591" customFormat="1">
      <c r="A3" s="1589" t="s">
        <v>1216</v>
      </c>
      <c r="B3" s="1590" t="str">
        <f>'预评函-封皮'!B40</f>
        <v xml:space="preserve"> 北京东部绿城置业有限公司</v>
      </c>
    </row>
    <row r="4" spans="1:2" s="1591" customFormat="1">
      <c r="A4" s="1589" t="s">
        <v>1217</v>
      </c>
      <c r="B4" s="1590" t="str">
        <f ca="1">'预评函-封皮'!B46</f>
        <v>吴薇（注册号：1419970001)、郑燚（注册号：1120070131)</v>
      </c>
    </row>
    <row r="5" spans="1:2" s="1585" customFormat="1" ht="16.2" thickBot="1">
      <c r="A5" s="1592" t="s">
        <v>1218</v>
      </c>
      <c r="B5" s="1593" t="str">
        <f>'预评函-封皮'!B49</f>
        <v>康正预评字2020-1-0129号</v>
      </c>
    </row>
    <row r="6" spans="1:2" s="1588" customFormat="1" ht="16.2" thickTop="1">
      <c r="A6" s="1586" t="s">
        <v>1219</v>
      </c>
      <c r="B6" s="1587" t="str">
        <f>'预评函-1'!A4</f>
        <v>受贵公司委托，我公司对北京市通州区新华东街289号院2号楼房地产抵押价值进行了预评估。</v>
      </c>
    </row>
    <row r="7" spans="1:2" s="1591" customFormat="1">
      <c r="A7" s="1589" t="s">
        <v>1259</v>
      </c>
      <c r="B7" s="1590" t="str">
        <f>'预评函-1'!A7</f>
        <v>估价对象为北京市通州区新华东街289号院2号楼房地产，为 北京东部绿城置业有限公司所有。根据《国有土地使用证》[]，估价对象（分摊）出让国有建设用地使用权面积为0平方米，建筑面积为48162.54平方米。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为估价委托人在向建设银行北京城建支行办理贷款手续过程中，确定房地产抵押贷款额度提供参考依据而评估房地产抵押价值。</v>
      </c>
    </row>
    <row r="12" spans="1:2" s="1591" customFormat="1">
      <c r="A12" s="1589" t="s">
        <v>1221</v>
      </c>
      <c r="B12" s="1590" t="str">
        <f>'预评函-1'!A15</f>
        <v>2020年3月28日（评估专业人员实地查勘之日）</v>
      </c>
    </row>
    <row r="13" spans="1:2" s="1591" customFormat="1">
      <c r="A13" s="1589" t="s">
        <v>1222</v>
      </c>
      <c r="B13" s="1590" t="str">
        <f>'预评函-1'!A18</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6.2" thickBot="1">
      <c r="A18" s="1592" t="s">
        <v>1227</v>
      </c>
      <c r="B18" s="1593" t="str">
        <f>'预评函-1'!A24</f>
        <v>本次评估采用的主估价方法为成本法和收益法。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92308</v>
      </c>
    </row>
    <row r="21" spans="1:2" s="1591" customFormat="1">
      <c r="A21" s="1589" t="s">
        <v>1230</v>
      </c>
      <c r="B21" s="1590">
        <f ca="1">'预评函-2'!D7</f>
        <v>19166</v>
      </c>
    </row>
    <row r="22" spans="1:2" s="1591" customFormat="1">
      <c r="A22" s="1589" t="s">
        <v>1231</v>
      </c>
      <c r="B22" s="1590" t="str">
        <f ca="1">'预评函-2'!D6</f>
        <v>玖亿贰仟叁佰零捌万元整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92308</v>
      </c>
    </row>
    <row r="31" spans="1:2" s="1591" customFormat="1">
      <c r="A31" s="1589" t="s">
        <v>1269</v>
      </c>
      <c r="B31" s="1590">
        <f ca="1">'预评函-2'!D15</f>
        <v>19166</v>
      </c>
    </row>
    <row r="32" spans="1:2" s="1591" customFormat="1">
      <c r="A32" s="1589" t="s">
        <v>1236</v>
      </c>
      <c r="B32" s="1590" t="str">
        <f ca="1">'预评函-2'!D14</f>
        <v>玖亿贰仟叁佰零捌万元整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北京市通州区新华东街289号院2号楼房地产</v>
      </c>
    </row>
    <row r="42" spans="1:2" s="1591" customFormat="1" ht="31.2">
      <c r="A42" s="1589" t="s">
        <v>1283</v>
      </c>
      <c r="B42" s="1590" t="str">
        <f>'预评函-3'!B2</f>
        <v>建筑面积</v>
      </c>
    </row>
    <row r="43" spans="1:2" s="1591" customFormat="1">
      <c r="A43" s="1589" t="s">
        <v>1284</v>
      </c>
      <c r="B43" s="1590">
        <f>'预评函-3'!B4</f>
        <v>48162.54</v>
      </c>
    </row>
    <row r="44" spans="1:2" s="1591" customFormat="1" ht="31.2">
      <c r="A44" s="1589" t="s">
        <v>1268</v>
      </c>
      <c r="B44" s="1590" t="str">
        <f>'预评函-3'!C2</f>
        <v>(分摊)土地面积</v>
      </c>
    </row>
    <row r="45" spans="1:2" s="1591" customFormat="1">
      <c r="A45" s="1589" t="s">
        <v>1240</v>
      </c>
      <c r="B45" s="1590">
        <f>'预评函-3'!C4</f>
        <v>0</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吴薇</v>
      </c>
    </row>
    <row r="71" spans="1:2">
      <c r="A71" s="1589" t="s">
        <v>1256</v>
      </c>
      <c r="B71" s="1590">
        <f ca="1">'预评函-4'!B4</f>
        <v>1419970001</v>
      </c>
    </row>
    <row r="72" spans="1:2">
      <c r="A72" s="1589" t="s">
        <v>1257</v>
      </c>
      <c r="B72" s="1598" t="str">
        <f>'预评函-4'!A5</f>
        <v>郑燚</v>
      </c>
    </row>
    <row r="73" spans="1:2" s="1585" customFormat="1" ht="16.2" thickBot="1">
      <c r="A73" s="1592" t="s">
        <v>1258</v>
      </c>
      <c r="B73" s="1593">
        <f ca="1">'预评函-4'!B5</f>
        <v>1120070131</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为估价委托人在向建设银行北京城建支行办理贷款手续过程中，确定房地产抵押贷款额度提供参考依据而评估房地产抵押价值。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东部绿城置业有限公司拟使用北京市通州区新华东街289号院2号楼房地产作为抵押担保物，向建设银行北京城建支行办理贷款手续。建设银行北京城建支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2994"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19" t="s">
        <v>860</v>
      </c>
      <c r="C54" s="2016" t="s">
        <v>1276</v>
      </c>
    </row>
    <row r="55" spans="1:4">
      <c r="A55" s="2994"/>
      <c r="B55" s="2019" t="s">
        <v>861</v>
      </c>
      <c r="C55" s="2016" t="s">
        <v>1277</v>
      </c>
    </row>
    <row r="56" spans="1:4">
      <c r="A56" s="2994"/>
      <c r="B56" s="2019" t="s">
        <v>862</v>
      </c>
      <c r="C56" s="2016" t="s">
        <v>1281</v>
      </c>
    </row>
    <row r="57" spans="1:4">
      <c r="A57" s="2994"/>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8671875" style="2029" customWidth="1"/>
    <col min="2" max="2" width="12.5546875" style="2029" customWidth="1"/>
    <col min="3" max="3" width="11.44140625" style="2029" customWidth="1"/>
    <col min="4" max="4" width="12.44140625" style="2029" customWidth="1"/>
    <col min="5" max="6" width="10" style="2029" customWidth="1"/>
    <col min="7" max="7" width="10.77734375" style="2029" customWidth="1"/>
    <col min="8" max="8" width="10" style="2029" customWidth="1"/>
    <col min="9" max="9" width="11.10937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1770</v>
      </c>
      <c r="B1" s="3003" t="str">
        <f>IF(B10="北京市","北京市",C10)&amp;F10&amp;IF(结果表!G1="在建","出让国有建设用地使用权及在建建筑物",IF(结果表!G1="土地","出让国有建设用地使用权",))&amp;B9&amp;"预评估"</f>
        <v>北京市通州区新华东街289号院2号楼房地产抵押价值预评估</v>
      </c>
      <c r="C1" s="3004"/>
      <c r="D1" s="3004"/>
      <c r="E1" s="3004"/>
      <c r="F1" s="3004"/>
      <c r="G1" s="3004"/>
      <c r="H1" s="3004"/>
      <c r="I1" s="300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北京市通州区新华东街289号院2号楼房地产抵押价值</v>
      </c>
    </row>
    <row r="2" spans="1:19" ht="18" customHeight="1">
      <c r="A2" s="2023" t="s">
        <v>1771</v>
      </c>
      <c r="B2" s="1039" t="s">
        <v>3057</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北京市通州区新华东街289号院2号楼房地产</v>
      </c>
    </row>
    <row r="3" spans="1:19" ht="18" customHeight="1">
      <c r="A3" s="2032" t="s">
        <v>1772</v>
      </c>
      <c r="B3" s="2033">
        <v>43918</v>
      </c>
      <c r="C3" s="2034" t="s">
        <v>1773</v>
      </c>
      <c r="D3" s="2033">
        <f>B3</f>
        <v>43918</v>
      </c>
      <c r="E3" s="2023"/>
      <c r="F3" s="2023"/>
      <c r="G3" s="2023"/>
      <c r="H3" s="2023"/>
      <c r="I3" s="2023"/>
      <c r="J3" s="2023"/>
      <c r="K3" s="2024"/>
      <c r="L3" s="2025"/>
      <c r="M3" s="2025"/>
      <c r="N3" s="2026"/>
      <c r="O3" s="2027"/>
      <c r="P3" s="2026"/>
      <c r="Q3" s="2026"/>
      <c r="R3" s="2026"/>
      <c r="S3" s="2028"/>
    </row>
    <row r="4" spans="1:19" ht="18" customHeight="1" thickBot="1">
      <c r="A4" s="2035" t="s">
        <v>1774</v>
      </c>
      <c r="B4" s="2036" t="s">
        <v>3058</v>
      </c>
      <c r="C4" s="1037">
        <f ca="1">SUMIF(注册房地产估价师,B4,估价师及机构信息!B3:B24)</f>
        <v>1419970001</v>
      </c>
      <c r="D4" s="2036" t="s">
        <v>3059</v>
      </c>
      <c r="E4" s="1038">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1775</v>
      </c>
      <c r="B5" s="3280" t="s">
        <v>3065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3281" t="s">
        <v>3066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048" t="str">
        <f>B5</f>
        <v xml:space="preserve"> 北京东部绿城置业有限公司</v>
      </c>
      <c r="C7" s="2045"/>
      <c r="D7" s="2046"/>
      <c r="E7" s="2031"/>
      <c r="F7" s="2039"/>
      <c r="G7" s="2039"/>
      <c r="H7" s="2039"/>
      <c r="I7" s="2039"/>
      <c r="J7" s="2039"/>
      <c r="K7" s="2049"/>
      <c r="L7" s="2025"/>
      <c r="M7" s="2025"/>
      <c r="N7" s="2026"/>
      <c r="O7" s="2027"/>
      <c r="P7" s="2026"/>
      <c r="Q7" s="2026"/>
      <c r="R7" s="2026"/>
    </row>
    <row r="8" spans="1:19" ht="18" customHeight="1">
      <c r="A8" s="2044" t="s">
        <v>1778</v>
      </c>
      <c r="B8" s="2050" t="s">
        <v>3064</v>
      </c>
      <c r="C8" s="2051"/>
      <c r="D8" s="3006" t="s">
        <v>1779</v>
      </c>
      <c r="E8" s="2052" t="s">
        <v>3063</v>
      </c>
      <c r="F8" s="2053"/>
      <c r="G8" s="2023"/>
      <c r="H8" s="2023"/>
      <c r="I8" s="2023"/>
      <c r="J8" s="2039"/>
      <c r="K8" s="2040"/>
      <c r="L8" s="2025"/>
      <c r="M8" s="2025"/>
      <c r="N8" s="2026"/>
      <c r="O8" s="2027"/>
      <c r="P8" s="2026"/>
      <c r="Q8" s="2026"/>
      <c r="R8" s="2026"/>
    </row>
    <row r="9" spans="1:19" ht="18" customHeight="1" thickBot="1">
      <c r="A9" s="2037" t="s">
        <v>1780</v>
      </c>
      <c r="B9" s="2054" t="s">
        <v>3063</v>
      </c>
      <c r="C9" s="2055"/>
      <c r="D9" s="3007"/>
      <c r="E9" s="2054" t="s">
        <v>70</v>
      </c>
      <c r="F9" s="2056"/>
      <c r="G9" s="2057"/>
      <c r="H9" s="2057"/>
      <c r="I9" s="2057"/>
      <c r="J9" s="2039"/>
      <c r="K9" s="2049"/>
      <c r="L9" s="2025"/>
      <c r="M9" s="2025"/>
      <c r="N9" s="2026"/>
      <c r="O9" s="2027"/>
      <c r="P9" s="2026"/>
      <c r="Q9" s="2026"/>
      <c r="R9" s="2026"/>
    </row>
    <row r="10" spans="1:19" ht="18" customHeight="1" thickTop="1">
      <c r="A10" s="2058" t="s">
        <v>1781</v>
      </c>
      <c r="B10" s="2059" t="s">
        <v>3062</v>
      </c>
      <c r="C10" s="2060"/>
      <c r="D10" s="2043"/>
      <c r="E10" s="2061" t="s">
        <v>1782</v>
      </c>
      <c r="F10" s="2062" t="s">
        <v>3067</v>
      </c>
      <c r="G10" s="2063"/>
      <c r="H10" s="2064"/>
      <c r="I10" s="2043"/>
      <c r="J10" s="2039"/>
      <c r="K10" s="2049"/>
      <c r="L10" s="2025"/>
      <c r="M10" s="2025"/>
      <c r="N10" s="2026"/>
      <c r="O10" s="2027"/>
      <c r="P10" s="2026"/>
      <c r="Q10" s="2026"/>
      <c r="R10" s="2026"/>
    </row>
    <row r="11" spans="1:19" ht="18" customHeight="1">
      <c r="A11" s="2065" t="s">
        <v>1783</v>
      </c>
      <c r="B11" s="2066" t="s">
        <v>3061</v>
      </c>
      <c r="C11" s="2067" t="str">
        <f>B5</f>
        <v xml:space="preserve"> 北京东部绿城置业有限公司</v>
      </c>
      <c r="D11" s="2068"/>
      <c r="E11" s="2039"/>
      <c r="F11" s="2039"/>
      <c r="G11" s="2039"/>
      <c r="H11" s="2039"/>
      <c r="I11" s="2039"/>
      <c r="J11" s="2039"/>
      <c r="K11" s="2049"/>
      <c r="L11" s="2025"/>
      <c r="M11" s="2025"/>
      <c r="N11" s="2026"/>
      <c r="O11" s="2027"/>
      <c r="P11" s="2026"/>
      <c r="Q11" s="2026"/>
      <c r="R11" s="2026"/>
    </row>
    <row r="12" spans="1:19" ht="18" customHeight="1">
      <c r="A12" s="2069" t="s">
        <v>1784</v>
      </c>
      <c r="B12" s="2066" t="s">
        <v>3060</v>
      </c>
      <c r="C12" s="2070" t="s">
        <v>1785</v>
      </c>
      <c r="D12" s="2071" t="s">
        <v>1786</v>
      </c>
      <c r="E12" s="2071" t="s">
        <v>1787</v>
      </c>
      <c r="F12" s="2071" t="s">
        <v>1788</v>
      </c>
      <c r="G12" s="2071" t="s">
        <v>1789</v>
      </c>
      <c r="H12" s="2071" t="s">
        <v>1790</v>
      </c>
      <c r="I12" s="2071" t="s">
        <v>1791</v>
      </c>
      <c r="J12" s="2039"/>
      <c r="K12" s="2049"/>
      <c r="L12" s="2025"/>
      <c r="M12" s="2025"/>
      <c r="N12" s="2026"/>
      <c r="O12" s="2027"/>
      <c r="P12" s="2026"/>
      <c r="Q12" s="2026"/>
      <c r="R12" s="2026"/>
    </row>
    <row r="13" spans="1:19" ht="18" customHeight="1">
      <c r="A13" s="2072"/>
      <c r="B13" s="2073"/>
      <c r="C13" s="2074" t="s">
        <v>1792</v>
      </c>
      <c r="D13" s="2075"/>
      <c r="E13" s="2075">
        <v>54772</v>
      </c>
      <c r="F13" s="2075"/>
      <c r="G13" s="2075"/>
      <c r="H13" s="2075"/>
      <c r="I13" s="1047"/>
      <c r="J13" s="2039"/>
      <c r="K13" s="2049"/>
      <c r="L13" s="2025"/>
      <c r="M13" s="2025"/>
      <c r="N13" s="2026"/>
      <c r="O13" s="2027"/>
      <c r="P13" s="2026"/>
      <c r="Q13" s="2026"/>
      <c r="R13" s="2026"/>
    </row>
    <row r="14" spans="1:19" ht="18" customHeight="1">
      <c r="A14" s="2072"/>
      <c r="B14" s="2073"/>
      <c r="C14" s="2074" t="s">
        <v>1793</v>
      </c>
      <c r="D14" s="1050"/>
      <c r="E14" s="1050">
        <v>40</v>
      </c>
      <c r="F14" s="1050"/>
      <c r="G14" s="1050"/>
      <c r="H14" s="1050"/>
      <c r="I14" s="1050"/>
      <c r="J14" s="2039"/>
      <c r="K14" s="2076"/>
      <c r="L14" s="2025"/>
      <c r="M14" s="2025"/>
      <c r="N14" s="2026"/>
      <c r="O14" s="2027"/>
      <c r="P14" s="2026"/>
      <c r="Q14" s="2026"/>
      <c r="R14" s="2026"/>
    </row>
    <row r="15" spans="1:19" ht="18" customHeight="1">
      <c r="A15" s="2058"/>
      <c r="B15" s="2077"/>
      <c r="C15" s="2074" t="s">
        <v>1794</v>
      </c>
      <c r="D15" s="1049" t="str">
        <f>IF(B12="出让",IF(D13="","",ROUNDDOWN(MIN((D13-$D$3)/365,D14),2)),D14)</f>
        <v/>
      </c>
      <c r="E15" s="1049">
        <f>IF(B12="出让",IF(E13="","",ROUNDDOWN(MIN((E13-$D$3)/365,E14),2)),E14)</f>
        <v>29.73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9"/>
      <c r="K15" s="2078"/>
      <c r="L15" s="2079"/>
      <c r="M15" s="2079"/>
      <c r="N15" s="2080"/>
      <c r="O15" s="2079"/>
      <c r="P15" s="2080"/>
      <c r="Q15" s="2026"/>
      <c r="R15" s="2026"/>
    </row>
    <row r="16" spans="1:19" ht="30.75" customHeight="1">
      <c r="A16" s="2061" t="s">
        <v>1795</v>
      </c>
      <c r="B16" s="3013"/>
      <c r="C16" s="3014"/>
      <c r="D16" s="3015"/>
      <c r="E16" s="2081" t="s">
        <v>1796</v>
      </c>
      <c r="F16" s="3016"/>
      <c r="G16" s="3017"/>
      <c r="H16" s="3017"/>
      <c r="I16" s="3018"/>
      <c r="J16" s="2026"/>
      <c r="K16" s="2078"/>
      <c r="L16" s="2079"/>
      <c r="M16" s="2079"/>
      <c r="N16" s="2080"/>
      <c r="O16" s="2079"/>
      <c r="P16" s="2080"/>
      <c r="Q16" s="2026"/>
      <c r="R16" s="2026"/>
    </row>
    <row r="17" spans="1:22" ht="18" customHeight="1">
      <c r="A17" s="2082" t="s">
        <v>1797</v>
      </c>
      <c r="B17" s="2032" t="s">
        <v>1798</v>
      </c>
      <c r="C17" s="1054">
        <f>'数据-汇总表'!E3</f>
        <v>48162.54</v>
      </c>
      <c r="D17" s="2083" t="s">
        <v>1799</v>
      </c>
      <c r="E17" s="3019" t="s">
        <v>1800</v>
      </c>
      <c r="F17" s="3020"/>
      <c r="G17" s="3020"/>
      <c r="H17" s="3020"/>
      <c r="I17" s="3021"/>
      <c r="J17" s="2026"/>
      <c r="K17" s="2084"/>
      <c r="L17" s="2079"/>
      <c r="M17" s="2079"/>
      <c r="N17" s="2080"/>
      <c r="O17" s="2079"/>
      <c r="P17" s="2080"/>
      <c r="Q17" s="2026"/>
      <c r="R17" s="2026"/>
      <c r="S17" s="2026"/>
      <c r="T17" s="2026"/>
      <c r="U17" s="2026"/>
      <c r="V17" s="2026"/>
    </row>
    <row r="18" spans="1:22" ht="36" customHeight="1" thickBot="1">
      <c r="A18" s="2085" t="s">
        <v>1801</v>
      </c>
      <c r="B18" s="2035" t="s">
        <v>1802</v>
      </c>
      <c r="C18" s="1443">
        <f>'数据-汇总表'!D3</f>
        <v>0</v>
      </c>
      <c r="D18" s="2086" t="s">
        <v>1799</v>
      </c>
      <c r="E18" s="3022" t="s">
        <v>1803</v>
      </c>
      <c r="F18" s="3023"/>
      <c r="G18" s="3023"/>
      <c r="H18" s="3023"/>
      <c r="I18" s="3024"/>
      <c r="J18" s="2026"/>
      <c r="K18" s="2084"/>
      <c r="L18" s="2079"/>
      <c r="M18" s="2079"/>
      <c r="N18" s="2080"/>
      <c r="O18" s="2079"/>
      <c r="P18" s="2080"/>
      <c r="Q18" s="2026"/>
      <c r="R18" s="2026"/>
      <c r="S18" s="2026"/>
      <c r="T18" s="2026"/>
      <c r="U18" s="2026"/>
      <c r="V18" s="2026"/>
    </row>
    <row r="19" spans="1:22" ht="37.5" customHeight="1" thickTop="1" thickBot="1">
      <c r="A19" s="373" t="s">
        <v>1804</v>
      </c>
      <c r="B19" s="352" t="s">
        <v>1805</v>
      </c>
      <c r="C19" s="2087" t="s">
        <v>3068</v>
      </c>
      <c r="D19" s="2088" t="s">
        <v>1806</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1807</v>
      </c>
      <c r="B20" s="3009" t="s">
        <v>1808</v>
      </c>
      <c r="C20" s="3010"/>
      <c r="D20" s="3011" t="s">
        <v>1809</v>
      </c>
      <c r="E20" s="3012"/>
      <c r="F20" s="2093" t="s">
        <v>1810</v>
      </c>
      <c r="G20" s="2039"/>
      <c r="H20" s="2039"/>
      <c r="I20" s="2039"/>
      <c r="J20" s="2039"/>
      <c r="K20" s="3008" t="s">
        <v>1811</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1812</v>
      </c>
      <c r="C21" s="2095" t="s">
        <v>3069</v>
      </c>
      <c r="D21" s="2096" t="s">
        <v>1814</v>
      </c>
      <c r="E21" s="2097" t="s">
        <v>1813</v>
      </c>
      <c r="F21" s="2098"/>
      <c r="G21" s="2039"/>
      <c r="H21" s="2039"/>
      <c r="I21" s="2039"/>
      <c r="J21" s="2039"/>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1815</v>
      </c>
      <c r="C22" s="2095" t="s">
        <v>1816</v>
      </c>
      <c r="D22" s="2023"/>
      <c r="E22" s="2023"/>
      <c r="F22" s="2100"/>
      <c r="G22" s="2039"/>
      <c r="H22" s="2039"/>
      <c r="I22" s="2039"/>
      <c r="J22" s="2039"/>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1817</v>
      </c>
      <c r="B23" s="183" t="s">
        <v>1818</v>
      </c>
      <c r="C23" s="2102"/>
      <c r="D23" s="2103" t="s">
        <v>1818</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1819</v>
      </c>
      <c r="C24" s="2107"/>
      <c r="D24" s="2101" t="s">
        <v>1819</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1820</v>
      </c>
      <c r="C25" s="2107"/>
      <c r="D25" s="2101" t="s">
        <v>1820</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1821</v>
      </c>
      <c r="C26" s="2111"/>
      <c r="D26" s="2112" t="s">
        <v>1822</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2996" t="s">
        <v>1823</v>
      </c>
      <c r="B27" s="2058" t="s">
        <v>1824</v>
      </c>
      <c r="C27" s="2115" t="s">
        <v>3070</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2996"/>
      <c r="B28" s="2032" t="s">
        <v>1825</v>
      </c>
      <c r="C28" s="2117"/>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2996"/>
      <c r="B29" s="2032" t="s">
        <v>1826</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2997"/>
      <c r="B30" s="2032" t="s">
        <v>1827</v>
      </c>
      <c r="C30" s="2998"/>
      <c r="D30" s="2999"/>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00" t="s">
        <v>1828</v>
      </c>
      <c r="B31" s="2122" t="s">
        <v>3071</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01"/>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01"/>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1829</v>
      </c>
      <c r="B34" s="2129"/>
      <c r="C34" s="2129"/>
      <c r="D34" s="2129"/>
      <c r="E34" s="2129"/>
      <c r="F34" s="2129"/>
      <c r="G34" s="2129"/>
      <c r="H34" s="2129"/>
      <c r="I34" s="2039"/>
      <c r="J34" s="2039"/>
      <c r="K34" s="1793">
        <f>COUNTIF(B34:H34,"——")</f>
        <v>0</v>
      </c>
      <c r="L34" s="2070" t="s">
        <v>1830</v>
      </c>
      <c r="M34" s="2070" t="s">
        <v>1831</v>
      </c>
      <c r="N34" s="2070" t="s">
        <v>1832</v>
      </c>
      <c r="O34" s="2070" t="s">
        <v>1833</v>
      </c>
      <c r="P34" s="2070" t="s">
        <v>1834</v>
      </c>
      <c r="Q34" s="2070" t="s">
        <v>1835</v>
      </c>
      <c r="R34" s="2070" t="s">
        <v>1836</v>
      </c>
      <c r="S34" s="2995" t="s">
        <v>1837</v>
      </c>
      <c r="T34" s="2130" t="str">
        <f>NUMBERSTRING(7-K34,1)&amp;"通"</f>
        <v>七通</v>
      </c>
      <c r="U34" s="2026"/>
      <c r="V34" s="2026"/>
    </row>
    <row r="35" spans="1:22" ht="18" customHeight="1">
      <c r="A35" s="2131"/>
      <c r="B35" s="3002" t="s">
        <v>1838</v>
      </c>
      <c r="C35" s="3002"/>
      <c r="D35" s="3002"/>
      <c r="E35" s="3002"/>
      <c r="F35" s="2132">
        <f>C10</f>
        <v>0</v>
      </c>
      <c r="G35" s="2039"/>
      <c r="H35" s="2039"/>
      <c r="I35" s="2039"/>
      <c r="J35" s="2039"/>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2026"/>
      <c r="V35" s="2026"/>
    </row>
    <row r="36" spans="1:22" ht="18" customHeight="1">
      <c r="A36" s="2133"/>
      <c r="B36" s="2132" t="s">
        <v>1839</v>
      </c>
      <c r="C36" s="2132" t="s">
        <v>1840</v>
      </c>
      <c r="D36" s="2132" t="s">
        <v>1841</v>
      </c>
      <c r="E36" s="2132" t="s">
        <v>1842</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1843</v>
      </c>
      <c r="B37" s="2136" t="s">
        <v>56</v>
      </c>
      <c r="C37" s="2136" t="s">
        <v>56</v>
      </c>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1844</v>
      </c>
      <c r="B38" s="2138" t="s">
        <v>3072</v>
      </c>
      <c r="C38" s="2138" t="s">
        <v>3072</v>
      </c>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1846</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6"/>
      <c r="T42" s="2026"/>
      <c r="U42" s="2026"/>
      <c r="V42" s="2026"/>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zoomScale="70" zoomScaleNormal="70" workbookViewId="0">
      <selection activeCell="I9" sqref="I9"/>
    </sheetView>
  </sheetViews>
  <sheetFormatPr defaultRowHeight="14.4"/>
  <cols>
    <col min="4" max="4" width="35.21875" customWidth="1"/>
  </cols>
  <sheetData>
    <row r="1" spans="1:7" ht="16.8">
      <c r="A1" s="3283" t="s">
        <v>3076</v>
      </c>
      <c r="B1" s="3283"/>
      <c r="C1" s="3283"/>
      <c r="D1" s="3283"/>
      <c r="E1" s="3283"/>
    </row>
    <row r="2" spans="1:7" ht="28.8">
      <c r="A2" s="3284" t="s">
        <v>3077</v>
      </c>
      <c r="B2" s="3284" t="s">
        <v>3078</v>
      </c>
      <c r="C2" s="3284" t="s">
        <v>3079</v>
      </c>
      <c r="D2" s="3284" t="s">
        <v>3080</v>
      </c>
      <c r="E2" s="3284" t="s">
        <v>3081</v>
      </c>
      <c r="G2" s="3285" t="s">
        <v>3082</v>
      </c>
    </row>
    <row r="3" spans="1:7" ht="72">
      <c r="A3" s="3284">
        <v>1</v>
      </c>
      <c r="B3" s="3284" t="s">
        <v>3083</v>
      </c>
      <c r="C3" s="3286">
        <v>5308</v>
      </c>
      <c r="D3" s="3287" t="s">
        <v>3084</v>
      </c>
      <c r="E3" s="3287" t="s">
        <v>3085</v>
      </c>
      <c r="G3">
        <f>C3</f>
        <v>5308</v>
      </c>
    </row>
    <row r="4" spans="1:7" ht="72">
      <c r="A4" s="3288">
        <v>2</v>
      </c>
      <c r="B4" s="3288" t="s">
        <v>3086</v>
      </c>
      <c r="C4" s="3284" t="s">
        <v>3087</v>
      </c>
      <c r="D4" s="3287" t="s">
        <v>3088</v>
      </c>
      <c r="E4" s="3288" t="s">
        <v>3089</v>
      </c>
      <c r="G4">
        <v>2602</v>
      </c>
    </row>
    <row r="5" spans="1:7" ht="57.6">
      <c r="A5" s="3289"/>
      <c r="B5" s="3289"/>
      <c r="C5" s="3284" t="s">
        <v>3090</v>
      </c>
      <c r="D5" s="3287" t="s">
        <v>3091</v>
      </c>
      <c r="E5" s="3289"/>
      <c r="G5">
        <v>2075</v>
      </c>
    </row>
    <row r="6" spans="1:7" ht="57.6">
      <c r="A6" s="3284">
        <v>3</v>
      </c>
      <c r="B6" s="3284">
        <v>1</v>
      </c>
      <c r="C6" s="3284">
        <v>3355</v>
      </c>
      <c r="D6" s="3287" t="s">
        <v>3092</v>
      </c>
      <c r="E6" s="3287" t="s">
        <v>3085</v>
      </c>
      <c r="G6">
        <f>C6</f>
        <v>3355</v>
      </c>
    </row>
    <row r="7" spans="1:7" ht="28.8">
      <c r="A7" s="3284">
        <v>4</v>
      </c>
      <c r="B7" s="3284">
        <v>2</v>
      </c>
      <c r="C7" s="3284">
        <v>1419</v>
      </c>
      <c r="D7" s="3287" t="s">
        <v>3093</v>
      </c>
      <c r="E7" s="3287" t="s">
        <v>3085</v>
      </c>
      <c r="G7">
        <f t="shared" ref="G7:G8" si="0">C7</f>
        <v>1419</v>
      </c>
    </row>
    <row r="8" spans="1:7" ht="57.6">
      <c r="A8" s="3284">
        <v>5</v>
      </c>
      <c r="B8" s="3284">
        <v>3</v>
      </c>
      <c r="C8" s="3284">
        <v>1901</v>
      </c>
      <c r="D8" s="3287" t="s">
        <v>3094</v>
      </c>
      <c r="E8" s="3287" t="s">
        <v>3085</v>
      </c>
      <c r="G8">
        <f t="shared" si="0"/>
        <v>1901</v>
      </c>
    </row>
    <row r="9" spans="1:7" ht="57.6">
      <c r="A9" s="3284">
        <v>6</v>
      </c>
      <c r="B9" s="3284">
        <v>4</v>
      </c>
      <c r="C9" s="3284">
        <v>1784</v>
      </c>
      <c r="D9" s="3287" t="s">
        <v>3095</v>
      </c>
      <c r="E9" s="3287" t="s">
        <v>3085</v>
      </c>
      <c r="G9">
        <f>C9</f>
        <v>1784</v>
      </c>
    </row>
    <row r="10" spans="1:7">
      <c r="A10" s="3284">
        <v>7</v>
      </c>
      <c r="B10" s="3284" t="s">
        <v>3096</v>
      </c>
      <c r="C10" s="3284" t="s">
        <v>3097</v>
      </c>
      <c r="D10" s="3284" t="s">
        <v>3098</v>
      </c>
      <c r="E10" s="3284" t="s">
        <v>3097</v>
      </c>
    </row>
    <row r="11" spans="1:7" ht="43.2">
      <c r="A11" s="3284">
        <v>8</v>
      </c>
      <c r="B11" s="3284">
        <v>14</v>
      </c>
      <c r="C11" s="3284">
        <v>1565</v>
      </c>
      <c r="D11" s="3287" t="s">
        <v>3099</v>
      </c>
      <c r="E11" s="3287" t="s">
        <v>3100</v>
      </c>
      <c r="G11">
        <f>C11</f>
        <v>1565</v>
      </c>
    </row>
    <row r="12" spans="1:7" ht="43.2">
      <c r="A12" s="3284">
        <v>9</v>
      </c>
      <c r="B12" s="3284" t="s">
        <v>3101</v>
      </c>
      <c r="C12" s="3284">
        <v>1565</v>
      </c>
      <c r="D12" s="3287" t="s">
        <v>3102</v>
      </c>
      <c r="E12" s="3287" t="s">
        <v>3100</v>
      </c>
      <c r="F12">
        <v>2</v>
      </c>
      <c r="G12">
        <f>C12*F12</f>
        <v>3130</v>
      </c>
    </row>
    <row r="13" spans="1:7" ht="43.2">
      <c r="A13" s="3284">
        <v>10</v>
      </c>
      <c r="B13" s="3284" t="s">
        <v>3103</v>
      </c>
      <c r="C13" s="3284">
        <v>1565</v>
      </c>
      <c r="D13" s="3287" t="s">
        <v>3104</v>
      </c>
      <c r="E13" s="3287" t="s">
        <v>3105</v>
      </c>
      <c r="F13">
        <v>8</v>
      </c>
      <c r="G13">
        <f>C13*F13</f>
        <v>12520</v>
      </c>
    </row>
    <row r="14" spans="1:7" ht="43.2">
      <c r="A14" s="3284">
        <v>11</v>
      </c>
      <c r="B14" s="3284" t="s">
        <v>3106</v>
      </c>
      <c r="C14" s="3284">
        <v>1565</v>
      </c>
      <c r="D14" s="3287" t="s">
        <v>3107</v>
      </c>
      <c r="E14" s="3287" t="s">
        <v>3108</v>
      </c>
      <c r="F14">
        <v>3</v>
      </c>
      <c r="G14">
        <f>C14*F14</f>
        <v>4695</v>
      </c>
    </row>
    <row r="15" spans="1:7" ht="43.2">
      <c r="A15" s="3284">
        <v>12</v>
      </c>
      <c r="B15" s="3284">
        <v>28</v>
      </c>
      <c r="C15" s="3284">
        <v>1565</v>
      </c>
      <c r="D15" s="3287" t="s">
        <v>3109</v>
      </c>
      <c r="E15" s="3287" t="s">
        <v>3108</v>
      </c>
      <c r="G15">
        <f>C15</f>
        <v>1565</v>
      </c>
    </row>
    <row r="16" spans="1:7" ht="43.2">
      <c r="A16" s="3284">
        <v>13</v>
      </c>
      <c r="B16" s="3284">
        <v>29</v>
      </c>
      <c r="C16" s="3284">
        <v>1565</v>
      </c>
      <c r="D16" s="3287" t="s">
        <v>3110</v>
      </c>
      <c r="E16" s="3287" t="s">
        <v>3111</v>
      </c>
      <c r="G16">
        <f>C16</f>
        <v>1565</v>
      </c>
    </row>
    <row r="17" spans="1:7">
      <c r="A17" s="3286"/>
      <c r="B17" s="3286"/>
      <c r="C17" s="3286"/>
      <c r="G17">
        <f>SUM(G3:G16)</f>
        <v>43484</v>
      </c>
    </row>
  </sheetData>
  <mergeCells count="4">
    <mergeCell ref="A1:E1"/>
    <mergeCell ref="A4:A5"/>
    <mergeCell ref="B4:B5"/>
    <mergeCell ref="E4:E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P20" sqref="AP20"/>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hidden="1" customWidth="1"/>
    <col min="11" max="11" width="11" style="2155" hidden="1" customWidth="1"/>
    <col min="12"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48162.54</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1873</v>
      </c>
      <c r="B5" s="1801"/>
      <c r="C5" s="1801"/>
      <c r="D5" s="1804"/>
      <c r="E5" s="16" t="s">
        <v>1</v>
      </c>
      <c r="F5" s="16">
        <f>SUM(F13:F587)</f>
        <v>0</v>
      </c>
      <c r="G5" s="16">
        <f>SUM(G13:G587)</f>
        <v>48162.54</v>
      </c>
      <c r="H5" s="16">
        <f t="shared" ref="H5:AT5" si="0">SUM(H13:H656)</f>
        <v>33499</v>
      </c>
      <c r="I5" s="16">
        <f t="shared" si="0"/>
        <v>33499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14663.54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4678.5400000000009</v>
      </c>
      <c r="AM5" s="16">
        <f t="shared" si="0"/>
        <v>0</v>
      </c>
      <c r="AN5" s="16">
        <f t="shared" si="0"/>
        <v>9985</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48162.54</v>
      </c>
      <c r="BA5" s="18">
        <f t="shared" si="1"/>
        <v>33499</v>
      </c>
      <c r="BB5" s="18">
        <f t="shared" si="1"/>
        <v>33499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14663.54</v>
      </c>
      <c r="BM5" s="18">
        <f t="shared" si="1"/>
        <v>0</v>
      </c>
      <c r="BN5" s="18">
        <f t="shared" si="1"/>
        <v>0</v>
      </c>
      <c r="BO5" s="18">
        <f t="shared" si="1"/>
        <v>0</v>
      </c>
      <c r="BP5" s="18">
        <f t="shared" si="1"/>
        <v>0</v>
      </c>
      <c r="BQ5" s="18">
        <f t="shared" si="1"/>
        <v>4678.5400000000009</v>
      </c>
      <c r="BR5" s="18">
        <f t="shared" si="1"/>
        <v>9985</v>
      </c>
      <c r="BS5" s="18">
        <f t="shared" si="1"/>
        <v>0</v>
      </c>
      <c r="BT5" s="19">
        <f t="shared" si="1"/>
        <v>0</v>
      </c>
    </row>
    <row r="6" spans="1:72" s="2173" customFormat="1" ht="13.2">
      <c r="A6" s="15" t="s">
        <v>1874</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1"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3.2">
      <c r="A9" s="2178"/>
      <c r="B9" s="2178"/>
      <c r="C9" s="2178"/>
      <c r="D9" s="2178"/>
      <c r="E9" s="2178"/>
      <c r="F9" s="2178"/>
      <c r="G9" s="1292"/>
      <c r="H9" s="2186" t="s">
        <v>1893</v>
      </c>
      <c r="I9" s="2187" t="s">
        <v>3074</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3.2">
      <c r="A10" s="2178"/>
      <c r="B10" s="2178"/>
      <c r="C10" s="2178"/>
      <c r="D10" s="2178"/>
      <c r="E10" s="2178"/>
      <c r="F10" s="2178"/>
      <c r="G10" s="1292"/>
      <c r="H10" s="28"/>
      <c r="I10" s="2187" t="s">
        <v>1372</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3.2">
      <c r="A11" s="2178"/>
      <c r="B11" s="2178"/>
      <c r="C11" s="2178"/>
      <c r="D11" s="2178"/>
      <c r="E11" s="2178"/>
      <c r="F11" s="2178"/>
      <c r="G11" s="1292"/>
      <c r="H11" s="2195"/>
      <c r="I11" s="2198" t="s">
        <v>3075</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3.2">
      <c r="A13" s="3282" t="s">
        <v>3073</v>
      </c>
      <c r="B13" s="1272"/>
      <c r="C13" s="1272"/>
      <c r="D13" s="2209" t="s">
        <v>3068</v>
      </c>
      <c r="E13" s="16">
        <f>IF($C$3="是",ROUND($A$3*G13/$B$3,2),ROUND($A$3*(G13-AT13)/$B$3,2))</f>
        <v>0</v>
      </c>
      <c r="F13" s="32"/>
      <c r="G13" s="33">
        <f>H13+AC13+AT13</f>
        <v>48162.54</v>
      </c>
      <c r="H13" s="20">
        <f>SUMIF(I$12:AB$12,"总值",I13:AB13)</f>
        <v>33499</v>
      </c>
      <c r="I13" s="2210">
        <f>SUM(企业提供面积!G6:G16)</f>
        <v>33499</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14663.54</v>
      </c>
      <c r="AD13" s="2211"/>
      <c r="AE13" s="2211"/>
      <c r="AF13" s="2211"/>
      <c r="AG13" s="2211"/>
      <c r="AH13" s="2211"/>
      <c r="AI13" s="2211"/>
      <c r="AJ13" s="2211"/>
      <c r="AK13" s="2211"/>
      <c r="AL13" s="2211">
        <f>A14-AN13-I13</f>
        <v>4678.5400000000009</v>
      </c>
      <c r="AM13" s="2211"/>
      <c r="AN13" s="2211">
        <f>SUM(企业提供面积!G3:G5)</f>
        <v>9985</v>
      </c>
      <c r="AO13" s="2211"/>
      <c r="AP13" s="2211"/>
      <c r="AQ13" s="2211"/>
      <c r="AR13" s="2211"/>
      <c r="AS13" s="2211"/>
      <c r="AT13" s="2212"/>
      <c r="AU13" s="2213"/>
      <c r="AV13" s="11" t="str">
        <f t="shared" ref="AV13:AX17" si="6">A13</f>
        <v>测绘报告</v>
      </c>
      <c r="AW13" s="11">
        <f t="shared" si="6"/>
        <v>0</v>
      </c>
      <c r="AX13" s="11">
        <f t="shared" si="6"/>
        <v>0</v>
      </c>
      <c r="AY13" s="1804">
        <f>ROUND($AY$6*AZ13/$AZ$5,2)</f>
        <v>0</v>
      </c>
      <c r="AZ13" s="16">
        <f>BA13+BL13</f>
        <v>48162.54</v>
      </c>
      <c r="BA13" s="16">
        <f>SUM(BB13:BK13)</f>
        <v>33499</v>
      </c>
      <c r="BB13" s="16">
        <f>IF($D13="是",I13-J13,0)</f>
        <v>33499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14663.54</v>
      </c>
      <c r="BM13" s="16">
        <f>IF($D13="是",AD13-AE13,0)</f>
        <v>0</v>
      </c>
      <c r="BN13" s="16">
        <f>IF($D13="是",AF13-AG13,0)</f>
        <v>0</v>
      </c>
      <c r="BO13" s="16">
        <f>IF($D13="是",AH13-AI13,0)</f>
        <v>0</v>
      </c>
      <c r="BP13" s="16">
        <f>IF($D13="是",AJ13-AK13,0)</f>
        <v>0</v>
      </c>
      <c r="BQ13" s="16">
        <f>IF($D13="是",AL13-AM13,0)</f>
        <v>4678.5400000000009</v>
      </c>
      <c r="BR13" s="16">
        <f>IF($D13="是",AN13-AO13,0)</f>
        <v>9985</v>
      </c>
      <c r="BS13" s="16">
        <f>IF($D13="是",AP13-AQ13,0)</f>
        <v>0</v>
      </c>
      <c r="BT13" s="22">
        <f>IF($D13="是",AR13-AS13,0)</f>
        <v>0</v>
      </c>
    </row>
    <row r="14" spans="1:72" s="2163" customFormat="1" ht="13.2">
      <c r="A14" s="1272">
        <v>48162.54</v>
      </c>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48162.54</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46.8">
      <c r="A3" s="3025"/>
      <c r="B3" s="3025"/>
      <c r="C3" s="3025"/>
      <c r="D3" s="3026"/>
      <c r="E3" s="302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23" sqref="F23"/>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1932</v>
      </c>
      <c r="B1" s="1391"/>
      <c r="C1" s="1391"/>
      <c r="D1" s="1391"/>
      <c r="E1" s="1391"/>
      <c r="F1" s="1391"/>
      <c r="G1" s="1391"/>
      <c r="H1" s="1391"/>
      <c r="I1" s="1391"/>
      <c r="J1" s="1391"/>
      <c r="K1" s="1391"/>
      <c r="L1" s="1391"/>
      <c r="M1" s="1391"/>
      <c r="N1" s="1391"/>
      <c r="O1" s="1391"/>
      <c r="P1" s="1391"/>
    </row>
    <row r="2" spans="1:16" ht="14.4">
      <c r="A2" s="3036" t="s">
        <v>1933</v>
      </c>
      <c r="B2" s="3036"/>
      <c r="C2" s="3036"/>
      <c r="D2" s="967" t="s">
        <v>1909</v>
      </c>
      <c r="E2" s="2223" t="s">
        <v>1910</v>
      </c>
      <c r="F2" s="1391"/>
      <c r="G2" s="2224"/>
      <c r="H2" s="2225"/>
      <c r="I2" s="2226" t="s">
        <v>1934</v>
      </c>
      <c r="J2" s="1391"/>
      <c r="K2" s="1391"/>
      <c r="L2" s="1391"/>
      <c r="M2" s="1391"/>
      <c r="N2" s="1426"/>
      <c r="O2" s="1391"/>
      <c r="P2" s="1391"/>
    </row>
    <row r="3" spans="1:16" ht="15" thickBot="1">
      <c r="A3" s="3037" t="s">
        <v>1907</v>
      </c>
      <c r="B3" s="3037"/>
      <c r="C3" s="3037"/>
      <c r="D3" s="46">
        <f>'数据-基础表'!AY6</f>
        <v>0</v>
      </c>
      <c r="E3" s="46">
        <f>'数据-基础表'!AZ5</f>
        <v>48162.54</v>
      </c>
      <c r="F3" s="1391"/>
      <c r="G3" s="1398"/>
      <c r="H3" s="1247" t="s">
        <v>1908</v>
      </c>
      <c r="I3" s="55" t="e">
        <f>ROUND('数据-基础表'!B3/'数据-基础表'!A3,2)</f>
        <v>#DIV/0!</v>
      </c>
      <c r="J3" s="1391"/>
      <c r="K3" s="1391"/>
      <c r="L3" s="1391"/>
      <c r="M3" s="1391"/>
      <c r="N3" s="1426"/>
      <c r="O3" s="1391"/>
      <c r="P3" s="1391"/>
    </row>
    <row r="4" spans="1:16" ht="14.4">
      <c r="A4" s="3038"/>
      <c r="B4" s="3039"/>
      <c r="C4" s="3040"/>
      <c r="D4" s="2227" t="s">
        <v>1909</v>
      </c>
      <c r="E4" s="2228" t="s">
        <v>1910</v>
      </c>
      <c r="F4" s="1391"/>
      <c r="G4" s="2229" t="s">
        <v>1935</v>
      </c>
      <c r="H4" s="1247" t="s">
        <v>1915</v>
      </c>
      <c r="I4" s="55" t="e">
        <f>ROUND(SUMIF('数据-基础表'!I9:AS9,"地上",'数据-基础表'!I5:AS5)/'数据-基础表'!A3,2)</f>
        <v>#DIV/0!</v>
      </c>
      <c r="J4" s="1391"/>
      <c r="K4" s="1391"/>
      <c r="L4" s="1391"/>
      <c r="M4" s="1391"/>
      <c r="N4" s="1426"/>
      <c r="O4" s="1391"/>
      <c r="P4" s="1391"/>
    </row>
    <row r="5" spans="1:16" ht="14.4">
      <c r="A5" s="47" t="s">
        <v>1911</v>
      </c>
      <c r="B5" s="3041" t="s">
        <v>1912</v>
      </c>
      <c r="C5" s="3041"/>
      <c r="D5" s="48">
        <f>ROUND($D$3*E5/$E$3,2)</f>
        <v>0</v>
      </c>
      <c r="E5" s="49">
        <f>SUMIF('数据-基础表'!$11:$11,"住宅",'数据-基础表'!$5:$5)</f>
        <v>0</v>
      </c>
      <c r="F5" s="1391"/>
      <c r="G5" s="1398"/>
      <c r="H5" s="1247" t="s">
        <v>1908</v>
      </c>
      <c r="I5" s="55" t="e">
        <f>ROUND(E31/D31,2)</f>
        <v>#DIV/0!</v>
      </c>
      <c r="J5" s="1391"/>
      <c r="K5" s="1391"/>
      <c r="L5" s="1391"/>
      <c r="M5" s="1391"/>
      <c r="N5" s="1391"/>
      <c r="O5" s="1391"/>
      <c r="P5" s="1391"/>
    </row>
    <row r="6" spans="1:16" ht="15" thickBot="1">
      <c r="A6" s="2230"/>
      <c r="B6" s="3041" t="s">
        <v>1913</v>
      </c>
      <c r="C6" s="3041"/>
      <c r="D6" s="48">
        <f>ROUND($D$3*E6/$E$3,2)</f>
        <v>0</v>
      </c>
      <c r="E6" s="49">
        <f>E3-E5</f>
        <v>48162.54</v>
      </c>
      <c r="F6" s="1391"/>
      <c r="G6" s="2231" t="s">
        <v>1914</v>
      </c>
      <c r="H6" s="1398" t="s">
        <v>1915</v>
      </c>
      <c r="I6" s="939" t="e">
        <f>ROUND(F31/D31,2)</f>
        <v>#DIV/0!</v>
      </c>
      <c r="J6" s="1391"/>
      <c r="K6" s="1391"/>
      <c r="L6" s="1391"/>
      <c r="M6" s="1391"/>
      <c r="N6" s="1391"/>
      <c r="O6" s="1391"/>
      <c r="P6" s="1391"/>
    </row>
    <row r="7" spans="1:16" ht="14.4">
      <c r="A7" s="3033"/>
      <c r="B7" s="3034"/>
      <c r="C7" s="3035"/>
      <c r="D7" s="2227" t="s">
        <v>1909</v>
      </c>
      <c r="E7" s="2232" t="s">
        <v>1916</v>
      </c>
      <c r="F7" s="1391"/>
      <c r="G7" s="2224" t="s">
        <v>1917</v>
      </c>
      <c r="H7" s="64"/>
      <c r="I7" s="420"/>
      <c r="J7" s="1391"/>
      <c r="K7" s="1391"/>
      <c r="L7" s="1391"/>
      <c r="M7" s="1391"/>
      <c r="N7" s="1391"/>
      <c r="O7" s="1391"/>
      <c r="P7" s="1391"/>
    </row>
    <row r="8" spans="1:16" ht="14.4">
      <c r="A8" s="47" t="s">
        <v>1918</v>
      </c>
      <c r="B8" s="50" t="s">
        <v>1919</v>
      </c>
      <c r="C8" s="48" t="s">
        <v>1920</v>
      </c>
      <c r="D8" s="48">
        <f t="shared" ref="D8:D15" si="0">ROUND($D$3*E8/$E$3,2)</f>
        <v>0</v>
      </c>
      <c r="E8" s="51">
        <f>SUMIF('数据-基础表'!BB10:BK10,"地上",'数据-基础表'!BB5:BK5)</f>
        <v>33499</v>
      </c>
      <c r="F8" s="1391"/>
      <c r="G8" s="2233"/>
      <c r="H8" s="2233"/>
      <c r="I8" s="1391"/>
      <c r="J8" s="1391"/>
      <c r="K8" s="1391"/>
      <c r="L8" s="1391"/>
      <c r="M8" s="1391"/>
      <c r="N8" s="1391"/>
      <c r="O8" s="1391"/>
      <c r="P8" s="1391"/>
    </row>
    <row r="9" spans="1:16" ht="14.4">
      <c r="A9" s="2234"/>
      <c r="B9" s="2235"/>
      <c r="C9" s="48" t="s">
        <v>1921</v>
      </c>
      <c r="D9" s="48">
        <f t="shared" si="0"/>
        <v>0</v>
      </c>
      <c r="E9" s="52">
        <v>0</v>
      </c>
      <c r="F9" s="1391"/>
      <c r="G9" s="2233"/>
      <c r="H9" s="2233"/>
      <c r="I9" s="1391"/>
      <c r="J9" s="1391"/>
      <c r="K9" s="1391"/>
      <c r="L9" s="1391"/>
      <c r="M9" s="1391"/>
      <c r="N9" s="1391"/>
      <c r="O9" s="1391"/>
      <c r="P9" s="1391"/>
    </row>
    <row r="10" spans="1:16" ht="14.4">
      <c r="A10" s="2234"/>
      <c r="B10" s="2235"/>
      <c r="C10" s="48" t="s">
        <v>1930</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1922</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1923</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1924</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1936</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1931</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1925</v>
      </c>
      <c r="D16" s="50">
        <f>SUM(D8:D15)</f>
        <v>0</v>
      </c>
      <c r="E16" s="53">
        <f>SUM(E8:E15)</f>
        <v>33499</v>
      </c>
      <c r="F16" s="1391"/>
      <c r="G16" s="2233"/>
      <c r="H16" s="2236" t="s">
        <v>1937</v>
      </c>
      <c r="I16" s="2237"/>
      <c r="J16" s="1391"/>
      <c r="K16" s="3030" t="s">
        <v>1937</v>
      </c>
      <c r="L16" s="3031"/>
      <c r="M16" s="3031"/>
      <c r="N16" s="3031"/>
      <c r="O16" s="3031"/>
      <c r="P16" s="3032"/>
    </row>
    <row r="17" spans="1:19" ht="14.4">
      <c r="A17" s="2238" t="s">
        <v>1938</v>
      </c>
      <c r="B17" s="2239" t="s">
        <v>1939</v>
      </c>
      <c r="C17" s="2240" t="s">
        <v>1940</v>
      </c>
      <c r="D17" s="2241" t="s">
        <v>1928</v>
      </c>
      <c r="E17" s="2242" t="s">
        <v>1929</v>
      </c>
      <c r="F17" s="2243"/>
      <c r="G17" s="2244"/>
      <c r="H17" s="2245" t="s">
        <v>1941</v>
      </c>
      <c r="I17" s="2246" t="s">
        <v>1926</v>
      </c>
      <c r="J17" s="1391"/>
      <c r="K17" s="3027" t="s">
        <v>1942</v>
      </c>
      <c r="L17" s="3028"/>
      <c r="M17" s="3029"/>
      <c r="N17" s="3027" t="s">
        <v>1943</v>
      </c>
      <c r="O17" s="3028"/>
      <c r="P17" s="3029"/>
      <c r="R17" s="2224" t="s">
        <v>1944</v>
      </c>
      <c r="S17" s="64"/>
    </row>
    <row r="18" spans="1:19" ht="14.4">
      <c r="A18" s="2234"/>
      <c r="B18" s="2247"/>
      <c r="C18" s="2248"/>
      <c r="D18" s="2249"/>
      <c r="E18" s="2250" t="s">
        <v>1945</v>
      </c>
      <c r="F18" s="2251" t="s">
        <v>1946</v>
      </c>
      <c r="G18" s="2252" t="s">
        <v>1947</v>
      </c>
      <c r="H18" s="1262" t="s">
        <v>1948</v>
      </c>
      <c r="I18" s="2253" t="s">
        <v>1949</v>
      </c>
      <c r="J18" s="1391"/>
      <c r="K18" s="1262" t="s">
        <v>1950</v>
      </c>
      <c r="L18" s="2254" t="s">
        <v>1951</v>
      </c>
      <c r="M18" s="1046" t="s">
        <v>1952</v>
      </c>
      <c r="N18" s="1262" t="s">
        <v>1950</v>
      </c>
      <c r="O18" s="2254" t="s">
        <v>1951</v>
      </c>
      <c r="P18" s="1046" t="s">
        <v>1952</v>
      </c>
      <c r="R18" s="1247" t="s">
        <v>1953</v>
      </c>
      <c r="S18" s="1247" t="s">
        <v>1954</v>
      </c>
    </row>
    <row r="19" spans="1:19" ht="14.4">
      <c r="A19" s="2255"/>
      <c r="B19" s="50" t="s">
        <v>1927</v>
      </c>
      <c r="C19" s="3290" t="s">
        <v>3112</v>
      </c>
      <c r="D19" s="48">
        <f>ROUND($D$3*E19/$E$3,2)</f>
        <v>0</v>
      </c>
      <c r="E19" s="56">
        <f t="shared" ref="E19:E26" si="1">SUM(F19:G19)</f>
        <v>33499</v>
      </c>
      <c r="F19" s="57">
        <f>'数据-基础表'!I13</f>
        <v>33499</v>
      </c>
      <c r="G19" s="58"/>
      <c r="H19" s="723">
        <f>ROUND($D$3*I19/$E$3,2)</f>
        <v>0</v>
      </c>
      <c r="I19" s="51">
        <f t="shared" ref="I19:I26" si="2">IF($I$17="自定义",P19,M19)</f>
        <v>14663.54</v>
      </c>
      <c r="J19" s="1391"/>
      <c r="K19" s="1390">
        <f t="shared" ref="K19:K26" si="3">ROUND(E$28*E19/E$27,2)</f>
        <v>14663.54</v>
      </c>
      <c r="L19" s="1247">
        <f t="shared" ref="L19:L26" si="4">ROUND(IF(COUNTIF(C19,"*住宅*")&gt;0,E$29*E19/E$32,0),2)</f>
        <v>0</v>
      </c>
      <c r="M19" s="1402">
        <f>K19+L19</f>
        <v>14663.54</v>
      </c>
      <c r="N19" s="2257"/>
      <c r="O19" s="2258"/>
      <c r="P19" s="1402">
        <f>N19+O19</f>
        <v>0</v>
      </c>
      <c r="R19" s="1247">
        <f t="shared" ref="R19:S26" si="5">D19+H19</f>
        <v>0</v>
      </c>
      <c r="S19" s="1248">
        <f t="shared" si="5"/>
        <v>48162.54</v>
      </c>
    </row>
    <row r="20" spans="1:19" ht="14.4">
      <c r="A20" s="2259"/>
      <c r="B20" s="50" t="s">
        <v>1955</v>
      </c>
      <c r="C20" s="2256"/>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ht="14.4">
      <c r="A21" s="2259"/>
      <c r="B21" s="50" t="s">
        <v>1955</v>
      </c>
      <c r="C21" s="2256"/>
      <c r="D21" s="48">
        <f t="shared" si="6"/>
        <v>0</v>
      </c>
      <c r="E21" s="56">
        <f t="shared" si="1"/>
        <v>0</v>
      </c>
      <c r="F21" s="57"/>
      <c r="G21" s="58"/>
      <c r="H21" s="723">
        <f t="shared" si="7"/>
        <v>0</v>
      </c>
      <c r="I21" s="51">
        <f t="shared" si="2"/>
        <v>0</v>
      </c>
      <c r="J21" s="1391"/>
      <c r="K21" s="1390">
        <f t="shared" si="3"/>
        <v>0</v>
      </c>
      <c r="L21" s="1247">
        <f t="shared" si="4"/>
        <v>0</v>
      </c>
      <c r="M21" s="1402">
        <f t="shared" si="8"/>
        <v>0</v>
      </c>
      <c r="N21" s="2257"/>
      <c r="O21" s="2258"/>
      <c r="P21" s="1402">
        <f t="shared" si="9"/>
        <v>0</v>
      </c>
      <c r="R21" s="1247">
        <f t="shared" si="5"/>
        <v>0</v>
      </c>
      <c r="S21" s="1248">
        <f t="shared" si="5"/>
        <v>0</v>
      </c>
    </row>
    <row r="22" spans="1:19" ht="14.4">
      <c r="A22" s="2259"/>
      <c r="B22" s="50" t="s">
        <v>1955</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ht="14.4">
      <c r="A23" s="2259"/>
      <c r="B23" s="50" t="s">
        <v>1955</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ht="14.4">
      <c r="A24" s="2259"/>
      <c r="B24" s="50" t="s">
        <v>1955</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ht="14.4">
      <c r="A25" s="2259"/>
      <c r="B25" s="50" t="s">
        <v>1955</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ht="14.4">
      <c r="A26" s="2259"/>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1956</v>
      </c>
      <c r="D27" s="1392">
        <f>SUM(D19:D26)</f>
        <v>0</v>
      </c>
      <c r="E27" s="1393">
        <f>IF(SUM(E19:E26)='数据-基础表'!BA5,SUM(E19:E26),IF(F27="地上面积有误","面积有误","地下面积有误"))</f>
        <v>33499</v>
      </c>
      <c r="F27" s="1392">
        <f>IF(SUM(F19:F26)=E8,SUM(F19:F26),"地上面积有误")</f>
        <v>33499</v>
      </c>
      <c r="G27" s="1394">
        <f>SUM(G19:G26)</f>
        <v>0</v>
      </c>
      <c r="H27" s="1395">
        <f>SUM(H19:H26)</f>
        <v>0</v>
      </c>
      <c r="I27" s="1396">
        <f>SUM(I19:I26)</f>
        <v>14663.54</v>
      </c>
      <c r="J27" s="1391"/>
      <c r="K27" s="1399">
        <f>SUM(K19:K26)</f>
        <v>14663.54</v>
      </c>
      <c r="L27" s="1400">
        <f>SUM(L19:L26)</f>
        <v>0</v>
      </c>
      <c r="M27" s="1403">
        <f>SUM(M19:M26)</f>
        <v>14663.54</v>
      </c>
      <c r="N27" s="1399">
        <f t="shared" ref="N27:O27" si="10">SUM(N19:N26)</f>
        <v>0</v>
      </c>
      <c r="O27" s="1400">
        <f t="shared" si="10"/>
        <v>0</v>
      </c>
      <c r="P27" s="1401">
        <f>SUM(P19:P26)</f>
        <v>0</v>
      </c>
      <c r="R27" s="1249">
        <f>IF(SUM(R19:R26)=$D$3,SUM(R19:R26),SUM(R19:R26)&amp;"误差"&amp;ROUND(SUM(R19:R26)-$D$3,2))</f>
        <v>0</v>
      </c>
      <c r="S27" s="1247">
        <f>IF(SUM(S19:S26)=$E$3,SUM(S19:S26),SUM(S19:S26)&amp;"误差"&amp;ROUND(SUM(S19:S26)-E3,2))</f>
        <v>48162.54</v>
      </c>
    </row>
    <row r="28" spans="1:19" ht="14.4">
      <c r="A28" s="2259"/>
      <c r="B28" s="50" t="s">
        <v>1957</v>
      </c>
      <c r="C28" s="1259" t="s">
        <v>1958</v>
      </c>
      <c r="D28" s="48">
        <f>ROUND($D$3*E28/$E$3,2)</f>
        <v>0</v>
      </c>
      <c r="E28" s="56">
        <f>SUM(F28:G28)</f>
        <v>14663.54</v>
      </c>
      <c r="F28" s="64">
        <f>'数据-基础表'!BQ5+'数据-基础表'!BS5</f>
        <v>4678.5400000000009</v>
      </c>
      <c r="G28" s="65">
        <f>'数据-基础表'!BR5+'数据-基础表'!BT5</f>
        <v>9985</v>
      </c>
      <c r="H28" s="1391"/>
      <c r="I28" s="1391"/>
      <c r="J28" s="1391"/>
      <c r="K28" s="1391"/>
      <c r="L28" s="1391"/>
      <c r="M28" s="1391"/>
      <c r="N28" s="1391"/>
      <c r="O28" s="1391"/>
      <c r="P28" s="1391"/>
    </row>
    <row r="29" spans="1:19" ht="14.4">
      <c r="A29" s="2259"/>
      <c r="B29" s="50" t="s">
        <v>1957</v>
      </c>
      <c r="C29" s="2263"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1956</v>
      </c>
      <c r="D30" s="1392">
        <f>SUM(D28:D29)</f>
        <v>0</v>
      </c>
      <c r="E30" s="1392">
        <f>SUM(E28:E29)</f>
        <v>14663.54</v>
      </c>
      <c r="F30" s="1392">
        <f>SUM(F28:F29)</f>
        <v>4678.5400000000009</v>
      </c>
      <c r="G30" s="1394">
        <f>SUM(G28:G29)</f>
        <v>9985</v>
      </c>
      <c r="H30" s="1391"/>
      <c r="I30" s="1391"/>
      <c r="J30" s="1391"/>
      <c r="K30" s="1391"/>
      <c r="L30" s="1391"/>
      <c r="M30" s="1391"/>
      <c r="N30" s="1391"/>
      <c r="O30" s="1391"/>
      <c r="P30" s="1391"/>
    </row>
    <row r="31" spans="1:19" ht="15" thickBot="1">
      <c r="A31" s="2265"/>
      <c r="B31" s="2266"/>
      <c r="C31" s="1007" t="s">
        <v>1960</v>
      </c>
      <c r="D31" s="729">
        <f>D27+D30</f>
        <v>0</v>
      </c>
      <c r="E31" s="729">
        <f>E27+E30</f>
        <v>48162.54</v>
      </c>
      <c r="F31" s="730">
        <f>F27+F30</f>
        <v>38177.54</v>
      </c>
      <c r="G31" s="731">
        <f>G27+G30</f>
        <v>9985</v>
      </c>
      <c r="H31" s="1391"/>
      <c r="I31" s="1391"/>
      <c r="J31" s="1391"/>
      <c r="K31" s="1391"/>
      <c r="L31" s="1391"/>
      <c r="M31" s="1391"/>
      <c r="N31" s="1391"/>
      <c r="O31" s="1391"/>
      <c r="P31" s="1391"/>
    </row>
    <row r="32" spans="1:19" ht="14.4">
      <c r="A32" s="2229"/>
      <c r="B32" s="2229" t="s">
        <v>1961</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24" width="6.77734375" style="2271" customWidth="1"/>
    <col min="25" max="25" width="8.109375" style="2271" customWidth="1"/>
    <col min="26"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1962</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2" t="s">
        <v>1963</v>
      </c>
      <c r="B2" s="1266">
        <f>项目基本情况!D3</f>
        <v>43918</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4.4" thickBot="1">
      <c r="A3" s="2026"/>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57.6">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3113</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3.8">
      <c r="A6" s="2302" t="str">
        <f>'数据-汇总表'!C19</f>
        <v>酒店</v>
      </c>
      <c r="B6" s="2303" t="str">
        <f>IF(A6=0,"","经营性")</f>
        <v>经营性</v>
      </c>
      <c r="C6" s="2304" t="s">
        <v>1372</v>
      </c>
      <c r="D6" s="1051">
        <f>SUMIF(项目基本情况!D$12:I$12,C6,项目基本情况!D$14:I$14)</f>
        <v>40</v>
      </c>
      <c r="E6" s="1048">
        <f>IF(B6="","",SUMIF(项目基本情况!D$12:I$12,C6,项目基本情况!D$13:I$13))</f>
        <v>54772</v>
      </c>
      <c r="F6" s="72">
        <f>SUMIF(项目基本情况!D$12:I$12,C6,项目基本情况!D$15:I$15)</f>
        <v>29.73</v>
      </c>
      <c r="G6" s="73">
        <f>IF(ISERROR(ROUND(POWER(1+H6,D6-F6)*(POWER(1+H6,F6)-1)/(POWER(1+H6,D6)-1),3)),0,ROUND(POWER(1+H6,D6-F6)*(POWER(1+H6,F6)-1)/(POWER(1+H6,D6)-1),3))</f>
        <v>0.91200000000000003</v>
      </c>
      <c r="H6" s="802">
        <v>0.06</v>
      </c>
      <c r="I6" s="802">
        <v>6.5000000000000002E-2</v>
      </c>
      <c r="J6" s="74">
        <v>8.5000000000000006E-2</v>
      </c>
      <c r="K6" s="1251">
        <f>SUMIF('数据-汇总表'!C$19:C$33,A6,'数据-汇总表'!E$19:E$33)</f>
        <v>33499</v>
      </c>
      <c r="L6" s="803">
        <v>6000</v>
      </c>
      <c r="M6" s="75">
        <f t="shared" ref="M6:M14" si="0">ROUND(K6*L6/10000,0)</f>
        <v>20099</v>
      </c>
      <c r="N6" s="801">
        <v>1</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14663.54</v>
      </c>
      <c r="T6" s="1442">
        <f>ROUND($L$14*S6/10000,0)</f>
        <v>8798</v>
      </c>
      <c r="U6" s="78"/>
      <c r="V6" s="79">
        <v>5.0000000000000001E-3</v>
      </c>
      <c r="W6" s="79">
        <v>0</v>
      </c>
      <c r="X6" s="1261"/>
      <c r="Y6" s="80">
        <v>1</v>
      </c>
      <c r="Z6" s="81"/>
      <c r="AA6" s="74"/>
      <c r="AB6" s="74"/>
      <c r="AC6" s="1261"/>
      <c r="AD6" s="82"/>
      <c r="AE6" s="1262">
        <f ca="1">IF(AN6="",0,SUMIF(INDIRECT("'"&amp;AN6&amp;"'"&amp;"!E:E"),$AE$5,INDIRECT("'"&amp;AN6&amp;"'"&amp;"!F:F")))</f>
        <v>29.73</v>
      </c>
      <c r="AF6" s="1802"/>
      <c r="AG6" s="147">
        <f>IF(AF6="",0,AE6-AF6)</f>
        <v>0</v>
      </c>
      <c r="AH6" s="83"/>
      <c r="AI6" s="85">
        <v>365</v>
      </c>
      <c r="AJ6" s="86"/>
      <c r="AK6" s="87">
        <v>1.4999999999999999E-2</v>
      </c>
      <c r="AL6" s="88">
        <v>2E-3</v>
      </c>
      <c r="AM6" s="89">
        <v>0.02</v>
      </c>
      <c r="AN6" s="2305" t="s">
        <v>3114</v>
      </c>
      <c r="AO6" s="55">
        <f ca="1">SUMIF(INDIRECT("'"&amp;AN6&amp;"'"&amp;"!A:A"),"总价",INDIRECT("'"&amp;AN6&amp;"'"&amp;"!B:B"))</f>
        <v>36449</v>
      </c>
      <c r="AP6" s="2306">
        <f>IF(C6="住宅",K6*L6,0)</f>
        <v>0</v>
      </c>
      <c r="AQ6" s="55">
        <f>ROUND($L$14*$N$14*S6/10000,0)</f>
        <v>8798</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3.8">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2"/>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4">
      <c r="A14" s="2307" t="s">
        <v>2007</v>
      </c>
      <c r="B14" s="2303" t="s">
        <v>2008</v>
      </c>
      <c r="C14" s="2308" t="s">
        <v>2007</v>
      </c>
      <c r="D14" s="1051"/>
      <c r="E14" s="1048"/>
      <c r="F14" s="72"/>
      <c r="G14" s="73"/>
      <c r="H14" s="1250"/>
      <c r="I14" s="1250"/>
      <c r="J14" s="1250"/>
      <c r="K14" s="1251">
        <f>SUMIF('数据-汇总表'!C$19:C$33,A14,'数据-汇总表'!E$19:E$33)</f>
        <v>14663.54</v>
      </c>
      <c r="L14" s="91">
        <f>L6</f>
        <v>6000</v>
      </c>
      <c r="M14" s="75">
        <f t="shared" si="0"/>
        <v>8798</v>
      </c>
      <c r="N14" s="92">
        <f>N6</f>
        <v>1</v>
      </c>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8.8">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 thickBot="1">
      <c r="A16" s="2309" t="s">
        <v>2011</v>
      </c>
      <c r="B16" s="97"/>
      <c r="C16" s="1005"/>
      <c r="D16" s="2310"/>
      <c r="E16" s="97"/>
      <c r="F16" s="97"/>
      <c r="G16" s="98">
        <f>ROUND(SUMPRODUCT(G6:G13,K6:K13)/SUMPRODUCT((G6:G13&gt;0)*(K6:K13)),3)</f>
        <v>0.91200000000000003</v>
      </c>
      <c r="H16" s="99">
        <f>ROUND(SUMPRODUCT(H6:H13,K6:K13)/SUMPRODUCT((H6:H13&gt;0)*(K6:K13)),3)</f>
        <v>0.06</v>
      </c>
      <c r="I16" s="100"/>
      <c r="J16" s="100"/>
      <c r="K16" s="101">
        <f>SUM(K6:K15)</f>
        <v>48162.54</v>
      </c>
      <c r="L16" s="102">
        <f>ROUND(M16*10000/SUM(K6:K14),0)</f>
        <v>6000</v>
      </c>
      <c r="M16" s="102">
        <f>SUM(M6:M14)</f>
        <v>28897</v>
      </c>
      <c r="N16" s="103">
        <f>ROUND(SUMPRODUCT(M6:M14,N6:N14)/M16,3)</f>
        <v>1</v>
      </c>
      <c r="O16" s="102">
        <f>SUM(O6:O14)</f>
        <v>0</v>
      </c>
      <c r="P16" s="102">
        <f>SUM(P6:P14)</f>
        <v>0</v>
      </c>
      <c r="Q16" s="104">
        <f>ROUND(SUMPRODUCT(Q6:Q13,K6:K13)/SUMPRODUCT((Q6:Q13&gt;0)*(K6:K13)),2)</f>
        <v>0.15</v>
      </c>
      <c r="R16" s="1255">
        <f ca="1">SUM(R6:R13)</f>
        <v>0</v>
      </c>
      <c r="S16" s="105">
        <f>SUM(S6:S13)</f>
        <v>14663.54</v>
      </c>
      <c r="T16" s="106">
        <f>IF(SUMIF(T6:T13,"&lt;9E307")=M14,SUMIF(T6:T13,"&lt;9E307"),"有误，请检查")</f>
        <v>8798</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2" t="s">
        <v>2013</v>
      </c>
      <c r="B19" s="112">
        <v>0</v>
      </c>
      <c r="C19" s="2273" t="s">
        <v>2014</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3" t="s">
        <v>2015</v>
      </c>
      <c r="B20" s="113">
        <v>2</v>
      </c>
      <c r="C20" s="2273" t="s">
        <v>2016</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4" t="s">
        <v>2017</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3" t="s">
        <v>2018</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4" t="s">
        <v>2019</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2020</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2021</v>
      </c>
      <c r="B26" s="2316" t="s">
        <v>2022</v>
      </c>
      <c r="C26" s="2317" t="s">
        <v>2023</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8.8">
      <c r="A27" s="2318" t="s">
        <v>2024</v>
      </c>
      <c r="B27" s="116"/>
      <c r="C27" s="1762" t="s">
        <v>2025</v>
      </c>
      <c r="D27" s="2319"/>
      <c r="E27" s="1426"/>
      <c r="F27" s="1426"/>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2026</v>
      </c>
      <c r="B28" s="119">
        <v>200</v>
      </c>
      <c r="C28" s="2322"/>
      <c r="D28" s="2319"/>
      <c r="E28" s="1426"/>
      <c r="F28" s="1426"/>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2027</v>
      </c>
      <c r="B29" s="121">
        <f ca="1">成本法!C10+成本法!C9</f>
        <v>963</v>
      </c>
      <c r="C29" s="1762" t="s">
        <v>2028</v>
      </c>
      <c r="D29" s="2319"/>
      <c r="E29" s="1426"/>
      <c r="F29" s="1426"/>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2029</v>
      </c>
      <c r="B30" s="724">
        <v>200</v>
      </c>
      <c r="C30" s="2322"/>
      <c r="D30" s="2319"/>
      <c r="E30" s="1426"/>
      <c r="F30" s="1426"/>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2030</v>
      </c>
      <c r="B31" s="120">
        <f>B30-B32</f>
        <v>200</v>
      </c>
      <c r="C31" s="1762"/>
      <c r="D31" s="2319"/>
      <c r="E31" s="1426"/>
      <c r="F31" s="1426"/>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2031</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2032</v>
      </c>
      <c r="B33" s="726">
        <v>0.03</v>
      </c>
      <c r="C33" s="1761" t="s">
        <v>2033</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2034</v>
      </c>
      <c r="B34" s="122">
        <v>0.05</v>
      </c>
      <c r="C34" s="1761" t="s">
        <v>2035</v>
      </c>
      <c r="D34" s="2274" t="s">
        <v>2036</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2037</v>
      </c>
      <c r="B35" s="119">
        <v>200</v>
      </c>
      <c r="C35" s="1761" t="s">
        <v>2038</v>
      </c>
      <c r="D35" s="2319"/>
      <c r="E35" s="1426"/>
      <c r="F35" s="1426"/>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1" t="s">
        <v>2040</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4" t="s">
        <v>2041</v>
      </c>
      <c r="B37" s="124">
        <v>0.02</v>
      </c>
      <c r="C37" s="1761" t="s">
        <v>2042</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1" t="s">
        <v>2043</v>
      </c>
      <c r="B38" s="122">
        <v>0.02</v>
      </c>
      <c r="C38" s="1761" t="s">
        <v>2042</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5" t="s">
        <v>2044</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2045</v>
      </c>
      <c r="B40" s="1300">
        <f ca="1">存贷款利率!G1</f>
        <v>4.7500000000000001E-2</v>
      </c>
      <c r="C40" s="1761" t="s">
        <v>2046</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8" t="s">
        <v>2047</v>
      </c>
      <c r="B41" s="125">
        <f>B42+B43</f>
        <v>5.5000000000000007E-2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6" t="s">
        <v>2048</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6" t="s">
        <v>2049</v>
      </c>
      <c r="B43" s="127">
        <f>B42*(B44+B45+B46)+B47</f>
        <v>5.000000000000001E-3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8" t="s">
        <v>2050</v>
      </c>
      <c r="B44" s="128">
        <v>0.05</v>
      </c>
      <c r="C44" s="1761" t="s">
        <v>2051</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8" t="s">
        <v>2052</v>
      </c>
      <c r="B45" s="126">
        <v>0.03</v>
      </c>
      <c r="C45" s="1762" t="s">
        <v>2053</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8" t="s">
        <v>2054</v>
      </c>
      <c r="B46" s="126">
        <v>0.02</v>
      </c>
      <c r="C46" s="1762" t="s">
        <v>2055</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2056</v>
      </c>
      <c r="B47" s="129"/>
      <c r="C47" s="1762" t="s">
        <v>2057</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0" t="s">
        <v>2058</v>
      </c>
      <c r="B48" s="130">
        <v>0.03</v>
      </c>
      <c r="C48" s="1769" t="s">
        <v>2059</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2060</v>
      </c>
      <c r="B49" s="126">
        <v>5.0000000000000001E-4</v>
      </c>
      <c r="C49" s="1769" t="s">
        <v>2061</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1" t="s">
        <v>2062</v>
      </c>
      <c r="B50" s="131">
        <v>1.2E-2</v>
      </c>
      <c r="C50" s="1426"/>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2063</v>
      </c>
      <c r="B51" s="132">
        <v>0.12</v>
      </c>
      <c r="C51" s="1426"/>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1" t="s">
        <v>2064</v>
      </c>
      <c r="B52" s="133">
        <f>SUMIF(A54:A63,B53,B54:B63)</f>
        <v>1.5</v>
      </c>
      <c r="C52" s="1426"/>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1" t="s">
        <v>2065</v>
      </c>
      <c r="B53" s="2332" t="s">
        <v>56</v>
      </c>
      <c r="C53" s="1426" t="s">
        <v>2066</v>
      </c>
      <c r="D53" s="2333" t="s">
        <v>2067</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4" t="s">
        <v>2068</v>
      </c>
      <c r="B54" s="84"/>
      <c r="C54" s="1426">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4" t="s">
        <v>2069</v>
      </c>
      <c r="B55" s="84"/>
      <c r="C55" s="1426">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4" t="s">
        <v>2070</v>
      </c>
      <c r="B56" s="84"/>
      <c r="C56" s="1426">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4" t="s">
        <v>2071</v>
      </c>
      <c r="B57" s="84"/>
      <c r="C57" s="1426">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4" t="s">
        <v>2072</v>
      </c>
      <c r="B58" s="84"/>
      <c r="C58" s="1426">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4" t="s">
        <v>2073</v>
      </c>
      <c r="B59" s="84">
        <v>1.5</v>
      </c>
      <c r="C59" s="1426">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4" t="s">
        <v>2074</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4" t="s">
        <v>2075</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4" t="s">
        <v>2076</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2077</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42" t="s">
        <v>2078</v>
      </c>
      <c r="B1" s="3043"/>
      <c r="C1" s="3043"/>
      <c r="D1" s="3043"/>
      <c r="E1" s="3043"/>
      <c r="F1" s="3043"/>
      <c r="G1" s="304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2079</v>
      </c>
      <c r="D2" s="2361"/>
      <c r="E2" s="2362"/>
      <c r="F2" s="2282"/>
      <c r="G2" s="2360" t="s">
        <v>2080</v>
      </c>
      <c r="H2" s="2363"/>
      <c r="I2" s="2363"/>
      <c r="J2" s="2363"/>
      <c r="K2" s="2363"/>
      <c r="L2" s="2363"/>
      <c r="M2" s="2363"/>
      <c r="N2" s="2363"/>
      <c r="O2" s="2363"/>
      <c r="P2" s="2363"/>
      <c r="Q2" s="2363"/>
      <c r="R2" s="2363"/>
    </row>
    <row r="3" spans="1:29" ht="57.6">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3.2">
      <c r="A4" s="431"/>
      <c r="B4" s="1793" t="s">
        <v>2086</v>
      </c>
      <c r="C4" s="2369" t="s">
        <v>2087</v>
      </c>
      <c r="D4" s="2366"/>
      <c r="E4" s="2370"/>
      <c r="F4" s="42" t="s">
        <v>2088</v>
      </c>
      <c r="G4" s="2371" t="s">
        <v>2089</v>
      </c>
      <c r="H4" s="2363"/>
      <c r="I4" s="2363"/>
      <c r="J4" s="2363"/>
      <c r="K4" s="2363"/>
      <c r="L4" s="2363"/>
      <c r="M4" s="2363"/>
      <c r="N4" s="2363"/>
      <c r="O4" s="2363"/>
      <c r="P4" s="2363"/>
      <c r="Q4" s="2363"/>
      <c r="R4" s="2363"/>
    </row>
    <row r="5" spans="1:29" ht="43.2">
      <c r="A5" s="431"/>
      <c r="B5" s="1793" t="s">
        <v>2090</v>
      </c>
      <c r="C5" s="2369" t="s">
        <v>2091</v>
      </c>
      <c r="D5" s="2366"/>
      <c r="E5" s="2370"/>
      <c r="F5" s="1793" t="s">
        <v>2092</v>
      </c>
      <c r="G5" s="2371" t="s">
        <v>2093</v>
      </c>
      <c r="H5" s="2363"/>
      <c r="I5" s="2363"/>
      <c r="J5" s="2363"/>
      <c r="K5" s="2363"/>
      <c r="L5" s="2363"/>
      <c r="M5" s="2363"/>
      <c r="N5" s="2363"/>
      <c r="O5" s="2363"/>
      <c r="P5" s="2363"/>
      <c r="Q5" s="2363"/>
      <c r="R5" s="2363"/>
    </row>
    <row r="6" spans="1:29" ht="57.6">
      <c r="A6" s="431"/>
      <c r="B6" s="1793" t="s">
        <v>2094</v>
      </c>
      <c r="C6" s="2371" t="s">
        <v>2089</v>
      </c>
      <c r="D6" s="2366"/>
      <c r="E6" s="2370"/>
      <c r="F6" s="1793" t="s">
        <v>2095</v>
      </c>
      <c r="G6" s="2371" t="s">
        <v>2096</v>
      </c>
      <c r="H6" s="2363"/>
      <c r="I6" s="2363"/>
      <c r="J6" s="2363"/>
      <c r="K6" s="2363"/>
      <c r="L6" s="2363"/>
      <c r="M6" s="2363"/>
      <c r="N6" s="2363"/>
      <c r="O6" s="2363"/>
      <c r="P6" s="2363"/>
      <c r="Q6" s="2363"/>
      <c r="R6" s="2363"/>
    </row>
    <row r="7" spans="1:29" ht="43.8" thickBot="1">
      <c r="A7" s="431"/>
      <c r="B7" s="1793" t="s">
        <v>2092</v>
      </c>
      <c r="C7" s="2371" t="s">
        <v>2093</v>
      </c>
      <c r="D7" s="2372"/>
      <c r="E7" s="2373"/>
      <c r="F7" s="2374" t="s">
        <v>2097</v>
      </c>
      <c r="G7" s="2375" t="s">
        <v>2098</v>
      </c>
      <c r="H7" s="2363"/>
      <c r="I7" s="2363"/>
      <c r="J7" s="2363"/>
      <c r="K7" s="2363"/>
      <c r="L7" s="2363"/>
      <c r="M7" s="2363"/>
      <c r="N7" s="2363"/>
      <c r="O7" s="2363"/>
      <c r="P7" s="2363"/>
      <c r="Q7" s="2363"/>
      <c r="R7" s="2363"/>
    </row>
    <row r="8" spans="1:29" ht="28.8">
      <c r="A8" s="431"/>
      <c r="B8" s="1793" t="s">
        <v>2095</v>
      </c>
      <c r="C8" s="2371" t="s">
        <v>2096</v>
      </c>
      <c r="D8" s="2372"/>
      <c r="E8" s="2372"/>
      <c r="F8" s="1133"/>
      <c r="G8" s="1133"/>
      <c r="H8" s="2363"/>
      <c r="I8" s="2363"/>
      <c r="J8" s="2363"/>
      <c r="K8" s="2363"/>
      <c r="L8" s="2363"/>
      <c r="M8" s="2363"/>
      <c r="N8" s="2363"/>
      <c r="O8" s="2363"/>
      <c r="P8" s="2363"/>
      <c r="Q8" s="2363"/>
      <c r="R8" s="2363"/>
    </row>
    <row r="9" spans="1:29" ht="43.2">
      <c r="A9" s="431"/>
      <c r="B9" s="1793" t="s">
        <v>2099</v>
      </c>
      <c r="C9" s="2369" t="s">
        <v>2100</v>
      </c>
      <c r="D9" s="2366"/>
      <c r="E9" s="2372"/>
      <c r="F9" s="1133"/>
      <c r="G9" s="1133"/>
      <c r="H9" s="2363"/>
      <c r="I9" s="2363"/>
      <c r="J9" s="2363"/>
      <c r="K9" s="2363"/>
      <c r="L9" s="2363"/>
      <c r="M9" s="2363"/>
      <c r="N9" s="2363"/>
      <c r="O9" s="2363"/>
      <c r="P9" s="2363"/>
      <c r="Q9" s="2363"/>
      <c r="R9" s="2363"/>
    </row>
    <row r="10" spans="1:29" s="117" customFormat="1" ht="1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2102</v>
      </c>
      <c r="B13" s="2383"/>
      <c r="C13" s="2383"/>
      <c r="D13" s="2390"/>
      <c r="E13" s="2383"/>
      <c r="F13" s="2383"/>
      <c r="G13" s="2383"/>
    </row>
    <row r="14" spans="1:29" ht="15" thickBot="1">
      <c r="A14" s="2394"/>
      <c r="B14" s="2395"/>
      <c r="C14" s="2396" t="s">
        <v>2103</v>
      </c>
      <c r="D14" s="2366"/>
      <c r="E14" s="2397"/>
      <c r="F14" s="2397"/>
      <c r="G14" s="2360" t="s">
        <v>2104</v>
      </c>
    </row>
    <row r="15" spans="1:29" ht="55.2">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1.4">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1.4">
      <c r="A17" s="645"/>
      <c r="B17" s="2400" t="s">
        <v>2090</v>
      </c>
      <c r="C17" s="2401" t="str">
        <f>C5</f>
        <v>估价对象位于XX商圈，周边办公楼项目较多，入驻率高，办公集聚程度较好</v>
      </c>
      <c r="D17" s="2372"/>
      <c r="E17" s="2402"/>
      <c r="F17" s="2403" t="s">
        <v>2108</v>
      </c>
      <c r="G17" s="1567"/>
    </row>
    <row r="18" spans="1:18" ht="55.2">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7.6">
      <c r="A19" s="645"/>
      <c r="B19" s="2403" t="s">
        <v>2109</v>
      </c>
      <c r="C19" s="1567"/>
      <c r="D19" s="2366"/>
      <c r="E19" s="2402"/>
      <c r="F19" s="1793" t="s">
        <v>2092</v>
      </c>
      <c r="G19" s="136" t="str">
        <f>G5</f>
        <v>估价对象所在区域公共配套设施齐备情况</v>
      </c>
    </row>
    <row r="20" spans="1:18" ht="41.4">
      <c r="A20" s="645"/>
      <c r="B20" s="2403" t="s">
        <v>2110</v>
      </c>
      <c r="C20" s="2401" t="str">
        <f>C9</f>
        <v>区域自然环境：；人文环境；综合评价环境状况一般</v>
      </c>
      <c r="D20" s="2372"/>
      <c r="E20" s="2402"/>
      <c r="F20" s="1793" t="s">
        <v>2111</v>
      </c>
      <c r="G20" s="136" t="str">
        <f>G6</f>
        <v>估价对象所在区域基础设施水平</v>
      </c>
    </row>
    <row r="21" spans="1:18" ht="27.6">
      <c r="A21" s="645"/>
      <c r="B21" s="1793" t="s">
        <v>2092</v>
      </c>
      <c r="C21" s="136" t="str">
        <f>C7</f>
        <v>估价对象所在区域公共配套设施齐备情况</v>
      </c>
      <c r="D21" s="2366"/>
      <c r="E21" s="2402"/>
      <c r="F21" s="2403" t="s">
        <v>2112</v>
      </c>
      <c r="G21" s="2404"/>
    </row>
    <row r="22" spans="1:18" ht="13.5" customHeight="1">
      <c r="A22" s="645"/>
      <c r="B22" s="1793" t="s">
        <v>2095</v>
      </c>
      <c r="C22" s="136" t="str">
        <f>C8</f>
        <v>估价对象所在区域基础设施水平</v>
      </c>
      <c r="D22" s="2366"/>
      <c r="E22" s="2402"/>
      <c r="F22" s="2403" t="s">
        <v>2101</v>
      </c>
      <c r="G22" s="1567"/>
    </row>
    <row r="23" spans="1:18" s="2363" customFormat="1" ht="1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48162.54</v>
      </c>
      <c r="C1" s="1740"/>
      <c r="D1" s="1740"/>
      <c r="E1" s="1740"/>
      <c r="F1" s="1740"/>
      <c r="G1" s="1738"/>
    </row>
    <row r="2" spans="1:10" ht="16.2">
      <c r="A2" s="1741" t="s">
        <v>1348</v>
      </c>
      <c r="B2" s="1741">
        <f>SUM(C14:C23)</f>
        <v>0</v>
      </c>
      <c r="C2" s="1740"/>
      <c r="D2" s="1740"/>
      <c r="E2" s="1740"/>
      <c r="F2" s="1740"/>
      <c r="G2" s="1738"/>
    </row>
    <row r="3" spans="1:10" ht="15.6">
      <c r="A3" s="1741" t="s">
        <v>1357</v>
      </c>
      <c r="B3" s="1742">
        <f>项目基本情况!D3</f>
        <v>43918</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92308</v>
      </c>
      <c r="C5" s="1741">
        <f ca="1">ROUND(B5*10000/$B$1,0)</f>
        <v>19166</v>
      </c>
      <c r="D5" s="1741" t="e">
        <f ca="1">ROUND(B5*10000/$B$2,0)</f>
        <v>#DIV/0!</v>
      </c>
      <c r="E5" s="1740"/>
      <c r="F5" s="1738"/>
      <c r="G5" s="1738"/>
    </row>
    <row r="6" spans="1:10" ht="15.6">
      <c r="A6" s="1741" t="s">
        <v>1351</v>
      </c>
      <c r="B6" s="1741">
        <f ca="1">SUM(G14:G23)</f>
        <v>92308</v>
      </c>
      <c r="C6" s="1741">
        <f ca="1">ROUND(B6*10000/$B$1,0)</f>
        <v>19166</v>
      </c>
      <c r="D6" s="1741" t="e">
        <f ca="1">ROUND(B6*10000/$B$2,0)</f>
        <v>#DIV/0!</v>
      </c>
      <c r="E6" s="1740"/>
      <c r="F6" s="1738"/>
      <c r="G6" s="1738"/>
    </row>
    <row r="7" spans="1:10" ht="15.6">
      <c r="A7" s="1741" t="s">
        <v>1359</v>
      </c>
      <c r="B7" s="1741">
        <f>SUM(H14:H23)</f>
        <v>0</v>
      </c>
      <c r="C7" s="1741">
        <f>ROUND(B7*10000/$B$1,0)</f>
        <v>0</v>
      </c>
      <c r="D7" s="1741" t="e">
        <f>ROUND(B7*10000/$B$2,0)</f>
        <v>#DIV/0!</v>
      </c>
      <c r="E7" s="1740"/>
      <c r="F7" s="1738"/>
      <c r="G7" s="1738"/>
    </row>
    <row r="8" spans="1:10" ht="15.6">
      <c r="A8" s="1741" t="s">
        <v>1280</v>
      </c>
      <c r="B8" s="1741">
        <f>SUM(I14:I23)</f>
        <v>0</v>
      </c>
      <c r="C8" s="1741">
        <f>ROUND(B8*10000/$B$1,0)</f>
        <v>0</v>
      </c>
      <c r="D8" s="1741" t="e">
        <f>ROUND(B8*10000/$B$2,0)</f>
        <v>#DIV/0!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48162.54</v>
      </c>
      <c r="C14" s="1739">
        <f>结果表!C118</f>
        <v>0</v>
      </c>
      <c r="D14" s="1739">
        <f ca="1">结果表!H118</f>
        <v>92308</v>
      </c>
      <c r="E14" s="1739">
        <f ca="1">ROUND(D14*10000/B14,0)</f>
        <v>19166</v>
      </c>
      <c r="F14" s="1739" t="e">
        <f ca="1">ROUND(D14*10000/C14,0)</f>
        <v>#DIV/0!</v>
      </c>
      <c r="G14" s="1739">
        <f ca="1">结果表!D122</f>
        <v>92308</v>
      </c>
      <c r="H14" s="1739" t="str">
        <f>结果表!D124</f>
        <v>——</v>
      </c>
      <c r="I14" s="1739" t="str">
        <f>结果表!D126</f>
        <v>——</v>
      </c>
      <c r="J14" s="1738"/>
    </row>
    <row r="15" spans="1:10" ht="15.6">
      <c r="A15" s="1737" t="s">
        <v>1344</v>
      </c>
      <c r="B15" s="1744"/>
      <c r="C15" s="1744"/>
      <c r="D15" s="1744"/>
      <c r="E15" s="1739" t="e">
        <f t="shared" ref="E15:E23" si="0">ROUND(D15*10000/B15,0)</f>
        <v>#DIV/0!</v>
      </c>
      <c r="F15" s="1739" t="e">
        <f t="shared" ref="F15:F23" si="1">ROUND(D15*10000/C15,0)</f>
        <v>#DIV/0!</v>
      </c>
      <c r="G15" s="1745"/>
      <c r="H15" s="1745"/>
      <c r="I15" s="1744"/>
      <c r="J15" s="1738"/>
    </row>
    <row r="16" spans="1:10" ht="15.6">
      <c r="A16" s="1737" t="s">
        <v>1343</v>
      </c>
      <c r="B16" s="1744"/>
      <c r="C16" s="1744"/>
      <c r="D16" s="1744"/>
      <c r="E16" s="1739" t="e">
        <f t="shared" si="0"/>
        <v>#DIV/0!</v>
      </c>
      <c r="F16" s="1739" t="e">
        <f t="shared" si="1"/>
        <v>#DIV/0!</v>
      </c>
      <c r="G16" s="1745"/>
      <c r="H16" s="1745"/>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C5" sqref="C5:C7"/>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2115</v>
      </c>
      <c r="B1" s="2414"/>
      <c r="C1" s="2415"/>
      <c r="D1" s="2414"/>
      <c r="E1" s="2414"/>
      <c r="F1" s="2416" t="s">
        <v>2116</v>
      </c>
      <c r="G1" s="2066" t="s">
        <v>3071</v>
      </c>
      <c r="H1" s="2417" t="str">
        <f>IF(G1="现房","——","估价对象范围")</f>
        <v>——</v>
      </c>
      <c r="I1" s="2418"/>
    </row>
    <row r="2" spans="1:12" ht="21.75" customHeight="1" thickBot="1">
      <c r="A2" s="3077" t="str">
        <f>项目基本情况!S2</f>
        <v>北京市通州区新华东街289号院2号楼房地产</v>
      </c>
      <c r="B2" s="3078"/>
      <c r="C2" s="3078"/>
      <c r="D2" s="3078"/>
      <c r="E2" s="3078"/>
      <c r="F2" s="3078"/>
      <c r="G2" s="3078"/>
      <c r="H2" s="3078"/>
      <c r="I2" s="3079"/>
    </row>
    <row r="3" spans="1:12" ht="13.2">
      <c r="A3" s="3081" t="s">
        <v>2117</v>
      </c>
      <c r="B3" s="3082"/>
      <c r="C3" s="3082"/>
      <c r="D3" s="3082"/>
      <c r="E3" s="3082"/>
      <c r="F3" s="3082"/>
      <c r="G3" s="3082"/>
      <c r="H3" s="3082"/>
      <c r="I3" s="3082"/>
    </row>
    <row r="4" spans="1:12" ht="14.4">
      <c r="A4" s="2421" t="s">
        <v>2118</v>
      </c>
      <c r="B4" s="2422" t="s">
        <v>2119</v>
      </c>
      <c r="C4" s="2423" t="s">
        <v>3395</v>
      </c>
      <c r="D4" s="2423" t="s">
        <v>3114</v>
      </c>
      <c r="E4" s="3074" t="s">
        <v>2120</v>
      </c>
      <c r="F4" s="3075"/>
      <c r="G4" s="3075"/>
      <c r="H4" s="3075"/>
      <c r="I4" s="308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057" t="s">
        <v>2121</v>
      </c>
      <c r="B5" s="2995">
        <v>25</v>
      </c>
      <c r="C5" s="3060">
        <v>24</v>
      </c>
      <c r="D5" s="3080">
        <v>15</v>
      </c>
      <c r="E5" s="140" t="s">
        <v>2122</v>
      </c>
      <c r="F5" s="2425"/>
      <c r="G5" s="2425"/>
      <c r="H5" s="2425"/>
      <c r="I5" s="1829"/>
    </row>
    <row r="6" spans="1:12" ht="13.2">
      <c r="A6" s="3057"/>
      <c r="B6" s="2995"/>
      <c r="C6" s="3061"/>
      <c r="D6" s="3080"/>
      <c r="E6" s="140" t="s">
        <v>2123</v>
      </c>
      <c r="F6" s="2425"/>
      <c r="G6" s="2425"/>
      <c r="H6" s="2425"/>
      <c r="I6" s="1829"/>
    </row>
    <row r="7" spans="1:12" ht="13.2">
      <c r="A7" s="3057"/>
      <c r="B7" s="2995"/>
      <c r="C7" s="3062"/>
      <c r="D7" s="3080"/>
      <c r="E7" s="140" t="s">
        <v>2124</v>
      </c>
      <c r="F7" s="2425"/>
      <c r="G7" s="2425"/>
      <c r="H7" s="2425"/>
      <c r="I7" s="1829"/>
    </row>
    <row r="8" spans="1:12" ht="13.2">
      <c r="A8" s="3057" t="s">
        <v>2125</v>
      </c>
      <c r="B8" s="2995">
        <v>15</v>
      </c>
      <c r="C8" s="3060">
        <v>14</v>
      </c>
      <c r="D8" s="3080">
        <v>9</v>
      </c>
      <c r="E8" s="140" t="s">
        <v>2126</v>
      </c>
      <c r="F8" s="2425"/>
      <c r="G8" s="2425"/>
      <c r="H8" s="2425"/>
      <c r="I8" s="1829"/>
    </row>
    <row r="9" spans="1:12" ht="13.2">
      <c r="A9" s="3057"/>
      <c r="B9" s="2995"/>
      <c r="C9" s="3062"/>
      <c r="D9" s="3080"/>
      <c r="E9" s="140" t="s">
        <v>2127</v>
      </c>
      <c r="F9" s="2425"/>
      <c r="G9" s="2425"/>
      <c r="H9" s="2425"/>
      <c r="I9" s="1829"/>
    </row>
    <row r="10" spans="1:12" ht="13.2">
      <c r="A10" s="3057" t="s">
        <v>2128</v>
      </c>
      <c r="B10" s="2995">
        <v>15</v>
      </c>
      <c r="C10" s="3060">
        <v>14</v>
      </c>
      <c r="D10" s="3080">
        <v>9</v>
      </c>
      <c r="E10" s="140" t="s">
        <v>2129</v>
      </c>
      <c r="F10" s="2425"/>
      <c r="G10" s="2425"/>
      <c r="H10" s="2425"/>
      <c r="I10" s="1829"/>
    </row>
    <row r="11" spans="1:12" ht="13.2">
      <c r="A11" s="3057"/>
      <c r="B11" s="2995"/>
      <c r="C11" s="3062"/>
      <c r="D11" s="3080"/>
      <c r="E11" s="140" t="s">
        <v>2130</v>
      </c>
      <c r="F11" s="2425"/>
      <c r="G11" s="2425"/>
      <c r="H11" s="2425"/>
      <c r="I11" s="1829"/>
    </row>
    <row r="12" spans="1:12" ht="13.2">
      <c r="A12" s="3057" t="s">
        <v>2131</v>
      </c>
      <c r="B12" s="2995">
        <v>15</v>
      </c>
      <c r="C12" s="3060">
        <v>14</v>
      </c>
      <c r="D12" s="3080">
        <v>9</v>
      </c>
      <c r="E12" s="140" t="s">
        <v>2132</v>
      </c>
      <c r="F12" s="2425"/>
      <c r="G12" s="2425"/>
      <c r="H12" s="2425"/>
      <c r="I12" s="1829"/>
    </row>
    <row r="13" spans="1:12" ht="13.2">
      <c r="A13" s="3057"/>
      <c r="B13" s="2995"/>
      <c r="C13" s="3062"/>
      <c r="D13" s="3080"/>
      <c r="E13" s="140" t="s">
        <v>2133</v>
      </c>
      <c r="F13" s="2425"/>
      <c r="G13" s="2425"/>
      <c r="H13" s="2425"/>
      <c r="I13" s="1829"/>
    </row>
    <row r="14" spans="1:12" ht="13.2">
      <c r="A14" s="3057" t="s">
        <v>2134</v>
      </c>
      <c r="B14" s="2995">
        <v>30</v>
      </c>
      <c r="C14" s="3060">
        <v>28</v>
      </c>
      <c r="D14" s="3080">
        <v>21</v>
      </c>
      <c r="E14" s="140" t="s">
        <v>2135</v>
      </c>
      <c r="F14" s="2425"/>
      <c r="G14" s="2425"/>
      <c r="H14" s="2425"/>
      <c r="I14" s="1829"/>
    </row>
    <row r="15" spans="1:12" ht="13.2">
      <c r="A15" s="3057"/>
      <c r="B15" s="2995"/>
      <c r="C15" s="3061"/>
      <c r="D15" s="3080"/>
      <c r="E15" s="140" t="s">
        <v>2136</v>
      </c>
      <c r="F15" s="2425"/>
      <c r="G15" s="2425"/>
      <c r="H15" s="2425"/>
      <c r="I15" s="1829"/>
    </row>
    <row r="16" spans="1:12" ht="13.2">
      <c r="A16" s="3057"/>
      <c r="B16" s="2995"/>
      <c r="C16" s="3062"/>
      <c r="D16" s="3080"/>
      <c r="E16" s="140" t="s">
        <v>2137</v>
      </c>
      <c r="F16" s="2425"/>
      <c r="G16" s="2425"/>
      <c r="H16" s="2425"/>
      <c r="I16" s="1829"/>
    </row>
    <row r="17" spans="1:35" ht="14.4">
      <c r="A17" s="2426" t="s">
        <v>2138</v>
      </c>
      <c r="B17" s="64"/>
      <c r="C17" s="141">
        <f>SUM(C5:C16)</f>
        <v>94</v>
      </c>
      <c r="D17" s="141">
        <f>SUM(D5:D16)</f>
        <v>63</v>
      </c>
      <c r="E17" s="138"/>
      <c r="F17" s="138"/>
      <c r="G17" s="138"/>
      <c r="H17" s="138"/>
      <c r="I17" s="138"/>
      <c r="K17" s="2424"/>
      <c r="L17" s="2427" t="s">
        <v>2139</v>
      </c>
      <c r="M17" s="2427" t="s">
        <v>2140</v>
      </c>
    </row>
    <row r="18" spans="1:35" ht="15" thickBot="1">
      <c r="A18" s="2428" t="s">
        <v>2141</v>
      </c>
      <c r="B18" s="2429"/>
      <c r="C18" s="142">
        <f>ROUND(C17/SUM(C17:D17),2)</f>
        <v>0.6</v>
      </c>
      <c r="D18" s="142">
        <f>1-C18</f>
        <v>0.4</v>
      </c>
      <c r="E18" s="138"/>
      <c r="F18" s="138"/>
      <c r="G18" s="138"/>
      <c r="H18" s="138"/>
      <c r="I18" s="138"/>
      <c r="K18" s="2424" t="s">
        <v>2142</v>
      </c>
      <c r="L18" s="2424">
        <f>IF(C1="",'数据-汇总表'!E3,SUMIF(项目类型,C1,'数据-汇总表'!E17:E26)+SUMIF(项目类型,C1,'数据-汇总表'!I17:I26))</f>
        <v>48162.54</v>
      </c>
      <c r="M18" s="2424">
        <f>IF(C1="",'数据-汇总表'!E3,SUMIF(项目类型,C1,'数据-汇总表'!E17:E26))</f>
        <v>48162.54</v>
      </c>
    </row>
    <row r="19" spans="1:35" ht="14.4">
      <c r="A19" s="2430" t="s">
        <v>2143</v>
      </c>
      <c r="B19" s="2431" t="s">
        <v>2144</v>
      </c>
      <c r="C19" s="143">
        <f ca="1">SUMIF(INDIRECT("'"&amp;C4&amp;"'"&amp;"!A:A"),结果表!B19,INDIRECT("'"&amp;C4&amp;"'"&amp;"!B:B"))</f>
        <v>129548</v>
      </c>
      <c r="D19" s="144">
        <f ca="1">SUMIF(INDIRECT("'"&amp;D4&amp;"'"&amp;"!A:A"),结果表!B19,INDIRECT("'"&amp;D4&amp;"'"&amp;"!B:B"))</f>
        <v>36449</v>
      </c>
      <c r="E19" s="2430" t="s">
        <v>2145</v>
      </c>
      <c r="F19" s="2431" t="s">
        <v>2144</v>
      </c>
      <c r="G19" s="145">
        <f ca="1">ROUND(C19*$C$18+D19*$D$18,0)</f>
        <v>92308</v>
      </c>
      <c r="H19" s="2432" t="s">
        <v>2146</v>
      </c>
      <c r="I19" s="138"/>
      <c r="K19" s="2424" t="s">
        <v>2147</v>
      </c>
      <c r="L19" s="2424">
        <f>IF(C1="",'数据-汇总表'!D3,SUMIF(项目类型,C1,'数据-汇总表'!D17:D26)+SUMIF(项目类型,C1,'数据-汇总表'!H17:H27))</f>
        <v>0</v>
      </c>
      <c r="M19" s="2424">
        <f>IF(C1="",'数据-汇总表'!D3,SUMIF(项目类型,C1,'数据-汇总表'!D17:D26))</f>
        <v>0</v>
      </c>
    </row>
    <row r="20" spans="1:35" ht="14.4">
      <c r="A20" s="2433"/>
      <c r="B20" s="1247" t="s">
        <v>2148</v>
      </c>
      <c r="C20" s="146">
        <f ca="1">SUMIF(INDIRECT("'"&amp;C4&amp;"'"&amp;"!A:A"),结果表!B20,INDIRECT("'"&amp;C4&amp;"'"&amp;"!B:B"))</f>
        <v>26898</v>
      </c>
      <c r="D20" s="147">
        <f ca="1">SUMIF(INDIRECT("'"&amp;D4&amp;"'"&amp;"!A:A"),结果表!B20,INDIRECT("'"&amp;D4&amp;"'"&amp;"!B:B"))</f>
        <v>10881</v>
      </c>
      <c r="E20" s="2433"/>
      <c r="F20" s="1247" t="s">
        <v>2148</v>
      </c>
      <c r="G20" s="148">
        <f ca="1">ROUND(C20*$C$18+D20*$D$18,0)</f>
        <v>20491</v>
      </c>
      <c r="H20" s="980" t="s">
        <v>2149</v>
      </c>
      <c r="I20" s="138"/>
    </row>
    <row r="21" spans="1:35" ht="15" customHeight="1" thickBot="1">
      <c r="A21" s="1000"/>
      <c r="B21" s="2434" t="s">
        <v>2150</v>
      </c>
      <c r="C21" s="789" t="e">
        <f ca="1">ROUND(C19*10000/L19,0)</f>
        <v>#DIV/0!</v>
      </c>
      <c r="D21" s="790" t="e">
        <f ca="1">ROUND(D19*10000/L19,0)</f>
        <v>#DIV/0!</v>
      </c>
      <c r="E21" s="1000"/>
      <c r="F21" s="2434" t="s">
        <v>2150</v>
      </c>
      <c r="G21" s="149" t="e">
        <f ca="1">ROUND(G19*10000/L19,0)</f>
        <v>#DIV/0!</v>
      </c>
      <c r="H21" s="2435" t="s">
        <v>2149</v>
      </c>
      <c r="I21" s="138"/>
    </row>
    <row r="22" spans="1:35" ht="15" thickBot="1">
      <c r="A22" s="2277" t="s">
        <v>2151</v>
      </c>
      <c r="B22" s="2436"/>
      <c r="C22" s="2437"/>
      <c r="D22" s="791">
        <f ca="1">IF(C19&lt;D19,D19/C19-1,C19/D19-1)</f>
        <v>2.5542264534006418</v>
      </c>
      <c r="E22" s="138"/>
      <c r="F22" s="138"/>
      <c r="G22" s="138"/>
      <c r="H22" s="138"/>
      <c r="I22" s="138"/>
    </row>
    <row r="23" spans="1:35" ht="13.8" thickBot="1">
      <c r="A23" s="2414"/>
      <c r="B23" s="2414"/>
      <c r="C23" s="2414"/>
      <c r="D23" s="2414"/>
      <c r="E23" s="138"/>
      <c r="F23" s="138"/>
      <c r="G23" s="138"/>
      <c r="H23" s="138"/>
      <c r="I23" s="138"/>
    </row>
    <row r="24" spans="1:35" ht="14.4">
      <c r="A24" s="3051" t="s">
        <v>2152</v>
      </c>
      <c r="B24" s="2431" t="s">
        <v>2144</v>
      </c>
      <c r="C24" s="145">
        <f>IF(B30=0,0,D30)</f>
        <v>0</v>
      </c>
      <c r="D24" s="2438"/>
      <c r="E24" s="138"/>
      <c r="F24" s="138"/>
      <c r="G24" s="138"/>
      <c r="H24" s="138"/>
      <c r="I24" s="138"/>
    </row>
    <row r="25" spans="1:35" ht="14.4">
      <c r="A25" s="3052"/>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2157</v>
      </c>
      <c r="B30" s="151"/>
      <c r="C30" s="151"/>
      <c r="D30" s="151"/>
      <c r="E30" s="2913" t="s">
        <v>3034</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2158</v>
      </c>
      <c r="B32" s="2444"/>
      <c r="C32" s="153">
        <f ca="1">IF(D32="总价",G19-C24,G20-C25)</f>
        <v>92308</v>
      </c>
      <c r="D32" s="2445" t="s">
        <v>2159</v>
      </c>
      <c r="E32" s="138"/>
      <c r="F32" s="138"/>
      <c r="G32" s="138"/>
      <c r="H32" s="138"/>
      <c r="I32" s="138"/>
    </row>
    <row r="33" spans="1:15" ht="14.4">
      <c r="A33" s="957" t="s">
        <v>2160</v>
      </c>
      <c r="B33" s="2446"/>
      <c r="C33" s="2447"/>
      <c r="D33" s="2448"/>
      <c r="E33" s="2449" t="s">
        <v>2161</v>
      </c>
      <c r="F33" s="2450" t="str">
        <f>IF(D32="楼面单价","取值（单价）","取值（总价）")</f>
        <v>取值（总价）</v>
      </c>
      <c r="G33" s="138"/>
      <c r="H33" s="138"/>
      <c r="I33" s="138"/>
    </row>
    <row r="34" spans="1:15" ht="14.4">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4"/>
      <c r="G34" s="138"/>
      <c r="H34" s="138"/>
      <c r="I34" s="138"/>
    </row>
    <row r="35" spans="1:15" ht="15" thickBot="1">
      <c r="A35" s="2454"/>
      <c r="B35" s="2455"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 thickBot="1">
      <c r="A36" s="3069" t="s">
        <v>2166</v>
      </c>
      <c r="B36" s="2457" t="s">
        <v>2167</v>
      </c>
      <c r="C36" s="154"/>
      <c r="D36" s="2458"/>
      <c r="E36" s="2459"/>
      <c r="F36" s="2460"/>
      <c r="G36" s="138"/>
      <c r="H36" s="138"/>
      <c r="I36" s="138"/>
    </row>
    <row r="37" spans="1:15" ht="15" thickBot="1">
      <c r="A37" s="3070"/>
      <c r="B37" s="2263" t="s">
        <v>2168</v>
      </c>
      <c r="C37" s="156"/>
      <c r="D37" s="1391"/>
      <c r="E37" s="1391"/>
      <c r="F37" s="2460"/>
      <c r="G37" s="138"/>
      <c r="H37" s="138"/>
      <c r="I37" s="138"/>
    </row>
    <row r="38" spans="1:15" ht="15" thickBot="1">
      <c r="A38" s="3071"/>
      <c r="B38" s="2461" t="s">
        <v>2169</v>
      </c>
      <c r="C38" s="727"/>
      <c r="D38" s="2462" t="s">
        <v>2170</v>
      </c>
      <c r="E38" s="1391"/>
      <c r="F38" s="2460"/>
      <c r="G38" s="138"/>
      <c r="H38" s="138"/>
      <c r="I38" s="138"/>
    </row>
    <row r="39" spans="1:15" ht="14.4">
      <c r="A39" s="2433" t="s">
        <v>2171</v>
      </c>
      <c r="B39" s="2463" t="s">
        <v>2172</v>
      </c>
      <c r="C39" s="2464" t="s">
        <v>2173</v>
      </c>
      <c r="D39" s="2464" t="s">
        <v>2174</v>
      </c>
      <c r="E39" s="2465" t="s">
        <v>2175</v>
      </c>
      <c r="F39" s="2460"/>
      <c r="G39" s="138"/>
      <c r="H39" s="138"/>
      <c r="I39" s="138"/>
    </row>
    <row r="40" spans="1:15" ht="13.8">
      <c r="A40" s="2466" t="s">
        <v>2176</v>
      </c>
      <c r="B40" s="158"/>
      <c r="C40" s="159"/>
      <c r="D40" s="159"/>
      <c r="E40" s="160"/>
      <c r="F40" s="2460"/>
      <c r="G40" s="138"/>
      <c r="H40" s="138"/>
      <c r="I40" s="138"/>
    </row>
    <row r="41" spans="1:15" ht="13.8">
      <c r="A41" s="2466" t="s">
        <v>2177</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048" t="s">
        <v>2180</v>
      </c>
      <c r="B45" s="3049"/>
      <c r="C45" s="3050"/>
      <c r="D45" s="164">
        <f ca="1">ROUND(H101*F45,0)</f>
        <v>92308</v>
      </c>
      <c r="E45" s="165" t="s">
        <v>2181</v>
      </c>
      <c r="F45" s="166">
        <v>1</v>
      </c>
      <c r="G45" s="167" t="s">
        <v>2182</v>
      </c>
      <c r="H45" s="138"/>
      <c r="I45" s="138"/>
      <c r="J45" s="3108" t="s">
        <v>2183</v>
      </c>
      <c r="K45" s="3108"/>
      <c r="L45" s="3108"/>
      <c r="M45" s="3108"/>
      <c r="N45" s="3108"/>
      <c r="O45" s="3108"/>
    </row>
    <row r="46" spans="1:15" ht="14.25" customHeight="1">
      <c r="A46" s="3045" t="s">
        <v>2184</v>
      </c>
      <c r="B46" s="3046"/>
      <c r="C46" s="3046"/>
      <c r="D46" s="3046"/>
      <c r="E46" s="3046"/>
      <c r="F46" s="3046"/>
      <c r="G46" s="3047"/>
      <c r="H46" s="2476"/>
      <c r="I46" s="168"/>
      <c r="J46" s="1807">
        <v>1</v>
      </c>
      <c r="K46" s="3108" t="s">
        <v>2185</v>
      </c>
      <c r="L46" s="3108"/>
      <c r="M46" s="3128"/>
      <c r="N46" s="3128"/>
      <c r="O46" s="3128"/>
    </row>
    <row r="47" spans="1:15" ht="12" customHeight="1">
      <c r="A47" s="169" t="s">
        <v>2186</v>
      </c>
      <c r="B47" s="170"/>
      <c r="C47" s="171"/>
      <c r="D47" s="172" t="s">
        <v>2187</v>
      </c>
      <c r="E47" s="24" t="s">
        <v>2188</v>
      </c>
      <c r="F47" s="173" t="s">
        <v>2189</v>
      </c>
      <c r="G47" s="174" t="s">
        <v>2190</v>
      </c>
      <c r="H47" s="2476"/>
      <c r="I47" s="168"/>
      <c r="J47" s="1807">
        <v>2</v>
      </c>
      <c r="K47" s="3108" t="s">
        <v>2191</v>
      </c>
      <c r="L47" s="3108"/>
      <c r="M47" s="3129">
        <f>'数据-取费表'!B2</f>
        <v>43918</v>
      </c>
      <c r="N47" s="3129"/>
      <c r="O47" s="3129"/>
    </row>
    <row r="48" spans="1:15" ht="26.4">
      <c r="A48" s="3076" t="s">
        <v>2192</v>
      </c>
      <c r="B48" s="3059"/>
      <c r="C48" s="3059"/>
      <c r="D48" s="140">
        <f>IF(H48="情况1",0,IF(H48="情况2",D52,IF(H48="情况3",D53,IF(H48="情况4",D54))))</f>
        <v>0</v>
      </c>
      <c r="E48" s="1796" t="str">
        <f>IF(H48="情况4","(销售额-原购置价)×税（费）率","销售额×税（费）率")</f>
        <v>销售额×税（费）率</v>
      </c>
      <c r="F48" s="175" t="str">
        <f>IF(H48="情况1","免征",'数据-取费表'!B41)</f>
        <v>免征</v>
      </c>
      <c r="G48" s="2477" t="s">
        <v>2193</v>
      </c>
      <c r="H48" s="2478" t="s">
        <v>2194</v>
      </c>
      <c r="I48" s="2476"/>
      <c r="J48" s="1807">
        <v>3</v>
      </c>
      <c r="K48" s="3108" t="s">
        <v>2195</v>
      </c>
      <c r="L48" s="3108"/>
      <c r="M48" s="3130">
        <f ca="1">H101</f>
        <v>92308</v>
      </c>
      <c r="N48" s="3130"/>
      <c r="O48" s="3130"/>
    </row>
    <row r="49" spans="1:35" ht="25.5" customHeight="1">
      <c r="A49" s="176" t="s">
        <v>2196</v>
      </c>
      <c r="B49" s="3044" t="s">
        <v>2197</v>
      </c>
      <c r="C49" s="3044"/>
      <c r="D49" s="177">
        <v>0</v>
      </c>
      <c r="E49" s="23" t="s">
        <v>2198</v>
      </c>
      <c r="F49" s="28" t="s">
        <v>34</v>
      </c>
      <c r="G49" s="3114"/>
      <c r="H49" s="138"/>
      <c r="I49" s="2479"/>
      <c r="J49" s="1807">
        <v>4</v>
      </c>
      <c r="K49" s="3108" t="str">
        <f>IF(项目基本情况!E8="房地产抵押价值","房地产抵押价值","抵押担保权已注销时的房地产抵押价值")</f>
        <v>房地产抵押价值</v>
      </c>
      <c r="L49" s="3108"/>
      <c r="M49" s="3130">
        <f ca="1">IF(项目基本情况!E8="房地产抵押价值",H107,H109)</f>
        <v>92308</v>
      </c>
      <c r="N49" s="3130"/>
      <c r="O49" s="3130"/>
    </row>
    <row r="50" spans="1:35" ht="25.5" customHeight="1">
      <c r="A50" s="178"/>
      <c r="B50" s="3044" t="s">
        <v>2199</v>
      </c>
      <c r="C50" s="3044"/>
      <c r="D50" s="179"/>
      <c r="E50" s="31"/>
      <c r="F50" s="180"/>
      <c r="G50" s="3115"/>
      <c r="H50" s="138"/>
      <c r="I50" s="2479"/>
      <c r="J50" s="3108" t="s">
        <v>2200</v>
      </c>
      <c r="K50" s="3108"/>
      <c r="L50" s="3108"/>
      <c r="M50" s="3108"/>
      <c r="N50" s="3108"/>
      <c r="O50" s="3108"/>
    </row>
    <row r="51" spans="1:35" ht="12" customHeight="1">
      <c r="A51" s="181"/>
      <c r="B51" s="3044" t="s">
        <v>2201</v>
      </c>
      <c r="C51" s="3044"/>
      <c r="D51" s="182"/>
      <c r="E51" s="30"/>
      <c r="F51" s="180"/>
      <c r="G51" s="3116"/>
      <c r="H51" s="138"/>
      <c r="I51" s="2479"/>
      <c r="J51" s="2480" t="s">
        <v>2202</v>
      </c>
      <c r="K51" s="3108" t="s">
        <v>2203</v>
      </c>
      <c r="L51" s="3108"/>
      <c r="M51" s="2480" t="s">
        <v>2204</v>
      </c>
      <c r="N51" s="2480" t="s">
        <v>2205</v>
      </c>
      <c r="O51" s="2480" t="s">
        <v>2206</v>
      </c>
    </row>
    <row r="52" spans="1:35" ht="24" customHeight="1">
      <c r="A52" s="183" t="s">
        <v>2207</v>
      </c>
      <c r="B52" s="3044" t="s">
        <v>2208</v>
      </c>
      <c r="C52" s="3044"/>
      <c r="D52" s="182">
        <f ca="1">ROUND(D45*'数据-取费表'!B41/(1+'数据-取费表'!C42),0)</f>
        <v>4835</v>
      </c>
      <c r="E52" s="11" t="s">
        <v>2209</v>
      </c>
      <c r="F52" s="184">
        <f>'数据-取费表'!B41</f>
        <v>5.5000000000000007E-2</v>
      </c>
      <c r="G52" s="2481"/>
      <c r="H52" s="138"/>
      <c r="I52" s="2479"/>
      <c r="J52" s="1807">
        <v>1</v>
      </c>
      <c r="K52" s="3109" t="s">
        <v>2210</v>
      </c>
      <c r="L52" s="3109"/>
      <c r="M52" s="1749">
        <f>D48</f>
        <v>0</v>
      </c>
      <c r="N52" s="1807" t="str">
        <f>E48</f>
        <v>销售额×税（费）率</v>
      </c>
      <c r="O52" s="1750" t="str">
        <f>F48</f>
        <v>免征</v>
      </c>
    </row>
    <row r="53" spans="1:35" ht="12" customHeight="1">
      <c r="A53" s="183" t="s">
        <v>2211</v>
      </c>
      <c r="B53" s="3067" t="s">
        <v>2212</v>
      </c>
      <c r="C53" s="3068"/>
      <c r="D53" s="182">
        <f ca="1">ROUND(D45*'数据-取费表'!B41/(1+'数据-取费表'!C42),0)</f>
        <v>4835</v>
      </c>
      <c r="E53" s="11" t="s">
        <v>2209</v>
      </c>
      <c r="F53" s="184">
        <f>'数据-取费表'!B41</f>
        <v>5.5000000000000007E-2</v>
      </c>
      <c r="G53" s="2481"/>
      <c r="H53" s="138"/>
      <c r="I53" s="2479"/>
      <c r="J53" s="1807">
        <v>2</v>
      </c>
      <c r="K53" s="3109" t="s">
        <v>2213</v>
      </c>
      <c r="L53" s="3109"/>
      <c r="M53" s="1749">
        <f t="shared" ref="M53:O54" ca="1" si="0">D55</f>
        <v>46</v>
      </c>
      <c r="N53" s="1807" t="str">
        <f t="shared" si="0"/>
        <v>销售额×税（费）率</v>
      </c>
      <c r="O53" s="1750">
        <f t="shared" si="0"/>
        <v>5.0000000000000001E-4</v>
      </c>
    </row>
    <row r="54" spans="1:35" ht="12" customHeight="1">
      <c r="A54" s="183" t="s">
        <v>2214</v>
      </c>
      <c r="B54" s="3067" t="s">
        <v>2215</v>
      </c>
      <c r="C54" s="3068"/>
      <c r="D54" s="182">
        <f ca="1">C68</f>
        <v>4835</v>
      </c>
      <c r="E54" s="30" t="s">
        <v>2216</v>
      </c>
      <c r="F54" s="184">
        <f>'数据-取费表'!B41</f>
        <v>5.5000000000000007E-2</v>
      </c>
      <c r="G54" s="2481"/>
      <c r="H54" s="2482"/>
      <c r="I54" s="2479"/>
      <c r="J54" s="1807">
        <v>3</v>
      </c>
      <c r="K54" s="3109" t="s">
        <v>2217</v>
      </c>
      <c r="L54" s="3109"/>
      <c r="M54" s="1749">
        <f t="shared" ca="1" si="0"/>
        <v>52329</v>
      </c>
      <c r="N54" s="1807" t="str">
        <f t="shared" si="0"/>
        <v>增值额×税（费）率</v>
      </c>
      <c r="O54" s="1751" t="str">
        <f t="shared" si="0"/>
        <v>——</v>
      </c>
    </row>
    <row r="55" spans="1:35" ht="24" customHeight="1">
      <c r="A55" s="3058" t="s">
        <v>2218</v>
      </c>
      <c r="B55" s="3059"/>
      <c r="C55" s="3059"/>
      <c r="D55" s="185">
        <f ca="1">IF(H55="个人住宅",0,ROUND(D45*I55,0))</f>
        <v>46</v>
      </c>
      <c r="E55" s="11" t="s">
        <v>2219</v>
      </c>
      <c r="F55" s="184">
        <f>IF(H55="正常",I55,"免征")</f>
        <v>5.0000000000000001E-4</v>
      </c>
      <c r="G55" s="2481"/>
      <c r="H55" s="2478" t="s">
        <v>2220</v>
      </c>
      <c r="I55" s="186">
        <f>'数据-取费表'!B49</f>
        <v>5.0000000000000001E-4</v>
      </c>
      <c r="J55" s="1807" t="str">
        <f>IF(H59="非个人房产","",4)</f>
        <v/>
      </c>
      <c r="K55" s="3109" t="str">
        <f>IF(H59="非个人房产","——","个人所得税")</f>
        <v>——</v>
      </c>
      <c r="L55" s="3109"/>
      <c r="M55" s="1752" t="str">
        <f>D59</f>
        <v>——</v>
      </c>
      <c r="N55" s="1805" t="str">
        <f>E59</f>
        <v>——</v>
      </c>
      <c r="O55" s="1753" t="str">
        <f>F59</f>
        <v>——</v>
      </c>
    </row>
    <row r="56" spans="1:35" ht="25.2">
      <c r="A56" s="3058" t="s">
        <v>2221</v>
      </c>
      <c r="B56" s="3059"/>
      <c r="C56" s="3059"/>
      <c r="D56" s="185">
        <f ca="1">IF(H56="个人住宅",D57,D58)</f>
        <v>52329</v>
      </c>
      <c r="E56" s="11" t="s">
        <v>2222</v>
      </c>
      <c r="F56" s="184" t="str">
        <f>IF(H56="正常",F58,"免征")</f>
        <v>——</v>
      </c>
      <c r="G56" s="2483" t="s">
        <v>2223</v>
      </c>
      <c r="H56" s="2484" t="s">
        <v>2220</v>
      </c>
      <c r="I56" s="2485"/>
      <c r="J56" s="1807" t="str">
        <f>IF(项目基本情况!K6="上海银行",IF(J55="",4,J55+1),"")</f>
        <v/>
      </c>
      <c r="K56" s="3132" t="str">
        <f>IF(项目基本情况!K6="上海银行","其他处置费用","")</f>
        <v/>
      </c>
      <c r="L56" s="3133"/>
      <c r="M56" s="1749" t="str">
        <f>IF(项目基本情况!K6="上海银行",M69,"")</f>
        <v/>
      </c>
      <c r="N56" s="3135" t="str">
        <f>IF(项目基本情况!K6="上海银行","包含处置中涉及的律师、诉讼、拍卖、评估等费用","")</f>
        <v/>
      </c>
      <c r="O56" s="3136"/>
    </row>
    <row r="57" spans="1:35" ht="13.2">
      <c r="A57" s="183" t="s">
        <v>2196</v>
      </c>
      <c r="B57" s="3074" t="s">
        <v>2224</v>
      </c>
      <c r="C57" s="3083"/>
      <c r="D57" s="187">
        <v>0</v>
      </c>
      <c r="E57" s="23" t="s">
        <v>2198</v>
      </c>
      <c r="F57" s="155"/>
      <c r="G57" s="2481"/>
      <c r="H57" s="2485"/>
      <c r="I57" s="2485"/>
      <c r="J57" s="3109">
        <f>IF(AND(J55="",J56=""),4,IF(项目基本情况!K6="上海银行",结果表!J56+1,结果表!J55+1))</f>
        <v>4</v>
      </c>
      <c r="K57" s="3109" t="s">
        <v>2225</v>
      </c>
      <c r="L57" s="2486" t="s">
        <v>2226</v>
      </c>
      <c r="M57" s="1754"/>
      <c r="N57" s="1755">
        <f ca="1">SUMIF(M52:M56,"&lt;9e307")</f>
        <v>52375</v>
      </c>
      <c r="O57" s="2487"/>
      <c r="P57" s="1748">
        <f ca="1">N57/M49</f>
        <v>0.56739394202019322</v>
      </c>
    </row>
    <row r="58" spans="1:35" ht="25.2">
      <c r="A58" s="183" t="s">
        <v>2207</v>
      </c>
      <c r="B58" s="3074" t="s">
        <v>2227</v>
      </c>
      <c r="C58" s="3075"/>
      <c r="D58" s="185">
        <f ca="1">IF(H58="转让取得",C81,C97)</f>
        <v>52329</v>
      </c>
      <c r="E58" s="11" t="s">
        <v>2222</v>
      </c>
      <c r="F58" s="24" t="s">
        <v>34</v>
      </c>
      <c r="G58" s="2481"/>
      <c r="H58" s="2484" t="s">
        <v>2228</v>
      </c>
      <c r="I58" s="2485"/>
      <c r="J58" s="3109"/>
      <c r="K58" s="3109"/>
      <c r="L58" s="2486" t="s">
        <v>2229</v>
      </c>
      <c r="M58" s="1756"/>
      <c r="N58" s="2488" t="str">
        <f ca="1">NUMBERSTRING(INT(N57*10000),2)&amp;"元整"</f>
        <v>伍亿贰仟叁佰柒拾伍万元整</v>
      </c>
      <c r="O58" s="2489"/>
    </row>
    <row r="59" spans="1:35" ht="24.6" thickBot="1">
      <c r="A59" s="3112" t="s">
        <v>2230</v>
      </c>
      <c r="B59" s="3113"/>
      <c r="C59" s="3113"/>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10">
        <f>J57+1</f>
        <v>5</v>
      </c>
      <c r="K59" s="3109" t="s">
        <v>2232</v>
      </c>
      <c r="L59" s="1807" t="s">
        <v>2226</v>
      </c>
      <c r="M59" s="1757"/>
      <c r="N59" s="1758">
        <f ca="1">M49-N57</f>
        <v>39933</v>
      </c>
      <c r="O59" s="2491"/>
    </row>
    <row r="60" spans="1:35" ht="12" customHeight="1">
      <c r="A60" s="2492"/>
      <c r="B60" s="2414"/>
      <c r="C60" s="2414"/>
      <c r="D60" s="2414"/>
      <c r="E60" s="2162"/>
      <c r="F60" s="2485"/>
      <c r="G60" s="2485"/>
      <c r="H60" s="2493"/>
      <c r="I60" s="138"/>
      <c r="J60" s="3111"/>
      <c r="K60" s="3109"/>
      <c r="L60" s="2486" t="s">
        <v>2229</v>
      </c>
      <c r="M60" s="1756"/>
      <c r="N60" s="2488" t="str">
        <f ca="1">NUMBERSTRING(INT(N59*10000),2)&amp;"元整"</f>
        <v>叁亿玖仟玖佰叁拾叁万元整</v>
      </c>
      <c r="O60" s="2489"/>
    </row>
    <row r="61" spans="1:35" ht="13.8" thickBot="1">
      <c r="A61" s="3056" t="s">
        <v>2233</v>
      </c>
      <c r="B61" s="3056"/>
      <c r="C61" s="3056"/>
      <c r="D61" s="3056"/>
      <c r="E61" s="3056"/>
      <c r="F61" s="2485"/>
      <c r="G61" s="2485"/>
      <c r="H61" s="2493"/>
      <c r="I61" s="138"/>
      <c r="J61" s="1807">
        <f>J59+1</f>
        <v>6</v>
      </c>
      <c r="K61" s="3109" t="s">
        <v>2234</v>
      </c>
      <c r="L61" s="3109"/>
      <c r="M61" s="1759"/>
      <c r="N61" s="1760">
        <f ca="1">ROUND(N59*10000/'数据-汇总表'!E3,0)</f>
        <v>8291</v>
      </c>
      <c r="O61" s="2494"/>
    </row>
    <row r="62" spans="1:35" ht="13.2">
      <c r="A62" s="3072" t="s">
        <v>2235</v>
      </c>
      <c r="B62" s="3073"/>
      <c r="C62" s="1799"/>
      <c r="D62" s="1799" t="s">
        <v>2236</v>
      </c>
      <c r="E62" s="192" t="s">
        <v>2237</v>
      </c>
      <c r="F62" s="2485"/>
      <c r="G62" s="2485"/>
      <c r="H62" s="2493"/>
      <c r="I62" s="138"/>
    </row>
    <row r="63" spans="1:35" ht="13.2">
      <c r="A63" s="203" t="s">
        <v>775</v>
      </c>
      <c r="B63" s="193" t="s">
        <v>2238</v>
      </c>
      <c r="C63" s="194">
        <f ca="1">ROUND((C64+C65)/(1+'数据-取费表'!C42),0)</f>
        <v>87912</v>
      </c>
      <c r="D63" s="195"/>
      <c r="E63" s="196"/>
      <c r="F63" s="2485"/>
      <c r="G63" s="2485"/>
      <c r="H63" s="2493"/>
      <c r="I63" s="138"/>
      <c r="J63" s="3134" t="s">
        <v>2239</v>
      </c>
      <c r="K63" s="2495" t="s">
        <v>2240</v>
      </c>
      <c r="L63" s="1747">
        <f ca="1">IF(M49&gt;10000,M49*0.5%,IF(AND(M49&gt;1000,M49&lt;=10000),M49*1%,IF(AND(M49&gt;100,M49&lt;=1000),M49*3%,IF(AND(M49&gt;10,M49&lt;=100),M49*5%,M49*8%))))</f>
        <v>461.54</v>
      </c>
      <c r="M63" s="24">
        <f ca="1">ROUND(L63,1)</f>
        <v>461.5</v>
      </c>
      <c r="Z63" s="2419"/>
      <c r="AI63" s="2420"/>
    </row>
    <row r="64" spans="1:35" ht="14.25" customHeight="1">
      <c r="A64" s="197" t="s">
        <v>770</v>
      </c>
      <c r="B64" s="198" t="s">
        <v>2241</v>
      </c>
      <c r="C64" s="199">
        <f ca="1">D45</f>
        <v>92308</v>
      </c>
      <c r="D64" s="200" t="s">
        <v>32</v>
      </c>
      <c r="E64" s="201"/>
      <c r="F64" s="2485"/>
      <c r="G64" s="2485"/>
      <c r="H64" s="2493"/>
      <c r="I64" s="138"/>
      <c r="J64" s="3134"/>
      <c r="K64" s="2495" t="s">
        <v>2242</v>
      </c>
      <c r="L64" s="1747">
        <f ca="1">IF(M49&gt;2000,M49*0.5%,IF(AND(M49&gt;1000,M49&lt;=2000),M49*0.6%,IF(AND(M49&gt;500,M49&lt;=1000),M49*0.7%,IF(AND(M49&gt;200,M49&lt;=500),M49*0.8%,IF(AND(M49&gt;100,M49&lt;=200),M49*0.9%,IF(AND(M49&gt;50,M49&lt;=100),M49*1%,IF(AND(M49&gt;20,M49&lt;=50),M49*1.5%,IF(AND(M49&gt;10,M49&lt;=20),M49*2%,IF(AND(M49&gt;1,M49&lt;=10),M49*2.5%)))))))))</f>
        <v>461.54</v>
      </c>
      <c r="M64" s="24">
        <f t="shared" ref="M64:M65" ca="1" si="1">ROUND(L64,1)</f>
        <v>461.5</v>
      </c>
      <c r="N64" s="138" t="s">
        <v>2243</v>
      </c>
      <c r="Z64" s="2419"/>
      <c r="AI64" s="2420"/>
    </row>
    <row r="65" spans="1:35" ht="14.25" customHeight="1">
      <c r="A65" s="197" t="s">
        <v>771</v>
      </c>
      <c r="B65" s="198" t="s">
        <v>2244</v>
      </c>
      <c r="C65" s="202"/>
      <c r="D65" s="200"/>
      <c r="E65" s="201"/>
      <c r="F65" s="2485"/>
      <c r="G65" s="2485"/>
      <c r="H65" s="2493"/>
      <c r="I65" s="138"/>
      <c r="J65" s="3134"/>
      <c r="K65" s="2495" t="s">
        <v>2245</v>
      </c>
      <c r="L65" s="1747">
        <f ca="1">IF(M49&gt;1000,M49*0.1%,IF(AND(M49&gt;500,M49&lt;=1000),M49*0.5%,IF(AND(M49&gt;50,M49&lt;=500),M49*1%,IF(AND(M49&gt;1,M49&lt;=50),M49*1.5%))))</f>
        <v>92.308000000000007</v>
      </c>
      <c r="M65" s="24">
        <f t="shared" ca="1" si="1"/>
        <v>92.3</v>
      </c>
      <c r="N65" s="138" t="s">
        <v>2243</v>
      </c>
      <c r="Z65" s="2419"/>
      <c r="AI65" s="2420"/>
    </row>
    <row r="66" spans="1:35" ht="14.25" customHeight="1">
      <c r="A66" s="203" t="s">
        <v>772</v>
      </c>
      <c r="B66" s="204" t="s">
        <v>2246</v>
      </c>
      <c r="C66" s="205"/>
      <c r="D66" s="206" t="s">
        <v>32</v>
      </c>
      <c r="E66" s="1771" t="s">
        <v>1366</v>
      </c>
      <c r="F66" s="2485"/>
      <c r="G66" s="2485"/>
      <c r="H66" s="2493"/>
      <c r="I66" s="138"/>
      <c r="J66" s="3134"/>
      <c r="K66" s="2495" t="s">
        <v>2247</v>
      </c>
      <c r="L66" s="1747">
        <f ca="1">M49*0.5%</f>
        <v>461.54</v>
      </c>
      <c r="M66" s="24">
        <f ca="1">IF(L66&gt;0.5,0.5,ROUND(L66,0))</f>
        <v>0.5</v>
      </c>
      <c r="N66" s="138" t="s">
        <v>2248</v>
      </c>
      <c r="Z66" s="2419"/>
      <c r="AI66" s="2420"/>
    </row>
    <row r="67" spans="1:35" ht="14.25" customHeight="1">
      <c r="A67" s="203" t="s">
        <v>773</v>
      </c>
      <c r="B67" s="204" t="s">
        <v>2249</v>
      </c>
      <c r="C67" s="207">
        <f ca="1">C63-C66</f>
        <v>87912</v>
      </c>
      <c r="D67" s="200" t="s">
        <v>32</v>
      </c>
      <c r="E67" s="201"/>
      <c r="F67" s="2485"/>
      <c r="G67" s="2485"/>
      <c r="H67" s="2493"/>
      <c r="I67" s="138"/>
      <c r="J67" s="3134"/>
      <c r="K67" s="2495" t="s">
        <v>2250</v>
      </c>
      <c r="L67" s="1747">
        <f ca="1">IF(M49&gt;=10000,(8.25+(M49-10000)*0.01%),IF(AND(M49&gt;=8000,M49&lt;10000),(7.85+(M49-8000)*0.02%),IF(AND(M49&gt;=5000,M49&lt;8000),(6.65+(M49-5000)*0.04%),IF(AND(M49&gt;=2000,M49&lt;5000),(4.25+(PM49-2000)*0.08%),IF(AND(M49&gt;=1000,M49&lt;2000),(2.75+(M49-1000)*0.15%),IF(AND(M49&gt;=100,M49&lt;1000),(0.5+(M49-100)*0.25%),IF(AND(M49&gt;0,M49&lt;100),M49*0.5%)))))))</f>
        <v>16.480800000000002</v>
      </c>
      <c r="M67" s="24">
        <f ca="1">ROUND(L67*0.9,1)</f>
        <v>14.8</v>
      </c>
      <c r="Z67" s="2419"/>
      <c r="AI67" s="2420"/>
    </row>
    <row r="68" spans="1:35" ht="14.25" customHeight="1" thickBot="1">
      <c r="A68" s="208" t="s">
        <v>774</v>
      </c>
      <c r="B68" s="209" t="s">
        <v>2251</v>
      </c>
      <c r="C68" s="210">
        <f ca="1">IF(C67&lt;=0,0,ROUND(C67*D68,0))</f>
        <v>4835</v>
      </c>
      <c r="D68" s="211">
        <f>'数据-取费表'!B41</f>
        <v>5.5000000000000007E-2</v>
      </c>
      <c r="E68" s="212"/>
      <c r="F68" s="2485"/>
      <c r="G68" s="2485"/>
      <c r="H68" s="2493"/>
      <c r="I68" s="138"/>
      <c r="J68" s="3134"/>
      <c r="K68" s="2495" t="s">
        <v>2252</v>
      </c>
      <c r="L68" s="1747">
        <f ca="1">IF(M49&gt;10000,M49*0.5%,IF(AND(M49&gt;5000,M49&lt;=10000),M49*1%,IF(AND(M49&gt;1000,M49&lt;=5000),M49*2%,IF(AND(M49&gt;200,M49&lt;=1000),M49*3%,M49*5%))))</f>
        <v>461.54</v>
      </c>
      <c r="M68" s="24">
        <f ca="1">ROUND(L68,1)</f>
        <v>461.5</v>
      </c>
      <c r="Z68" s="2419"/>
      <c r="AI68" s="2420"/>
    </row>
    <row r="69" spans="1:35" s="2442" customFormat="1" ht="16.5" customHeight="1">
      <c r="A69" s="2496"/>
      <c r="B69" s="2497"/>
      <c r="C69" s="2498"/>
      <c r="D69" s="2499"/>
      <c r="E69" s="2500"/>
      <c r="F69" s="2162"/>
      <c r="G69" s="2162"/>
      <c r="H69" s="2161"/>
      <c r="I69" s="2414"/>
      <c r="J69" s="3134"/>
      <c r="K69" s="2495" t="s">
        <v>2253</v>
      </c>
      <c r="L69" s="2501"/>
      <c r="M69" s="24">
        <f ca="1">ROUND(SUM(M63:M68),0)</f>
        <v>1492</v>
      </c>
      <c r="N69" s="1748">
        <f ca="1">M69/M49</f>
        <v>1.6163279455735147E-2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093" t="s">
        <v>2254</v>
      </c>
      <c r="B70" s="3094"/>
      <c r="C70" s="3094"/>
      <c r="D70" s="3094"/>
      <c r="E70" s="3094"/>
      <c r="F70" s="3094"/>
      <c r="G70" s="3094"/>
      <c r="H70" s="309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072" t="s">
        <v>2235</v>
      </c>
      <c r="B71" s="3073"/>
      <c r="C71" s="1799"/>
      <c r="D71" s="1799"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2255</v>
      </c>
      <c r="C72" s="207">
        <f ca="1">ROUND(D45/(1+'数据-取费表'!C42),0)</f>
        <v>87912</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2256</v>
      </c>
      <c r="C73" s="207">
        <f ca="1">C74+C78</f>
        <v>440</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067" t="s">
        <v>2263</v>
      </c>
      <c r="F76" s="3044"/>
      <c r="G76" s="3044"/>
      <c r="H76" s="309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440</v>
      </c>
      <c r="D78" s="226">
        <f>'数据-取费表'!B43</f>
        <v>5.000000000000001E-3</v>
      </c>
      <c r="E78" s="3053" t="s">
        <v>2268</v>
      </c>
      <c r="F78" s="3054"/>
      <c r="G78" s="3054"/>
      <c r="H78" s="306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2269</v>
      </c>
      <c r="C79" s="207">
        <f ca="1">C72-C73</f>
        <v>87472</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2271</v>
      </c>
      <c r="C81" s="228">
        <f ca="1">ROUND(IF(C79&lt;=0,0,IF(C80&gt;=200%,C79*60%-C73*35%,IF(C80&gt;=100%,C79*50%-C73*15%,IF(C80&gt;=50%,C79*40%-C73*5%,IF(C80&lt;50%,C79*30%,0))))),0)</f>
        <v>52329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093" t="s">
        <v>2272</v>
      </c>
      <c r="B83" s="3094"/>
      <c r="C83" s="3094"/>
      <c r="D83" s="3094"/>
      <c r="E83" s="3094"/>
      <c r="F83" s="3094"/>
      <c r="G83" s="3094"/>
      <c r="H83" s="309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072" t="s">
        <v>2235</v>
      </c>
      <c r="B84" s="3073"/>
      <c r="C84" s="1799"/>
      <c r="D84" s="1799"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2255</v>
      </c>
      <c r="C85" s="207">
        <f ca="1">ROUND(D45/(1+'数据-取费表'!C42),0)</f>
        <v>87912</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2256</v>
      </c>
      <c r="C86" s="207">
        <f ca="1">IF(H88="仅含出让金",C87+C90+C91+C92+C93+C94,C87+C91+C92+C93+C94)</f>
        <v>440</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2273</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2274</v>
      </c>
      <c r="C88" s="236"/>
      <c r="D88" s="226"/>
      <c r="E88" s="237" t="s">
        <v>2275</v>
      </c>
      <c r="F88" s="1795"/>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2264</v>
      </c>
      <c r="C89" s="225">
        <f>ROUND(C88*D89,0)</f>
        <v>0</v>
      </c>
      <c r="D89" s="226">
        <f>'数据-取费表'!B48+'数据-取费表'!B49</f>
        <v>3.0499999999999999E-2</v>
      </c>
      <c r="E89" s="237" t="s">
        <v>2277</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2278</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053" t="s">
        <v>2281</v>
      </c>
      <c r="F91" s="3054"/>
      <c r="G91" s="3054"/>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053" t="s">
        <v>2285</v>
      </c>
      <c r="F92" s="3054"/>
      <c r="G92" s="3054"/>
      <c r="H92" s="306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440</v>
      </c>
      <c r="D93" s="226">
        <f>'数据-取费表'!B43</f>
        <v>5.000000000000001E-3</v>
      </c>
      <c r="E93" s="3053" t="s">
        <v>2268</v>
      </c>
      <c r="F93" s="3054"/>
      <c r="G93" s="3054"/>
      <c r="H93" s="306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064" t="s">
        <v>2289</v>
      </c>
      <c r="F94" s="3065"/>
      <c r="G94" s="3065"/>
      <c r="H94" s="306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2269</v>
      </c>
      <c r="C95" s="207">
        <f ca="1">ROUND(C85-C86,0)</f>
        <v>87472</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2271</v>
      </c>
      <c r="C97" s="228">
        <f ca="1">ROUND(IF(C95&lt;=0,0,IF(C96&gt;=200%,C95*60%-C86*35%,IF(C96&gt;=100%,C95*50%-C86*15%,IF(C96&gt;=50%,C95*40%-C86*5%,IF(C96&lt;50%,C95*30%,0))))),0)</f>
        <v>52329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38" t="s">
        <v>2291</v>
      </c>
      <c r="B100" s="3039"/>
      <c r="C100" s="3039"/>
      <c r="D100" s="3055"/>
      <c r="E100" s="3039" t="s">
        <v>2292</v>
      </c>
      <c r="F100" s="3039"/>
      <c r="G100" s="3039"/>
      <c r="H100" s="3055"/>
      <c r="I100" s="138"/>
    </row>
    <row r="101" spans="1:35" ht="18.75" customHeight="1">
      <c r="A101" s="3117" t="s">
        <v>2293</v>
      </c>
      <c r="B101" s="3118"/>
      <c r="C101" s="736" t="str">
        <f>C4</f>
        <v>成本法</v>
      </c>
      <c r="D101" s="737" t="str">
        <f>D4</f>
        <v>收益法</v>
      </c>
      <c r="E101" s="3131" t="s">
        <v>2294</v>
      </c>
      <c r="F101" s="3085"/>
      <c r="G101" s="2516" t="s">
        <v>2295</v>
      </c>
      <c r="H101" s="1045">
        <f ca="1">H118</f>
        <v>92308</v>
      </c>
      <c r="I101" s="138"/>
    </row>
    <row r="102" spans="1:35" ht="18.75" customHeight="1">
      <c r="A102" s="3087" t="s">
        <v>2296</v>
      </c>
      <c r="B102" s="2516" t="s">
        <v>2295</v>
      </c>
      <c r="C102" s="736">
        <f ca="1">C19</f>
        <v>129548</v>
      </c>
      <c r="D102" s="737">
        <f ca="1">D19</f>
        <v>36449</v>
      </c>
      <c r="E102" s="3131"/>
      <c r="F102" s="3085"/>
      <c r="G102" s="2516" t="s">
        <v>2297</v>
      </c>
      <c r="H102" s="371">
        <f ca="1">I118</f>
        <v>19166</v>
      </c>
      <c r="I102" s="138"/>
    </row>
    <row r="103" spans="1:35" ht="42.75" customHeight="1">
      <c r="A103" s="3087"/>
      <c r="B103" s="2516" t="s">
        <v>2297</v>
      </c>
      <c r="C103" s="738">
        <f ca="1">C20</f>
        <v>26898</v>
      </c>
      <c r="D103" s="739">
        <f ca="1">D20</f>
        <v>10881</v>
      </c>
      <c r="E103" s="3126" t="s">
        <v>2298</v>
      </c>
      <c r="F103" s="3127"/>
      <c r="G103" s="2517" t="s">
        <v>2299</v>
      </c>
      <c r="H103" s="1045">
        <f>IF(D36="正常操作",H104+H105+H106,H105+H106)</f>
        <v>0</v>
      </c>
      <c r="I103" s="138"/>
    </row>
    <row r="104" spans="1:35" ht="18.75" customHeight="1">
      <c r="A104" s="3087" t="s">
        <v>2300</v>
      </c>
      <c r="B104" s="2518" t="s">
        <v>2295</v>
      </c>
      <c r="C104" s="740">
        <f ca="1">H118</f>
        <v>92308</v>
      </c>
      <c r="D104" s="741"/>
      <c r="E104" s="2263" t="s">
        <v>2301</v>
      </c>
      <c r="F104" s="2254"/>
      <c r="G104" s="2517" t="s">
        <v>2299</v>
      </c>
      <c r="H104" s="1046">
        <f>IF(D36="同一抵押权人同一抵押物续贷",C36&amp;"（未扣减，详见特别提示）",C36)</f>
        <v>0</v>
      </c>
      <c r="I104" s="138"/>
    </row>
    <row r="105" spans="1:35" ht="18.75" customHeight="1" thickBot="1">
      <c r="A105" s="3088"/>
      <c r="B105" s="2519" t="s">
        <v>2297</v>
      </c>
      <c r="C105" s="742">
        <f ca="1">I118</f>
        <v>19166</v>
      </c>
      <c r="D105" s="743"/>
      <c r="E105" s="2263" t="s">
        <v>2302</v>
      </c>
      <c r="F105" s="2254"/>
      <c r="G105" s="2517" t="s">
        <v>2299</v>
      </c>
      <c r="H105" s="1046">
        <f>C37</f>
        <v>0</v>
      </c>
      <c r="I105" s="138"/>
    </row>
    <row r="106" spans="1:35" ht="18.75" customHeight="1">
      <c r="A106" s="2414" t="s">
        <v>2303</v>
      </c>
      <c r="B106" s="2414"/>
      <c r="C106" s="2414"/>
      <c r="D106" s="2414"/>
      <c r="E106" s="2520" t="s">
        <v>2304</v>
      </c>
      <c r="F106" s="2254"/>
      <c r="G106" s="2517" t="s">
        <v>2299</v>
      </c>
      <c r="H106" s="1046">
        <f>C38</f>
        <v>0</v>
      </c>
      <c r="I106" s="138"/>
    </row>
    <row r="107" spans="1:35" ht="18.75" customHeight="1">
      <c r="A107" s="138"/>
      <c r="B107" s="138"/>
      <c r="C107" s="138"/>
      <c r="D107" s="138"/>
      <c r="E107" s="3084" t="str">
        <f>IF(项目基本情况!E8="已注销","——","3.房地产抵押价值")</f>
        <v>3.房地产抵押价值</v>
      </c>
      <c r="F107" s="3085"/>
      <c r="G107" s="2516" t="s">
        <v>2295</v>
      </c>
      <c r="H107" s="1045">
        <f ca="1">IF(E107="——","——",H101-H103)</f>
        <v>92308</v>
      </c>
      <c r="I107" s="138"/>
    </row>
    <row r="108" spans="1:35" ht="18.75" customHeight="1">
      <c r="A108" s="138"/>
      <c r="B108" s="138"/>
      <c r="C108" s="138"/>
      <c r="D108" s="138"/>
      <c r="E108" s="3084"/>
      <c r="F108" s="3085"/>
      <c r="G108" s="2516" t="s">
        <v>2297</v>
      </c>
      <c r="H108" s="371">
        <f ca="1">ROUND(H107*10000/'数据-汇总表'!E3,0)</f>
        <v>19166</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16" t="s">
        <v>2295</v>
      </c>
      <c r="H109" s="348" t="str">
        <f>IF(E109="——","——",H101-H105-H106)</f>
        <v>——</v>
      </c>
      <c r="I109" s="138"/>
    </row>
    <row r="110" spans="1:35" ht="18.75" customHeight="1">
      <c r="A110" s="138"/>
      <c r="B110" s="138"/>
      <c r="C110" s="138"/>
      <c r="D110" s="138"/>
      <c r="E110" s="3084"/>
      <c r="F110" s="3085"/>
      <c r="G110" s="2516" t="s">
        <v>2297</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6" t="s">
        <v>2295</v>
      </c>
      <c r="H111" s="1045" t="str">
        <f>IF(E111="——","——",N59)</f>
        <v>——</v>
      </c>
      <c r="I111" s="138"/>
    </row>
    <row r="112" spans="1:35" ht="18.75" customHeight="1" thickBot="1">
      <c r="A112" s="138"/>
      <c r="B112" s="138"/>
      <c r="C112" s="138"/>
      <c r="D112" s="138"/>
      <c r="E112" s="3121"/>
      <c r="F112" s="3122"/>
      <c r="G112" s="2521" t="s">
        <v>2297</v>
      </c>
      <c r="H112" s="790" t="str">
        <f>IF(E111="——","——",N61)</f>
        <v>——</v>
      </c>
      <c r="I112" s="138"/>
    </row>
    <row r="113" spans="1:11" ht="18.75" customHeight="1">
      <c r="A113" s="138"/>
      <c r="B113" s="138"/>
      <c r="C113" s="138"/>
      <c r="D113" s="138"/>
      <c r="E113" s="3089" t="s">
        <v>2303</v>
      </c>
      <c r="F113" s="3089"/>
      <c r="G113" s="3089"/>
      <c r="H113" s="3089"/>
      <c r="I113" s="138"/>
    </row>
    <row r="114" spans="1:11" ht="3.75" customHeight="1">
      <c r="A114" s="2414"/>
      <c r="B114" s="2414"/>
      <c r="C114" s="2414"/>
      <c r="D114" s="2414"/>
      <c r="E114" s="2492"/>
      <c r="F114" s="2492"/>
      <c r="G114" s="2492"/>
      <c r="H114" s="2492"/>
      <c r="I114" s="2414"/>
    </row>
    <row r="115" spans="1:11" ht="18.75" customHeight="1">
      <c r="A115" s="3102" t="s">
        <v>2305</v>
      </c>
      <c r="B115" s="3103"/>
      <c r="C115" s="3103"/>
      <c r="D115" s="3103"/>
      <c r="E115" s="3103"/>
      <c r="F115" s="3103"/>
      <c r="G115" s="3103"/>
      <c r="H115" s="3103"/>
      <c r="I115" s="3104"/>
    </row>
    <row r="116" spans="1:11" ht="27" customHeight="1">
      <c r="A116" s="2995" t="s">
        <v>2306</v>
      </c>
      <c r="B116" s="3090" t="s">
        <v>2307</v>
      </c>
      <c r="C116" s="3090" t="s">
        <v>2308</v>
      </c>
      <c r="D116" s="3106" t="s">
        <v>2309</v>
      </c>
      <c r="E116" s="3107"/>
      <c r="F116" s="3098" t="s">
        <v>2310</v>
      </c>
      <c r="G116" s="3098"/>
      <c r="H116" s="2995" t="s">
        <v>2311</v>
      </c>
      <c r="I116" s="2995"/>
    </row>
    <row r="117" spans="1:11" ht="18.75" customHeight="1">
      <c r="A117" s="2995"/>
      <c r="B117" s="3091"/>
      <c r="C117" s="3091"/>
      <c r="D117" s="1793" t="s">
        <v>2312</v>
      </c>
      <c r="E117" s="1793" t="s">
        <v>2313</v>
      </c>
      <c r="F117" s="1793" t="s">
        <v>2312</v>
      </c>
      <c r="G117" s="1793" t="s">
        <v>2314</v>
      </c>
      <c r="H117" s="1793" t="s">
        <v>2312</v>
      </c>
      <c r="I117" s="1793" t="s">
        <v>2314</v>
      </c>
    </row>
    <row r="118" spans="1:11" ht="24.75" customHeight="1">
      <c r="A118" s="2522" t="str">
        <f>项目基本情况!S2</f>
        <v>北京市通州区新华东街289号院2号楼房地产</v>
      </c>
      <c r="B118" s="1793">
        <f>M18</f>
        <v>48162.54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92308</v>
      </c>
      <c r="I118" s="1793">
        <f ca="1">ROUND(IF(D32="楼面单价",C32,H118*10000/B118),0)</f>
        <v>19166</v>
      </c>
    </row>
    <row r="119" spans="1:11" ht="18.75" customHeight="1">
      <c r="A119" s="2995" t="s">
        <v>2315</v>
      </c>
      <c r="B119" s="2995"/>
      <c r="C119" s="2995"/>
      <c r="D119" s="3095" t="e">
        <f ca="1">NUMBERSTRING(INT(D118*10000),2)&amp;"元整"</f>
        <v>#REF!</v>
      </c>
      <c r="E119" s="3097"/>
      <c r="F119" s="3095" t="e">
        <f ca="1">NUMBERSTRING(INT(F118*10000),2)&amp;"元整"</f>
        <v>#REF!</v>
      </c>
      <c r="G119" s="3097"/>
      <c r="H119" s="3095" t="str">
        <f ca="1">NUMBERSTRING(INT(H118*10000),2)&amp;"元整"</f>
        <v>玖亿贰仟叁佰零捌万元整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19" t="str">
        <f>IF(D120=0,"故，本次评估不存在"&amp;A120,"故，本次评估"&amp;A120&amp;"为人民币"&amp;D120&amp;"万元整。")</f>
        <v>故，本次评估不存在估价师知悉的法定优先受偿款</v>
      </c>
    </row>
    <row r="121" spans="1:11" ht="18.75" customHeight="1">
      <c r="A121" s="3099" t="s">
        <v>2315</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92308</v>
      </c>
      <c r="E122" s="3124"/>
      <c r="F122" s="3124"/>
      <c r="G122" s="3124"/>
      <c r="H122" s="3124"/>
      <c r="I122" s="3125"/>
    </row>
    <row r="123" spans="1:11" ht="18.75" customHeight="1">
      <c r="A123" s="2995" t="s">
        <v>2315</v>
      </c>
      <c r="B123" s="2995"/>
      <c r="C123" s="2995"/>
      <c r="D123" s="3095" t="str">
        <f ca="1">NUMBERSTRING(INT(D122*10000),2)&amp;"元整"</f>
        <v>玖亿贰仟叁佰零捌万元整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2315</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2315</v>
      </c>
      <c r="B127" s="2995"/>
      <c r="C127" s="2995"/>
      <c r="D127" s="3095" t="e">
        <f>NUMBERSTRING(INT(D126*10000),2)&amp;"元整"</f>
        <v>#VALUE!</v>
      </c>
      <c r="E127" s="3096"/>
      <c r="F127" s="3096"/>
      <c r="G127" s="3096"/>
      <c r="H127" s="3096"/>
      <c r="I127" s="3097"/>
    </row>
    <row r="128" spans="1:11" ht="21.75" customHeight="1">
      <c r="A128" s="3105" t="s">
        <v>2316</v>
      </c>
      <c r="B128" s="3105"/>
      <c r="C128" s="3105"/>
      <c r="D128" s="3105"/>
      <c r="E128" s="3105"/>
      <c r="F128" s="3105"/>
      <c r="G128" s="3105"/>
      <c r="H128" s="3105"/>
      <c r="I128" s="310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1" t="str">
        <f>项目基本情况!B1</f>
        <v>北京市通州区新华东街289号院2号楼房地产抵押价值预评估</v>
      </c>
      <c r="C37" s="2951"/>
      <c r="D37" s="2951"/>
      <c r="E37" s="2951"/>
      <c r="F37" s="2951"/>
      <c r="G37" s="2951"/>
      <c r="H37" s="2951"/>
      <c r="I37" s="2951"/>
    </row>
    <row r="38" spans="1:9">
      <c r="A38" s="1016"/>
      <c r="B38" s="1016"/>
    </row>
    <row r="39" spans="1:9">
      <c r="A39" s="1014" t="s">
        <v>818</v>
      </c>
      <c r="B39" s="1014" t="s">
        <v>820</v>
      </c>
    </row>
    <row r="40" spans="1:9">
      <c r="A40" s="1014"/>
      <c r="B40" s="1939" t="str">
        <f>项目基本情况!B5</f>
        <v xml:space="preserve"> 北京东部绿城置业有限公司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c r="B46" s="1939" t="str">
        <f ca="1">项目基本情况!K4</f>
        <v>吴薇（注册号：1419970001)、郑燚（注册号：1120070131)</v>
      </c>
    </row>
    <row r="47" spans="1:9">
      <c r="A47" s="1014"/>
      <c r="B47" s="1014" t="str">
        <f>项目基本情况!K5</f>
        <v/>
      </c>
    </row>
    <row r="48" spans="1:9">
      <c r="A48" s="1014" t="s">
        <v>818</v>
      </c>
      <c r="B48" s="1014" t="s">
        <v>824</v>
      </c>
    </row>
    <row r="49" spans="2:2">
      <c r="B49" s="1939" t="str">
        <f>"康正预评字"&amp;项目基本情况!B2&amp;"号"</f>
        <v>康正预评字2020-1-0129号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4" sqref="E5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4"/>
      <c r="C1" s="242"/>
      <c r="D1" s="242"/>
      <c r="E1" s="242"/>
      <c r="F1" s="242"/>
      <c r="G1" s="1379">
        <f>MATCH(B1,'数据-取费表'!A6:A16,0)+5</f>
        <v>7</v>
      </c>
    </row>
    <row r="2" spans="1:9" s="244" customFormat="1" ht="18" customHeight="1">
      <c r="A2" s="245" t="s">
        <v>2325</v>
      </c>
      <c r="B2" s="246">
        <f ca="1">IF(D2="——",C52,C52-E2)</f>
        <v>129548</v>
      </c>
      <c r="C2" s="243" t="s">
        <v>2326</v>
      </c>
      <c r="D2" s="2545" t="s">
        <v>70</v>
      </c>
      <c r="E2" s="1439"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26898</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64184</v>
      </c>
      <c r="D5" s="255" t="s">
        <v>2332</v>
      </c>
      <c r="E5" s="256" t="s">
        <v>2333</v>
      </c>
      <c r="F5" s="256" t="s">
        <v>2334</v>
      </c>
      <c r="G5" s="257"/>
    </row>
    <row r="6" spans="1:9" s="258" customFormat="1" ht="13.5" customHeight="1">
      <c r="A6" s="949" t="s">
        <v>2335</v>
      </c>
      <c r="B6" s="259" t="s">
        <v>2336</v>
      </c>
      <c r="C6" s="260">
        <f>'土地比较法-住宅、综合'!B2</f>
        <v>61350</v>
      </c>
      <c r="D6" s="261"/>
      <c r="E6" s="262"/>
      <c r="F6" s="262"/>
      <c r="G6" s="263"/>
    </row>
    <row r="7" spans="1:9" s="258" customFormat="1" ht="13.5" customHeight="1">
      <c r="A7" s="949" t="s">
        <v>2337</v>
      </c>
      <c r="B7" s="259" t="s">
        <v>2338</v>
      </c>
      <c r="C7" s="264">
        <f>ROUND(C6*F7,0)</f>
        <v>1871</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963</v>
      </c>
      <c r="D8" s="266"/>
      <c r="E8" s="264"/>
      <c r="F8" s="265"/>
      <c r="G8" s="2548" t="s">
        <v>3381</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t="s">
        <v>3379</v>
      </c>
      <c r="H9" s="3304"/>
      <c r="I9" s="2550" t="s">
        <v>2342</v>
      </c>
    </row>
    <row r="10" spans="1:9" s="258" customFormat="1" ht="13.5" customHeight="1">
      <c r="A10" s="950" t="s">
        <v>801</v>
      </c>
      <c r="B10" s="268" t="s">
        <v>2343</v>
      </c>
      <c r="C10" s="269">
        <f ca="1">ROUND(D10*E10/10000,0)</f>
        <v>963</v>
      </c>
      <c r="D10" s="1032">
        <f ca="1">IF(B1="",'数据-汇总表'!E6,IF(INDIRECT("'数据-取费表'!c"&amp;$G$1)="住宅",INDIRECT("'数据-取费表'!s"&amp;$G$1),INDIRECT("'数据-取费表'!k"&amp;$G$1)+INDIRECT("'数据-取费表'!s"&amp;$G$1)))</f>
        <v>48162.54</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48162.54</v>
      </c>
      <c r="E19" s="255">
        <f>'数据-取费表'!B31</f>
        <v>200</v>
      </c>
      <c r="F19" s="275"/>
      <c r="G19" s="2548" t="s">
        <v>3380</v>
      </c>
    </row>
    <row r="20" spans="1:7" s="258" customFormat="1" ht="13.5" customHeight="1">
      <c r="A20" s="299" t="s">
        <v>2356</v>
      </c>
      <c r="B20" s="254" t="s">
        <v>2357</v>
      </c>
      <c r="C20" s="276">
        <f ca="1">ROUND((C5+C19)*F20,0)</f>
        <v>1284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6303</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6242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61</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9820</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9820</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88340</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31160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28897</v>
      </c>
      <c r="D34" s="261"/>
      <c r="E34" s="264"/>
      <c r="F34" s="301">
        <f ca="1">IF('数据-取费表'!B24=0,1,IF(B1="",'数据-取费表'!N16,INDIRECT("'数据-取费表'!n"&amp;$G$1)))</f>
        <v>1</v>
      </c>
      <c r="G34" s="263" t="s">
        <v>2389</v>
      </c>
    </row>
    <row r="35" spans="1:7" ht="13.5" customHeight="1">
      <c r="A35" s="951" t="s">
        <v>796</v>
      </c>
      <c r="B35" s="259" t="s">
        <v>2390</v>
      </c>
      <c r="C35" s="264">
        <f ca="1">ROUND(C34*F35,0)</f>
        <v>867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1" t="s">
        <v>798</v>
      </c>
      <c r="B37" s="259" t="s">
        <v>2394</v>
      </c>
      <c r="C37" s="293">
        <f ca="1">ROUND(E37*D37*F34/10000,0)</f>
        <v>963</v>
      </c>
      <c r="D37" s="261">
        <f ca="1">D19</f>
        <v>48162.54</v>
      </c>
      <c r="E37" s="293">
        <f>'数据-取费表'!B35</f>
        <v>200</v>
      </c>
      <c r="F37" s="303"/>
      <c r="G37" s="305" t="s">
        <v>2395</v>
      </c>
    </row>
    <row r="38" spans="1:7" ht="13.5" customHeight="1">
      <c r="A38" s="951" t="s">
        <v>799</v>
      </c>
      <c r="B38" s="259" t="s">
        <v>2396</v>
      </c>
      <c r="C38" s="264">
        <f ca="1">ROUND(C34*F38,0)</f>
        <v>433</v>
      </c>
      <c r="D38" s="264"/>
      <c r="E38" s="264"/>
      <c r="F38" s="303">
        <f>'数据-取费表'!B36</f>
        <v>1.4999999999999999E-2</v>
      </c>
      <c r="G38" s="263" t="s">
        <v>2391</v>
      </c>
    </row>
    <row r="39" spans="1:7" s="258" customFormat="1" ht="13.5" customHeight="1">
      <c r="A39" s="299" t="s">
        <v>2397</v>
      </c>
      <c r="B39" s="254" t="s">
        <v>2398</v>
      </c>
      <c r="C39" s="276">
        <f ca="1">ROUND(C33*F20,0)</f>
        <v>623</v>
      </c>
      <c r="D39" s="276"/>
      <c r="E39" s="276"/>
      <c r="F39" s="277"/>
      <c r="G39" s="278" t="s">
        <v>2399</v>
      </c>
    </row>
    <row r="40" spans="1:7" s="258" customFormat="1" ht="13.5" customHeight="1">
      <c r="A40" s="299" t="s">
        <v>2400</v>
      </c>
      <c r="B40" s="254" t="s">
        <v>2401</v>
      </c>
      <c r="C40" s="1726">
        <f>F21</f>
        <v>0.02</v>
      </c>
      <c r="D40" s="280" t="s">
        <v>2402</v>
      </c>
      <c r="E40" s="276"/>
      <c r="F40" s="277"/>
      <c r="G40" s="278" t="s">
        <v>2403</v>
      </c>
    </row>
    <row r="41" spans="1:7" s="258" customFormat="1" ht="13.5" customHeight="1">
      <c r="A41" s="299" t="s">
        <v>2404</v>
      </c>
      <c r="B41" s="254" t="s">
        <v>2405</v>
      </c>
      <c r="C41" s="276">
        <f ca="1">ROUND(SUM(C42:C43),0)</f>
        <v>1510</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1480</v>
      </c>
      <c r="D42" s="282"/>
      <c r="E42" s="282"/>
      <c r="F42" s="283"/>
      <c r="G42" s="3137" t="s">
        <v>2407</v>
      </c>
    </row>
    <row r="43" spans="1:7" ht="13.5" customHeight="1">
      <c r="A43" s="951" t="s">
        <v>792</v>
      </c>
      <c r="B43" s="259" t="s">
        <v>2408</v>
      </c>
      <c r="C43" s="282">
        <f ca="1">ROUND(IF('数据-取费表'!B22&lt;=1,C39*F22*'数据-取费表'!B21/2,C39*(POWER((1+F22),'数据-取费表'!B21/2)-1)),0)</f>
        <v>30</v>
      </c>
      <c r="D43" s="282"/>
      <c r="E43" s="282"/>
      <c r="F43" s="283"/>
      <c r="G43" s="3138"/>
    </row>
    <row r="44" spans="1:7" ht="13.5" customHeight="1">
      <c r="A44" s="951" t="s">
        <v>793</v>
      </c>
      <c r="B44" s="259" t="s">
        <v>2409</v>
      </c>
      <c r="C44" s="282">
        <f ca="1">ROUND(IF('数据-取费表'!B22&lt;=1,C40*F22*'数据-取费表'!B21/2,C40*(POWER((1+F22),'数据-取费表'!B21/2)-1)),4)</f>
        <v>1E-3</v>
      </c>
      <c r="D44" s="282"/>
      <c r="E44" s="282"/>
      <c r="F44" s="283"/>
      <c r="G44" s="3139"/>
    </row>
    <row r="45" spans="1:7" s="258" customFormat="1" ht="13.5" customHeight="1">
      <c r="A45" s="299" t="s">
        <v>2410</v>
      </c>
      <c r="B45" s="288" t="s">
        <v>2376</v>
      </c>
      <c r="C45" s="289">
        <f ca="1">C46</f>
        <v>4767</v>
      </c>
      <c r="D45" s="279">
        <f ca="1">C47</f>
        <v>3.0000000000000001E-3</v>
      </c>
      <c r="E45" s="280" t="s">
        <v>2402</v>
      </c>
      <c r="F45" s="290"/>
      <c r="G45" s="291" t="s">
        <v>2411</v>
      </c>
    </row>
    <row r="46" spans="1:7" s="258" customFormat="1" ht="13.5" customHeight="1">
      <c r="A46" s="951" t="s">
        <v>791</v>
      </c>
      <c r="B46" s="292" t="s">
        <v>2412</v>
      </c>
      <c r="C46" s="293">
        <f ca="1">ROUND((C33+C39)*F27,0)</f>
        <v>4767</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6">
        <f>ROUND(F30/(1+'数据-取费表'!C42),4)</f>
        <v>5.2400000000000002E-2</v>
      </c>
      <c r="D48" s="280" t="s">
        <v>2402</v>
      </c>
      <c r="E48" s="276"/>
      <c r="F48" s="281"/>
      <c r="G48" s="278" t="s">
        <v>2415</v>
      </c>
    </row>
    <row r="49" spans="1:7" ht="16.5" customHeight="1">
      <c r="A49" s="299" t="s">
        <v>2381</v>
      </c>
      <c r="B49" s="254" t="s">
        <v>2416</v>
      </c>
      <c r="C49" s="276">
        <f ca="1">ROUND((C33+C39+C41+C45)/(1-C40-D41-D45-C48),0)</f>
        <v>41208</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41208</v>
      </c>
      <c r="D51" s="276"/>
      <c r="E51" s="276"/>
      <c r="F51" s="308"/>
      <c r="G51" s="278" t="s">
        <v>2423</v>
      </c>
    </row>
    <row r="52" spans="1:7" s="252" customFormat="1" ht="16.8" thickBot="1">
      <c r="A52" s="309" t="s">
        <v>2424</v>
      </c>
      <c r="B52" s="310"/>
      <c r="C52" s="311">
        <f ca="1">C31+C51</f>
        <v>129548</v>
      </c>
      <c r="D52" s="310"/>
      <c r="E52" s="310"/>
      <c r="F52" s="310"/>
      <c r="G52" s="312"/>
    </row>
    <row r="55" spans="1:7" ht="15">
      <c r="B55" s="314" t="s">
        <v>2425</v>
      </c>
      <c r="C55" s="315"/>
    </row>
    <row r="56" spans="1:7">
      <c r="B56" s="317" t="s">
        <v>1507</v>
      </c>
      <c r="C56" s="319">
        <f ca="1">1-C57</f>
        <v>0.68199999999999994</v>
      </c>
    </row>
    <row r="57" spans="1:7">
      <c r="B57" s="317" t="s">
        <v>1508</v>
      </c>
      <c r="C57" s="318">
        <f ca="1">ROUND(C51/C52,3)</f>
        <v>0.318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4"/>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43862</v>
      </c>
      <c r="C2" s="243" t="s">
        <v>2326</v>
      </c>
      <c r="D2" s="2545" t="s">
        <v>70</v>
      </c>
      <c r="E2" s="1439"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9107</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9632508</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9632508</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9632508</v>
      </c>
      <c r="D10" s="1032">
        <f ca="1">IF(B1="",'数据-汇总表'!E6,IF(INDIRECT("'数据-取费表'!c"&amp;$G$1)="住宅",INDIRECT("'数据-取费表'!s"&amp;$G$1),INDIRECT("'数据-取费表'!k"&amp;$G$1)+INDIRECT("'数据-取费表'!s"&amp;$G$1)))</f>
        <v>48162.54</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9632508</v>
      </c>
      <c r="D19" s="1036">
        <f ca="1">D9+D10</f>
        <v>48162.54</v>
      </c>
      <c r="E19" s="255">
        <f>'数据-取费表'!B31</f>
        <v>200</v>
      </c>
      <c r="F19" s="275"/>
      <c r="G19" s="2548"/>
    </row>
    <row r="20" spans="1:7" s="258" customFormat="1" ht="13.5" customHeight="1">
      <c r="A20" s="299" t="s">
        <v>2437</v>
      </c>
      <c r="B20" s="254" t="s">
        <v>2438</v>
      </c>
      <c r="C20" s="276">
        <f ca="1">ROUND((C5+C19)*F20,0)</f>
        <v>385300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1891946</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936822</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936822</v>
      </c>
      <c r="D24" s="282"/>
      <c r="E24" s="282"/>
      <c r="F24" s="283"/>
      <c r="G24" s="284" t="s">
        <v>2449</v>
      </c>
    </row>
    <row r="25" spans="1:7" s="258" customFormat="1" ht="24">
      <c r="A25" s="951" t="s">
        <v>2339</v>
      </c>
      <c r="B25" s="259" t="s">
        <v>2450</v>
      </c>
      <c r="C25" s="1381">
        <f ca="1">ROUND(IF('数据-取费表'!B22&lt;=1,C20*F22*'数据-取费表'!B22/2,C20*(POWER((1+F22),'数据-取费表'!B22/2)-1)),0)</f>
        <v>18302</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6.4">
      <c r="A27" s="299" t="s">
        <v>2375</v>
      </c>
      <c r="B27" s="288" t="s">
        <v>2376</v>
      </c>
      <c r="C27" s="289">
        <f ca="1">C28</f>
        <v>2947547</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2947547</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26515601</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311611634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288975240</v>
      </c>
      <c r="D34" s="261"/>
      <c r="E34" s="264"/>
      <c r="F34" s="301"/>
      <c r="G34" s="263"/>
    </row>
    <row r="35" spans="1:7" ht="13.5" customHeight="1">
      <c r="A35" s="951" t="s">
        <v>796</v>
      </c>
      <c r="B35" s="259" t="s">
        <v>2390</v>
      </c>
      <c r="C35" s="264">
        <f ca="1">ROUND(C34*F35,0)</f>
        <v>8669257</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1" t="s">
        <v>798</v>
      </c>
      <c r="B37" s="259" t="s">
        <v>2394</v>
      </c>
      <c r="C37" s="293">
        <f ca="1">ROUND(E37*D37,0)</f>
        <v>9632508</v>
      </c>
      <c r="D37" s="261">
        <f ca="1">D19</f>
        <v>48162.54</v>
      </c>
      <c r="E37" s="293">
        <f>'数据-取费表'!B35</f>
        <v>200</v>
      </c>
      <c r="F37" s="303"/>
      <c r="G37" s="305"/>
    </row>
    <row r="38" spans="1:7" ht="13.5" customHeight="1">
      <c r="A38" s="951" t="s">
        <v>799</v>
      </c>
      <c r="B38" s="259" t="s">
        <v>2396</v>
      </c>
      <c r="C38" s="264">
        <f ca="1">ROUND(C34*F38,0)</f>
        <v>4334629</v>
      </c>
      <c r="D38" s="264"/>
      <c r="E38" s="264"/>
      <c r="F38" s="303">
        <f>'数据-取费表'!B36</f>
        <v>1.4999999999999999E-2</v>
      </c>
      <c r="G38" s="263" t="s">
        <v>2391</v>
      </c>
    </row>
    <row r="39" spans="1:7" s="258" customFormat="1" ht="13.5" customHeight="1">
      <c r="A39" s="299" t="s">
        <v>2397</v>
      </c>
      <c r="B39" s="254" t="s">
        <v>2398</v>
      </c>
      <c r="C39" s="276">
        <f ca="1">ROUND(C33*F20,0)</f>
        <v>6232233</v>
      </c>
      <c r="D39" s="276"/>
      <c r="E39" s="276"/>
      <c r="F39" s="277"/>
      <c r="G39" s="278" t="s">
        <v>2399</v>
      </c>
    </row>
    <row r="40" spans="1:7" s="258" customFormat="1" ht="13.5" customHeight="1">
      <c r="A40" s="299" t="s">
        <v>2400</v>
      </c>
      <c r="B40" s="254" t="s">
        <v>2401</v>
      </c>
      <c r="C40" s="1726">
        <f>F21</f>
        <v>0.02</v>
      </c>
      <c r="D40" s="280" t="s">
        <v>2402</v>
      </c>
      <c r="E40" s="276"/>
      <c r="F40" s="277"/>
      <c r="G40" s="278" t="s">
        <v>2403</v>
      </c>
    </row>
    <row r="41" spans="1:7" s="258" customFormat="1" ht="13.5" customHeight="1">
      <c r="A41" s="299" t="s">
        <v>2404</v>
      </c>
      <c r="B41" s="254" t="s">
        <v>2405</v>
      </c>
      <c r="C41" s="276">
        <f ca="1">ROUND(SUM(C42:C43),0)</f>
        <v>15097584</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14801553</v>
      </c>
      <c r="D42" s="282"/>
      <c r="E42" s="282"/>
      <c r="F42" s="283"/>
      <c r="G42" s="3137" t="s">
        <v>2454</v>
      </c>
    </row>
    <row r="43" spans="1:7" ht="13.5" customHeight="1">
      <c r="A43" s="951" t="s">
        <v>792</v>
      </c>
      <c r="B43" s="259" t="s">
        <v>2408</v>
      </c>
      <c r="C43" s="282">
        <f ca="1">ROUND(IF('数据-取费表'!B22&lt;=1,C39*F22*'数据-取费表'!B20/2,C39*(POWER((1+F22),'数据-取费表'!B20/2)-1)),0)</f>
        <v>296031</v>
      </c>
      <c r="D43" s="282"/>
      <c r="E43" s="282"/>
      <c r="F43" s="283"/>
      <c r="G43" s="3138"/>
    </row>
    <row r="44" spans="1:7" ht="13.5" customHeight="1">
      <c r="A44" s="951" t="s">
        <v>793</v>
      </c>
      <c r="B44" s="259" t="s">
        <v>2409</v>
      </c>
      <c r="C44" s="282">
        <f ca="1">ROUND(IF('数据-取费表'!B22&lt;=1,C40*F22*'数据-取费表'!B20/2,C40*(POWER((1+F22),'数据-取费表'!B20/2)-1)),4)</f>
        <v>1E-3</v>
      </c>
      <c r="D44" s="282"/>
      <c r="E44" s="282"/>
      <c r="F44" s="283"/>
      <c r="G44" s="3139"/>
    </row>
    <row r="45" spans="1:7" s="258" customFormat="1" ht="13.5" customHeight="1">
      <c r="A45" s="299" t="s">
        <v>2410</v>
      </c>
      <c r="B45" s="288" t="s">
        <v>2376</v>
      </c>
      <c r="C45" s="289">
        <f ca="1">C46</f>
        <v>47676580</v>
      </c>
      <c r="D45" s="279">
        <f ca="1">C47</f>
        <v>3.0000000000000001E-3</v>
      </c>
      <c r="E45" s="280" t="s">
        <v>2402</v>
      </c>
      <c r="F45" s="290"/>
      <c r="G45" s="291" t="s">
        <v>2411</v>
      </c>
    </row>
    <row r="46" spans="1:7" s="258" customFormat="1" ht="13.5" customHeight="1">
      <c r="A46" s="951" t="s">
        <v>791</v>
      </c>
      <c r="B46" s="292" t="s">
        <v>2412</v>
      </c>
      <c r="C46" s="293">
        <f ca="1">ROUND((C33+C39)*F27,0)</f>
        <v>47676580</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412102675</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412102675</v>
      </c>
      <c r="D51" s="276"/>
      <c r="E51" s="276"/>
      <c r="F51" s="308"/>
      <c r="G51" s="278" t="s">
        <v>2423</v>
      </c>
    </row>
    <row r="52" spans="1:7" s="252" customFormat="1" ht="16.8" thickBot="1">
      <c r="A52" s="309" t="s">
        <v>2424</v>
      </c>
      <c r="B52" s="310"/>
      <c r="C52" s="311">
        <f ca="1">C31+C51</f>
        <v>438618276</v>
      </c>
      <c r="D52" s="310"/>
      <c r="E52" s="310"/>
      <c r="F52" s="310"/>
      <c r="G52" s="312"/>
    </row>
    <row r="55" spans="1:7" ht="15">
      <c r="B55" s="314" t="s">
        <v>2425</v>
      </c>
      <c r="C55" s="315"/>
    </row>
    <row r="56" spans="1:7">
      <c r="B56" s="317" t="s">
        <v>1507</v>
      </c>
      <c r="C56" s="319">
        <f ca="1">1-C57</f>
        <v>6.0000000000000053E-2</v>
      </c>
    </row>
    <row r="57" spans="1:7">
      <c r="B57" s="317" t="s">
        <v>1508</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2457</v>
      </c>
      <c r="B1" s="1579"/>
      <c r="C1" s="1580"/>
      <c r="D1" s="1578"/>
      <c r="E1" s="320"/>
      <c r="F1" s="320"/>
      <c r="G1" s="1579"/>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5.2">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48162.54</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48162.54</v>
      </c>
      <c r="E17" s="24">
        <f>'数据-取费表'!B32</f>
        <v>0</v>
      </c>
      <c r="F17" s="978"/>
      <c r="G17" s="140" t="s">
        <v>2489</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4"/>
      <c r="H18" s="1575"/>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2493</v>
      </c>
      <c r="C20" s="24">
        <f ca="1">ROUND(D20*E20/10000,0)</f>
        <v>963</v>
      </c>
      <c r="D20" s="1033">
        <f ca="1">IF(C1="",'数据-汇总表'!E6,IF(INDIRECT("'数据-取费表'!c"&amp;$K$1)="住宅",INDIRECT("'数据-取费表'!s"&amp;$K$1),INDIRECT("'数据-取费表'!k"&amp;$K$1)+INDIRECT("'数据-取费表'!s"&amp;$K$1)))</f>
        <v>48162.54</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D24" sqref="D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2"/>
      <c r="C1" s="1835" t="s">
        <v>3075</v>
      </c>
      <c r="D1" s="1818"/>
      <c r="E1" s="1819" t="s">
        <v>1381</v>
      </c>
      <c r="F1" s="1283">
        <f ca="1">J53</f>
        <v>29.73</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36449</v>
      </c>
      <c r="C2" s="1843" t="s">
        <v>1510</v>
      </c>
      <c r="D2" s="1843"/>
      <c r="E2" s="1844"/>
      <c r="F2" s="1845"/>
      <c r="G2" s="1846"/>
      <c r="H2" s="1838"/>
      <c r="I2" s="1838"/>
      <c r="J2" s="1838"/>
      <c r="K2" s="1839"/>
      <c r="L2" s="1838"/>
      <c r="M2" s="1838"/>
    </row>
    <row r="3" spans="1:37" ht="18" customHeight="1" thickBot="1">
      <c r="A3" s="1847" t="s">
        <v>1511</v>
      </c>
      <c r="B3" s="1848">
        <f ca="1">IF(ISERROR(B2*10000/F43),0,ROUND(B2*10000/F43,0))</f>
        <v>10881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2">
        <f ca="1">C6+C10+C12</f>
        <v>3892</v>
      </c>
      <c r="D5" s="1820" t="s">
        <v>1396</v>
      </c>
      <c r="E5" s="1293"/>
      <c r="F5" s="1294"/>
      <c r="G5" s="1849"/>
      <c r="H5" s="344">
        <v>1</v>
      </c>
      <c r="I5" s="345" t="s">
        <v>1395</v>
      </c>
      <c r="J5" s="1292">
        <f ca="1">J6+J10+J12</f>
        <v>0</v>
      </c>
      <c r="K5" s="1820" t="s">
        <v>1396</v>
      </c>
      <c r="L5" s="1293"/>
      <c r="M5" s="1294"/>
    </row>
    <row r="6" spans="1:37" ht="18" customHeight="1">
      <c r="A6" s="1291" t="s">
        <v>1031</v>
      </c>
      <c r="B6" s="3142" t="s">
        <v>1397</v>
      </c>
      <c r="C6" s="1296">
        <f>酒店收入计算!E26</f>
        <v>3892</v>
      </c>
      <c r="D6" s="164" t="s">
        <v>3030</v>
      </c>
      <c r="E6" s="347" t="s">
        <v>1399</v>
      </c>
      <c r="F6" s="348">
        <f ca="1">INDIRECT("'数据-取费表'!u"&amp;$G$1)</f>
        <v>0</v>
      </c>
      <c r="G6" s="1849"/>
      <c r="H6" s="1291" t="s">
        <v>1031</v>
      </c>
      <c r="I6" s="3142" t="s">
        <v>1397</v>
      </c>
      <c r="J6" s="346">
        <f ca="1">ROUND(M6*M8*M7*(1-M9)/10000,0)</f>
        <v>0</v>
      </c>
      <c r="K6" s="164" t="s">
        <v>3029</v>
      </c>
      <c r="L6" s="347" t="s">
        <v>1399</v>
      </c>
      <c r="M6" s="348">
        <f ca="1">INDIRECT("'数据-取费表'!z"&amp;$G$1)</f>
        <v>0</v>
      </c>
    </row>
    <row r="7" spans="1:37" ht="18" customHeight="1">
      <c r="A7" s="1295"/>
      <c r="B7" s="3143"/>
      <c r="C7" s="1297"/>
      <c r="D7" s="352"/>
      <c r="E7" s="1298" t="s">
        <v>1400</v>
      </c>
      <c r="F7" s="348">
        <f ca="1">IF(INDIRECT("'数据-取费表'!ah"&amp;$G$1)="",INDIRECT("'数据-取费表'!k"&amp;$G$1),INDIRECT("'数据-取费表'!ah"&amp;$G$1))</f>
        <v>33499</v>
      </c>
      <c r="G7" s="1849"/>
      <c r="H7" s="349"/>
      <c r="I7" s="3143"/>
      <c r="J7" s="351"/>
      <c r="K7" s="352"/>
      <c r="L7" s="347" t="s">
        <v>1400</v>
      </c>
      <c r="M7" s="348">
        <f ca="1">F7</f>
        <v>33499</v>
      </c>
    </row>
    <row r="8" spans="1:37" ht="18" customHeight="1">
      <c r="A8" s="349"/>
      <c r="B8" s="3143"/>
      <c r="C8" s="351"/>
      <c r="D8" s="352"/>
      <c r="E8" s="347" t="s">
        <v>1401</v>
      </c>
      <c r="F8" s="348">
        <f ca="1">INDIRECT("'数据-取费表'!ai"&amp;$G$1)</f>
        <v>365</v>
      </c>
      <c r="G8" s="1849"/>
      <c r="H8" s="349"/>
      <c r="I8" s="3143"/>
      <c r="J8" s="351"/>
      <c r="K8" s="352"/>
      <c r="L8" s="347" t="s">
        <v>1401</v>
      </c>
      <c r="M8" s="348">
        <f ca="1">INDIRECT("'数据-取费表'!ai"&amp;$G$1)</f>
        <v>365</v>
      </c>
    </row>
    <row r="9" spans="1:37" ht="18" customHeight="1">
      <c r="A9" s="349"/>
      <c r="B9" s="3144"/>
      <c r="C9" s="351"/>
      <c r="D9" s="352"/>
      <c r="E9" s="347" t="s">
        <v>1402</v>
      </c>
      <c r="F9" s="357">
        <f ca="1">INDIRECT("'数据-取费表'!w"&amp;$G$1)</f>
        <v>0</v>
      </c>
      <c r="G9" s="1849"/>
      <c r="H9" s="349"/>
      <c r="I9" s="3144"/>
      <c r="J9" s="351"/>
      <c r="K9" s="352"/>
      <c r="L9" s="358" t="s">
        <v>1402</v>
      </c>
      <c r="M9" s="359">
        <f ca="1">INDIRECT("'数据-取费表'!ab"&amp;$G$1)</f>
        <v>0</v>
      </c>
    </row>
    <row r="10" spans="1:37" ht="18" customHeight="1">
      <c r="A10" s="1291" t="s">
        <v>1035</v>
      </c>
      <c r="B10" s="1821" t="s">
        <v>1403</v>
      </c>
      <c r="C10" s="361">
        <f ca="1">ROUND(IF(F10="押一",C6/12*F11,IF(F10="押二",C6/12*2*F11,IF(F10="押三",C6/12*3*F11,C11*F11))),0)</f>
        <v>0</v>
      </c>
      <c r="D10" s="1822" t="s">
        <v>3039</v>
      </c>
      <c r="E10" s="358" t="s">
        <v>1404</v>
      </c>
      <c r="F10" s="1366" t="s">
        <v>3382</v>
      </c>
      <c r="G10" s="1849"/>
      <c r="H10" s="1291" t="s">
        <v>1035</v>
      </c>
      <c r="I10" s="1821" t="s">
        <v>1403</v>
      </c>
      <c r="J10" s="346">
        <f ca="1">ROUND(IF(M10="押一",J6/12*M11,IF(M10="押二",J6/12*2*M11,IF(M10="押三",J6/12*3*M11,J11*M11))),0)</f>
        <v>0</v>
      </c>
      <c r="K10" s="1822" t="s">
        <v>3038</v>
      </c>
      <c r="L10" s="358" t="s">
        <v>1404</v>
      </c>
      <c r="M10" s="1366" t="s">
        <v>1405</v>
      </c>
    </row>
    <row r="11" spans="1:37" ht="18" customHeight="1">
      <c r="A11" s="353"/>
      <c r="B11" s="1823" t="s">
        <v>1382</v>
      </c>
      <c r="C11" s="1178"/>
      <c r="D11" s="1824"/>
      <c r="E11" s="358" t="s">
        <v>1406</v>
      </c>
      <c r="F11" s="359">
        <f ca="1">'数据-取费表'!B39</f>
        <v>1.4999999999999999E-2</v>
      </c>
      <c r="G11" s="1849"/>
      <c r="H11" s="1299"/>
      <c r="I11" s="1823" t="s">
        <v>1382</v>
      </c>
      <c r="J11" s="1178"/>
      <c r="K11" s="748"/>
      <c r="L11" s="358" t="s">
        <v>1406</v>
      </c>
      <c r="M11" s="1056">
        <f ca="1">'数据-取费表'!B39</f>
        <v>1.4999999999999999E-2</v>
      </c>
    </row>
    <row r="12" spans="1:37" ht="18" customHeight="1" thickBot="1">
      <c r="A12" s="1333" t="s">
        <v>1071</v>
      </c>
      <c r="B12" s="1825" t="s">
        <v>1407</v>
      </c>
      <c r="C12" s="1334"/>
      <c r="D12" s="1335"/>
      <c r="E12" s="1340"/>
      <c r="F12" s="1336"/>
      <c r="G12" s="1849"/>
      <c r="H12" s="1333" t="s">
        <v>1071</v>
      </c>
      <c r="I12" s="1825" t="s">
        <v>1407</v>
      </c>
      <c r="J12" s="1334"/>
      <c r="K12" s="1348"/>
      <c r="L12" s="1340"/>
      <c r="M12" s="1349"/>
    </row>
    <row r="13" spans="1:37" ht="18" customHeight="1" thickTop="1">
      <c r="A13" s="1329">
        <v>2</v>
      </c>
      <c r="B13" s="1330" t="s">
        <v>1408</v>
      </c>
      <c r="C13" s="355">
        <f ca="1">ROUND(C29*F13,0)</f>
        <v>41208</v>
      </c>
      <c r="D13" s="1331" t="s">
        <v>1409</v>
      </c>
      <c r="E13" s="1331" t="s">
        <v>1410</v>
      </c>
      <c r="F13" s="1332">
        <f ca="1">INDIRECT("'数据-取费表'!y"&amp;$G$1)</f>
        <v>1</v>
      </c>
      <c r="G13" s="1849"/>
      <c r="H13" s="1329">
        <v>2</v>
      </c>
      <c r="I13" s="1330" t="s">
        <v>1408</v>
      </c>
      <c r="J13" s="1290">
        <f ca="1">ROUND(J14*J15,0)</f>
        <v>0</v>
      </c>
      <c r="K13" s="1337" t="s">
        <v>1409</v>
      </c>
      <c r="L13" s="1850"/>
      <c r="M13" s="1851"/>
    </row>
    <row r="14" spans="1:37" ht="18" customHeight="1">
      <c r="A14" s="1201" t="s">
        <v>1030</v>
      </c>
      <c r="B14" s="347" t="s">
        <v>1411</v>
      </c>
      <c r="C14" s="363">
        <f ca="1">INDIRECT("'数据-取费表'!m"&amp;$G$1)+INDIRECT("'数据-取费表'!t"&amp;$G$1)</f>
        <v>28897</v>
      </c>
      <c r="D14" s="1798" t="s">
        <v>1412</v>
      </c>
      <c r="E14" s="1792"/>
      <c r="F14" s="364"/>
      <c r="G14" s="1849"/>
      <c r="H14" s="1201" t="s">
        <v>1031</v>
      </c>
      <c r="I14" s="347" t="s">
        <v>1413</v>
      </c>
      <c r="J14" s="24">
        <f ca="1">C29</f>
        <v>41208</v>
      </c>
      <c r="K14" s="15"/>
      <c r="L14" s="979"/>
      <c r="M14" s="980"/>
    </row>
    <row r="15" spans="1:37" s="1856" customFormat="1" ht="18" customHeight="1" thickBot="1">
      <c r="A15" s="1201" t="s">
        <v>1032</v>
      </c>
      <c r="B15" s="347" t="s">
        <v>1414</v>
      </c>
      <c r="C15" s="24">
        <f ca="1">ROUND(C14*F15,0)</f>
        <v>867</v>
      </c>
      <c r="D15" s="365" t="s">
        <v>1415</v>
      </c>
      <c r="E15" s="365" t="s">
        <v>1416</v>
      </c>
      <c r="F15" s="366">
        <f>'数据-取费表'!B33</f>
        <v>0.03</v>
      </c>
      <c r="G15" s="1852"/>
      <c r="H15" s="1339" t="s">
        <v>1035</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9"/>
      <c r="H16" s="1329" t="s">
        <v>1026</v>
      </c>
      <c r="I16" s="1330" t="s">
        <v>1418</v>
      </c>
      <c r="J16" s="355">
        <f ca="1">ROUND(J17+J22+J23+J24,0)</f>
        <v>964</v>
      </c>
      <c r="K16" s="1337" t="s">
        <v>1419</v>
      </c>
      <c r="L16" s="1338"/>
      <c r="M16" s="1294"/>
    </row>
    <row r="17" spans="1:37" s="1856" customFormat="1" ht="18" customHeight="1">
      <c r="A17" s="1201" t="s">
        <v>1384</v>
      </c>
      <c r="B17" s="347" t="s">
        <v>1420</v>
      </c>
      <c r="C17" s="24">
        <f ca="1">ROUND(F17*(F43+INDIRECT("'数据-取费表'!S"&amp;$G$1))/10000,0)</f>
        <v>963</v>
      </c>
      <c r="D17" s="347" t="s">
        <v>1421</v>
      </c>
      <c r="E17" s="347" t="s">
        <v>1422</v>
      </c>
      <c r="F17" s="26">
        <f>'数据-取费表'!B35</f>
        <v>200</v>
      </c>
      <c r="G17" s="1852"/>
      <c r="H17" s="1201" t="s">
        <v>1031</v>
      </c>
      <c r="I17" s="347" t="s">
        <v>1423</v>
      </c>
      <c r="J17" s="24">
        <f ca="1">ROUND(IF(项目基本情况!B11="自然人",J6*M17/(1+'数据-取费表'!C42),J18+J19+J20),1)</f>
        <v>346.2</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1385</v>
      </c>
      <c r="B18" s="347" t="s">
        <v>1426</v>
      </c>
      <c r="C18" s="24">
        <f ca="1">ROUND(C14*F18,0)</f>
        <v>433</v>
      </c>
      <c r="D18" s="347" t="s">
        <v>1415</v>
      </c>
      <c r="E18" s="347" t="s">
        <v>1416</v>
      </c>
      <c r="F18" s="367">
        <f>'数据-取费表'!B36</f>
        <v>1.4999999999999999E-2</v>
      </c>
      <c r="G18" s="1852"/>
      <c r="H18" s="1201" t="s">
        <v>1030</v>
      </c>
      <c r="I18" s="347" t="s">
        <v>1427</v>
      </c>
      <c r="J18" s="24">
        <f ca="1">ROUND(J6*M18/(1+'数据-取费表'!C42),2)</f>
        <v>0</v>
      </c>
      <c r="K18" s="1796" t="s">
        <v>1428</v>
      </c>
      <c r="L18" s="347" t="s">
        <v>1416</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1031</v>
      </c>
      <c r="B19" s="347" t="s">
        <v>1429</v>
      </c>
      <c r="C19" s="24">
        <f ca="1">SUM(C14:C18)</f>
        <v>31160</v>
      </c>
      <c r="D19" s="140" t="s">
        <v>1430</v>
      </c>
      <c r="E19" s="1816"/>
      <c r="F19" s="26"/>
      <c r="G19" s="1849"/>
      <c r="H19" s="1201" t="s">
        <v>1032</v>
      </c>
      <c r="I19" s="347" t="s">
        <v>1431</v>
      </c>
      <c r="J19" s="24">
        <f ca="1">IF(K19="按租金收入计税",ROUND(J6*M19/(1+'数据-取费表'!C42),2),ROUND(C29*M19*0.7,2))</f>
        <v>346.15</v>
      </c>
      <c r="K19" s="1826" t="s">
        <v>1432</v>
      </c>
      <c r="L19" s="347" t="s">
        <v>1416</v>
      </c>
      <c r="M19" s="367">
        <f>IF(K19="按租金收入计税",'数据-取费表'!B51,'数据-取费表'!B50)</f>
        <v>1.2E-2</v>
      </c>
    </row>
    <row r="20" spans="1:37" s="1856" customFormat="1" ht="18" customHeight="1">
      <c r="A20" s="1201" t="s">
        <v>1035</v>
      </c>
      <c r="B20" s="347" t="s">
        <v>1433</v>
      </c>
      <c r="C20" s="24">
        <f ca="1">ROUND(C19*F20,0)</f>
        <v>623</v>
      </c>
      <c r="D20" s="369" t="s">
        <v>1434</v>
      </c>
      <c r="E20" s="347" t="s">
        <v>1416</v>
      </c>
      <c r="F20" s="367">
        <f>'数据-取费表'!B37</f>
        <v>0.02</v>
      </c>
      <c r="G20" s="1852"/>
      <c r="H20" s="1201" t="s">
        <v>1383</v>
      </c>
      <c r="I20" s="164" t="s">
        <v>1435</v>
      </c>
      <c r="J20" s="25">
        <f ca="1">ROUND(M20*M21/10000,2)</f>
        <v>0</v>
      </c>
      <c r="K20" s="370" t="s">
        <v>1436</v>
      </c>
      <c r="L20" s="347" t="s">
        <v>1437</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1071</v>
      </c>
      <c r="B21" s="347" t="s">
        <v>1438</v>
      </c>
      <c r="C21" s="24" t="s">
        <v>18</v>
      </c>
      <c r="D21" s="369" t="s">
        <v>1439</v>
      </c>
      <c r="E21" s="347" t="s">
        <v>1440</v>
      </c>
      <c r="F21" s="367">
        <f>'数据-取费表'!B38</f>
        <v>0.02</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6"/>
      <c r="F22" s="26"/>
      <c r="G22" s="1849"/>
      <c r="H22" s="1201" t="s">
        <v>1035</v>
      </c>
      <c r="I22" s="347" t="s">
        <v>1443</v>
      </c>
      <c r="J22" s="24">
        <f ca="1">ROUND(J14*M22,1)</f>
        <v>618.1</v>
      </c>
      <c r="K22" s="1796" t="s">
        <v>1444</v>
      </c>
      <c r="L22" s="347" t="s">
        <v>1416</v>
      </c>
      <c r="M22" s="374">
        <f ca="1">INDIRECT("'数据-取费表'!Ak"&amp;$G$1)</f>
        <v>1.4999999999999999E-2</v>
      </c>
    </row>
    <row r="23" spans="1:37" s="1856" customFormat="1" ht="18" customHeight="1">
      <c r="A23" s="1201" t="s">
        <v>1030</v>
      </c>
      <c r="B23" s="347" t="s">
        <v>1445</v>
      </c>
      <c r="C23" s="24">
        <f ca="1">IF('数据-取费表'!B22&lt;=1,ROUND(C19*F24*F23/2,0)+ROUND(C20*F24*F23/2,0),ROUND(C19*(POWER((1+F24),F23/2)-1),0)+ROUND(C20*(POWER((1+F24),F23/2)-1),0))</f>
        <v>1510</v>
      </c>
      <c r="D23" s="375" t="str">
        <f>IF(F23&lt;=1,"(建造成本+管理费用)×利率×(建设周期÷2)","(建造成本+管理费用)×((1+利率)^(建设周期÷2)-1)")</f>
        <v>(建造成本+管理费用)×((1+利率)^(建设周期÷2)-1)</v>
      </c>
      <c r="E23" s="347" t="s">
        <v>1446</v>
      </c>
      <c r="F23" s="371">
        <f>'数据-取费表'!B20</f>
        <v>2</v>
      </c>
      <c r="G23" s="1852"/>
      <c r="H23" s="1201" t="s">
        <v>1071</v>
      </c>
      <c r="I23" s="347" t="s">
        <v>1447</v>
      </c>
      <c r="J23" s="24">
        <f ca="1">ROUND(J13*M23,1)</f>
        <v>0</v>
      </c>
      <c r="K23" s="1796" t="s">
        <v>1448</v>
      </c>
      <c r="L23" s="347" t="s">
        <v>1449</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0</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1454</v>
      </c>
      <c r="B25" s="347" t="s">
        <v>1455</v>
      </c>
      <c r="C25" s="24"/>
      <c r="D25" s="140" t="s">
        <v>1456</v>
      </c>
      <c r="E25" s="1816"/>
      <c r="F25" s="26"/>
      <c r="G25" s="1849"/>
      <c r="H25" s="1329" t="s">
        <v>1027</v>
      </c>
      <c r="I25" s="1344" t="s">
        <v>1457</v>
      </c>
      <c r="J25" s="355">
        <f ca="1">J5-J16</f>
        <v>-964</v>
      </c>
      <c r="K25" s="1345" t="s">
        <v>1458</v>
      </c>
      <c r="L25" s="1346"/>
      <c r="M25" s="1347"/>
    </row>
    <row r="26" spans="1:37">
      <c r="A26" s="1201" t="s">
        <v>1030</v>
      </c>
      <c r="B26" s="347" t="s">
        <v>1459</v>
      </c>
      <c r="C26" s="24">
        <f ca="1">ROUND((C19+C20)*F26,0)</f>
        <v>4767</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1" t="s">
        <v>1033</v>
      </c>
      <c r="B28" s="347" t="s">
        <v>1469</v>
      </c>
      <c r="C28" s="24">
        <f>ROUND(F28/(1+'数据-取费表'!C42),4)</f>
        <v>5.2400000000000002E-2</v>
      </c>
      <c r="D28" s="369" t="s">
        <v>1470</v>
      </c>
      <c r="E28" s="347" t="s">
        <v>1416</v>
      </c>
      <c r="F28" s="367">
        <f>'数据-取费表'!B41</f>
        <v>5.5000000000000007E-2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1034</v>
      </c>
      <c r="B29" s="1340" t="s">
        <v>1472</v>
      </c>
      <c r="C29" s="1341">
        <f ca="1">ROUND((C19+C20+C23+C26)/(1-F21-C24-C27-C28),0)</f>
        <v>41208</v>
      </c>
      <c r="D29" s="1342"/>
      <c r="E29" s="1340"/>
      <c r="F29" s="1343"/>
      <c r="G29" s="1852"/>
      <c r="H29" s="380" t="s">
        <v>1029</v>
      </c>
      <c r="I29" s="381" t="s">
        <v>1473</v>
      </c>
      <c r="J29" s="382">
        <f ca="1">ROUND(J26/(1+F40)^F41,0)</f>
        <v>0</v>
      </c>
      <c r="K29" s="383" t="s">
        <v>1474</v>
      </c>
      <c r="L29" s="384"/>
      <c r="M29" s="385">
        <f ca="1">INDIRECT("'数据-取费表'!k"&amp;$G$1)</f>
        <v>33499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1026</v>
      </c>
      <c r="B30" s="1330" t="s">
        <v>1418</v>
      </c>
      <c r="C30" s="355">
        <f ca="1">ROUND(C31+C36+C37+C38,0)</f>
        <v>1328</v>
      </c>
      <c r="D30" s="1337" t="s">
        <v>1419</v>
      </c>
      <c r="E30" s="1338"/>
      <c r="F30" s="1294"/>
      <c r="G30" s="1849"/>
      <c r="H30" s="745"/>
      <c r="I30" s="746"/>
      <c r="J30" s="747"/>
      <c r="K30" s="748"/>
      <c r="L30" s="749"/>
      <c r="M30" s="750"/>
    </row>
    <row r="31" spans="1:37" ht="18" customHeight="1">
      <c r="A31" s="1201" t="s">
        <v>1031</v>
      </c>
      <c r="B31" s="347" t="s">
        <v>1423</v>
      </c>
      <c r="C31" s="24">
        <f ca="1">ROUND(IF(项目基本情况!B11="自然人",C6*F31/(1+'数据-取费表'!C42),C32+C33+C34),1)</f>
        <v>550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1030</v>
      </c>
      <c r="B32" s="347" t="s">
        <v>1427</v>
      </c>
      <c r="C32" s="24">
        <f>IF(项目基本情况!B11="自然人","——",ROUND(C6*F32/(1+'数据-取费表'!C42),2))</f>
        <v>203.87</v>
      </c>
      <c r="D32" s="1796" t="s">
        <v>1428</v>
      </c>
      <c r="E32" s="347" t="s">
        <v>1416</v>
      </c>
      <c r="F32" s="377">
        <f>'数据-取费表'!B41</f>
        <v>5.5000000000000007E-2</v>
      </c>
      <c r="G32" s="1849"/>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346.15</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1" t="s">
        <v>1383</v>
      </c>
      <c r="B34" s="164" t="s">
        <v>1435</v>
      </c>
      <c r="C34" s="25">
        <f ca="1">IF(项目基本情况!B11="自然人","——",ROUND(F34*F35/10000,2))</f>
        <v>0</v>
      </c>
      <c r="D34" s="370" t="s">
        <v>1436</v>
      </c>
      <c r="E34" s="347" t="s">
        <v>1437</v>
      </c>
      <c r="F34" s="371">
        <f>'数据-取费表'!B52</f>
        <v>1.5</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1035</v>
      </c>
      <c r="B36" s="347" t="s">
        <v>1443</v>
      </c>
      <c r="C36" s="24">
        <f ca="1">ROUND(C29*F36,1)</f>
        <v>618.1</v>
      </c>
      <c r="D36" s="1796" t="s">
        <v>1476</v>
      </c>
      <c r="E36" s="347" t="s">
        <v>1416</v>
      </c>
      <c r="F36" s="374">
        <f ca="1">INDIRECT("'数据-取费表'!Ak"&amp;$G$1)</f>
        <v>1.4999999999999999E-2</v>
      </c>
      <c r="G36" s="1849"/>
      <c r="H36" s="1857"/>
      <c r="I36" s="1858"/>
      <c r="J36" s="1859"/>
      <c r="K36" s="751"/>
      <c r="L36" s="1857"/>
      <c r="M36" s="1857"/>
    </row>
    <row r="37" spans="1:18" ht="18" customHeight="1">
      <c r="A37" s="1201" t="s">
        <v>1071</v>
      </c>
      <c r="B37" s="347" t="s">
        <v>1447</v>
      </c>
      <c r="C37" s="24">
        <f ca="1">ROUND(C13*F37,1)</f>
        <v>82.4</v>
      </c>
      <c r="D37" s="1796" t="s">
        <v>1448</v>
      </c>
      <c r="E37" s="347" t="s">
        <v>1449</v>
      </c>
      <c r="F37" s="376">
        <f ca="1">INDIRECT("'数据-取费表'!Al"&amp;$G$1)</f>
        <v>2E-3</v>
      </c>
      <c r="G37" s="1849"/>
      <c r="H37" s="1857"/>
      <c r="I37" s="1858"/>
      <c r="J37" s="1859"/>
      <c r="K37" s="751"/>
      <c r="L37" s="1857"/>
      <c r="M37" s="1857"/>
    </row>
    <row r="38" spans="1:18" ht="18" customHeight="1" thickBot="1">
      <c r="A38" s="1339" t="s">
        <v>1387</v>
      </c>
      <c r="B38" s="1340" t="s">
        <v>1433</v>
      </c>
      <c r="C38" s="1341">
        <f ca="1">ROUND(C5*F38,1)</f>
        <v>77.8</v>
      </c>
      <c r="D38" s="1342" t="s">
        <v>1453</v>
      </c>
      <c r="E38" s="1340" t="s">
        <v>1449</v>
      </c>
      <c r="F38" s="1336">
        <f ca="1">INDIRECT("'数据-取费表'!Am"&amp;$G$1)</f>
        <v>0.02</v>
      </c>
      <c r="G38" s="1849"/>
      <c r="H38" s="1857"/>
      <c r="I38" s="1858"/>
      <c r="J38" s="1859"/>
      <c r="K38" s="1863"/>
      <c r="L38" s="1857"/>
      <c r="M38" s="1857"/>
    </row>
    <row r="39" spans="1:18" ht="24.6" customHeight="1" thickTop="1">
      <c r="A39" s="1329" t="s">
        <v>1027</v>
      </c>
      <c r="B39" s="1344" t="s">
        <v>1477</v>
      </c>
      <c r="C39" s="355">
        <f ca="1">C5-C30</f>
        <v>2564</v>
      </c>
      <c r="D39" s="1345" t="s">
        <v>1478</v>
      </c>
      <c r="E39" s="1346"/>
      <c r="F39" s="1347"/>
      <c r="G39" s="1849"/>
      <c r="H39" s="1857"/>
      <c r="I39" s="1858"/>
      <c r="J39" s="1859"/>
      <c r="K39" s="1863"/>
      <c r="L39" s="1857"/>
      <c r="M39" s="1857"/>
    </row>
    <row r="40" spans="1:18" ht="18" customHeight="1">
      <c r="A40" s="344" t="s">
        <v>1028</v>
      </c>
      <c r="B40" s="345" t="s">
        <v>1479</v>
      </c>
      <c r="C40" s="346">
        <f ca="1">ROUND(C39*(1-((1+F42)/(1+F40))^F41)/(F40-F42),0)</f>
        <v>35111</v>
      </c>
      <c r="D40" s="370" t="s">
        <v>1463</v>
      </c>
      <c r="E40" s="347" t="s">
        <v>1464</v>
      </c>
      <c r="F40" s="357">
        <f ca="1">INDIRECT("'数据-取费表'!I"&amp;$G$1)</f>
        <v>6.5000000000000002E-2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29.73</v>
      </c>
      <c r="G41" s="1849"/>
      <c r="H41" s="732"/>
      <c r="I41" s="1858"/>
      <c r="J41" s="1859"/>
      <c r="K41" s="751"/>
      <c r="L41" s="732"/>
      <c r="M41" s="732"/>
    </row>
    <row r="42" spans="1:18" ht="18" customHeight="1">
      <c r="A42" s="353"/>
      <c r="B42" s="354"/>
      <c r="C42" s="355"/>
      <c r="D42" s="373"/>
      <c r="E42" s="347" t="s">
        <v>1471</v>
      </c>
      <c r="F42" s="357">
        <f ca="1">INDIRECT("'数据-取费表'!v"&amp;$G$1)</f>
        <v>5.0000000000000001E-3</v>
      </c>
      <c r="G42" s="1849"/>
      <c r="H42" s="732"/>
      <c r="I42" s="1858"/>
      <c r="J42" s="1859"/>
      <c r="K42" s="751"/>
      <c r="L42" s="732"/>
      <c r="M42" s="732"/>
    </row>
    <row r="43" spans="1:18" ht="18" customHeight="1" thickBot="1">
      <c r="A43" s="380" t="s">
        <v>1029</v>
      </c>
      <c r="B43" s="381" t="s">
        <v>1481</v>
      </c>
      <c r="C43" s="382">
        <f ca="1">ROUND(C40*10000/F43,0)</f>
        <v>10481</v>
      </c>
      <c r="D43" s="383" t="s">
        <v>1482</v>
      </c>
      <c r="E43" s="384" t="s">
        <v>1483</v>
      </c>
      <c r="F43" s="385">
        <f ca="1">INDIRECT("'数据-取费表'!k"&amp;$G$1)</f>
        <v>33499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8" thickBot="1">
      <c r="A46" s="1868" t="s">
        <v>1514</v>
      </c>
      <c r="C46" s="1869">
        <f ca="1">C68-C40</f>
        <v>-48742</v>
      </c>
      <c r="D46" s="1870" t="str">
        <f>C2</f>
        <v>万元</v>
      </c>
      <c r="E46" s="1864"/>
      <c r="F46" s="1864"/>
      <c r="I46" s="1871" t="s">
        <v>1515</v>
      </c>
      <c r="J46" s="1872"/>
      <c r="K46" s="1873"/>
      <c r="L46" s="1874">
        <f ca="1">IF(M47="住宅",0,IF(L48&gt;J51,L60,J60))</f>
        <v>1338</v>
      </c>
      <c r="O46" s="1875" t="s">
        <v>1516</v>
      </c>
      <c r="P46" s="1876" t="s">
        <v>1517</v>
      </c>
      <c r="Q46" s="1877" t="s">
        <v>1518</v>
      </c>
      <c r="R46" s="1877" t="s">
        <v>1519</v>
      </c>
    </row>
    <row r="47" spans="1:18" s="1840" customFormat="1" ht="13.8" thickBot="1">
      <c r="A47" s="1165" t="s">
        <v>1390</v>
      </c>
      <c r="B47" s="1197" t="s">
        <v>1391</v>
      </c>
      <c r="C47" s="1367" t="s">
        <v>1392</v>
      </c>
      <c r="D47" s="1197" t="s">
        <v>1393</v>
      </c>
      <c r="E47" s="1279" t="s">
        <v>1394</v>
      </c>
      <c r="F47" s="1280"/>
      <c r="G47" s="792"/>
      <c r="I47" s="1878" t="s">
        <v>1520</v>
      </c>
      <c r="J47" s="1879" t="s">
        <v>3383</v>
      </c>
      <c r="K47" s="1880" t="s">
        <v>1521</v>
      </c>
      <c r="L47" s="1881">
        <f ca="1">INDIRECT("'数据-取费表'!d"&amp;$G$1)</f>
        <v>40</v>
      </c>
      <c r="M47" s="1836" t="str">
        <f>IF(ISNUMBER(FIND("住宅",C1)),"住宅","非住宅")</f>
        <v>非住宅</v>
      </c>
      <c r="O47" s="1882" t="s">
        <v>1036</v>
      </c>
      <c r="P47" s="1883" t="s">
        <v>1522</v>
      </c>
      <c r="Q47" s="1884">
        <f ca="1">C40+J29</f>
        <v>35111</v>
      </c>
      <c r="R47" s="1884" t="s">
        <v>1523</v>
      </c>
    </row>
    <row r="48" spans="1:18" s="1840" customFormat="1" ht="40.200000000000003" thickBot="1">
      <c r="A48" s="1360" t="s">
        <v>1131</v>
      </c>
      <c r="B48" s="345" t="s">
        <v>1395</v>
      </c>
      <c r="C48" s="1815">
        <f ca="1">C49+C53+C55</f>
        <v>0</v>
      </c>
      <c r="D48" s="1362"/>
      <c r="E48" s="1363"/>
      <c r="F48" s="1181"/>
      <c r="G48" s="792"/>
      <c r="H48" s="793"/>
      <c r="I48" s="1885" t="s">
        <v>1524</v>
      </c>
      <c r="J48" s="1886" t="s">
        <v>3384</v>
      </c>
      <c r="K48" s="1887" t="s">
        <v>1525</v>
      </c>
      <c r="L48" s="1888">
        <f ca="1">INDIRECT("'数据-取费表'!f"&amp;$G$1)</f>
        <v>29.73</v>
      </c>
      <c r="O48" s="1882" t="s">
        <v>1037</v>
      </c>
      <c r="P48" s="1883" t="s">
        <v>1526</v>
      </c>
      <c r="Q48" s="1884">
        <f ca="1">J60</f>
        <v>1338</v>
      </c>
      <c r="R48" s="1884" t="s">
        <v>1527</v>
      </c>
    </row>
    <row r="49" spans="1:18" s="1840" customFormat="1" ht="13.8" thickBot="1">
      <c r="A49" s="1194" t="s">
        <v>1132</v>
      </c>
      <c r="B49" s="1827" t="s">
        <v>1484</v>
      </c>
      <c r="C49" s="1364">
        <f ca="1">ROUND(F49*F51*F50*(1-F52)/10000,0)</f>
        <v>0</v>
      </c>
      <c r="D49" s="1276" t="s">
        <v>3031</v>
      </c>
      <c r="E49" s="1828" t="s">
        <v>1485</v>
      </c>
      <c r="F49" s="1281"/>
      <c r="G49" s="1889"/>
      <c r="H49" s="793"/>
      <c r="I49" s="1885" t="s">
        <v>1528</v>
      </c>
      <c r="J49" s="1890">
        <v>2015</v>
      </c>
      <c r="K49" s="1887" t="s">
        <v>1529</v>
      </c>
      <c r="L49" s="1891"/>
      <c r="O49" s="1892" t="s">
        <v>1038</v>
      </c>
      <c r="P49" s="1883" t="s">
        <v>1530</v>
      </c>
      <c r="Q49" s="1884">
        <f ca="1">C29</f>
        <v>41208</v>
      </c>
      <c r="R49" s="1884" t="s">
        <v>1523</v>
      </c>
    </row>
    <row r="50" spans="1:18" s="1840" customFormat="1" ht="13.8" thickBot="1">
      <c r="A50" s="1195"/>
      <c r="B50" s="1198"/>
      <c r="C50" s="1368"/>
      <c r="D50" s="1172"/>
      <c r="E50" s="1277" t="s">
        <v>1400</v>
      </c>
      <c r="F50" s="1278">
        <f ca="1">F7</f>
        <v>33499</v>
      </c>
      <c r="H50" s="793"/>
      <c r="I50" s="1885" t="s">
        <v>1531</v>
      </c>
      <c r="J50" s="1893">
        <f>SUMPRODUCT((I63:I65=J47)*(J62:L62=J48)*(J63:L65))</f>
        <v>60</v>
      </c>
      <c r="K50" s="1887" t="s">
        <v>1532</v>
      </c>
      <c r="L50" s="1891"/>
      <c r="M50" s="1894"/>
      <c r="O50" s="1892" t="s">
        <v>1039</v>
      </c>
      <c r="P50" s="1883" t="s">
        <v>1533</v>
      </c>
      <c r="Q50" s="1895">
        <f ca="1">J58</f>
        <v>0.42099999999999999</v>
      </c>
      <c r="R50" s="1884"/>
    </row>
    <row r="51" spans="1:18" s="1840" customFormat="1" ht="13.8" thickBot="1">
      <c r="A51" s="1196"/>
      <c r="B51" s="1198"/>
      <c r="C51" s="1199"/>
      <c r="D51" s="1172"/>
      <c r="E51" s="1200" t="s">
        <v>1401</v>
      </c>
      <c r="F51" s="348">
        <f ca="1">F8</f>
        <v>365</v>
      </c>
      <c r="I51" s="1896" t="s">
        <v>1534</v>
      </c>
      <c r="J51" s="1897">
        <f>IF(J49="",J50,J49+J50-YEAR('数据-取费表'!B2))</f>
        <v>55</v>
      </c>
      <c r="K51" s="1898" t="s">
        <v>1535</v>
      </c>
      <c r="L51" s="1899">
        <f ca="1">ROUND(-PV(INDIRECT("'数据-取费表'!h"&amp;$G$1),L48,(C39-C13*C76),0),0)</f>
        <v>-12878</v>
      </c>
      <c r="M51" s="1900"/>
      <c r="O51" s="1892" t="s">
        <v>1040</v>
      </c>
      <c r="P51" s="1883" t="s">
        <v>1536</v>
      </c>
      <c r="Q51" s="1895">
        <f>J52</f>
        <v>0.09</v>
      </c>
      <c r="R51" s="1884"/>
    </row>
    <row r="52" spans="1:18" s="1840" customFormat="1" ht="13.8" thickBot="1">
      <c r="A52" s="1196"/>
      <c r="B52" s="1198"/>
      <c r="C52" s="1199"/>
      <c r="D52" s="1172"/>
      <c r="E52" s="1200" t="s">
        <v>1402</v>
      </c>
      <c r="F52" s="1275"/>
      <c r="I52" s="1901" t="s">
        <v>1537</v>
      </c>
      <c r="J52" s="1902">
        <v>0.09</v>
      </c>
      <c r="K52" s="1901" t="s">
        <v>1538</v>
      </c>
      <c r="L52" s="1902"/>
      <c r="O52" s="1892" t="s">
        <v>1041</v>
      </c>
      <c r="P52" s="1883" t="s">
        <v>1539</v>
      </c>
      <c r="Q52" s="1884">
        <f ca="1">J53</f>
        <v>29.73</v>
      </c>
      <c r="R52" s="1884" t="s">
        <v>1540</v>
      </c>
    </row>
    <row r="53" spans="1:18" s="1840" customFormat="1" ht="36.6" thickBot="1">
      <c r="A53" s="1404" t="s">
        <v>1133</v>
      </c>
      <c r="B53" s="1829" t="s">
        <v>1403</v>
      </c>
      <c r="C53" s="361">
        <f ca="1">ROUND(IF(F53="押一",C49/12*F11,IF(F53="押二",C49/12*2*F11,IF(F53="押三",C49/12*3*F11,C54*F11))),0)</f>
        <v>0</v>
      </c>
      <c r="D53" s="1822" t="s">
        <v>3038</v>
      </c>
      <c r="E53" s="358" t="s">
        <v>1404</v>
      </c>
      <c r="F53" s="1366"/>
      <c r="I53" s="1903" t="s">
        <v>1541</v>
      </c>
      <c r="J53" s="2948">
        <f ca="1">IF(M47="住宅",IF(D1="——",MAX(J51,L48),MAX(J51,L48-'数据-取费表'!B24)),IF(D1="——",MIN(J51,L48),MIN(J51,L48-'数据-取费表'!B24)))</f>
        <v>29.73</v>
      </c>
      <c r="K53" s="3140" t="s">
        <v>1542</v>
      </c>
      <c r="L53" s="3141"/>
      <c r="O53" s="1882" t="s">
        <v>1042</v>
      </c>
      <c r="P53" s="1883" t="s">
        <v>1543</v>
      </c>
      <c r="Q53" s="1884">
        <f ca="1">Q47+Q48</f>
        <v>36449</v>
      </c>
      <c r="R53" s="1884" t="s">
        <v>1043</v>
      </c>
    </row>
    <row r="54" spans="1:18" s="1840" customFormat="1" ht="24.6" thickBot="1">
      <c r="A54" s="1405"/>
      <c r="B54" s="1823" t="s">
        <v>1382</v>
      </c>
      <c r="C54" s="1178"/>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3" t="s">
        <v>1071</v>
      </c>
      <c r="B55" s="1825" t="s">
        <v>1407</v>
      </c>
      <c r="C55" s="1334"/>
      <c r="D55" s="1822"/>
      <c r="E55" s="1830"/>
      <c r="F55" s="1904"/>
      <c r="I55" s="1907" t="s">
        <v>1545</v>
      </c>
      <c r="J55" s="1908">
        <f ca="1">ROUND(IF(J47="钢混",J57/J50,1-(1-2%)*(J50-J57)/J50),3)</f>
        <v>0.42099999999999999</v>
      </c>
      <c r="K55" s="1909" t="s">
        <v>1546</v>
      </c>
      <c r="L55" s="1910" t="s">
        <v>1547</v>
      </c>
      <c r="O55" s="1875" t="s">
        <v>1516</v>
      </c>
      <c r="P55" s="1876" t="s">
        <v>1517</v>
      </c>
      <c r="Q55" s="1877" t="s">
        <v>1518</v>
      </c>
      <c r="R55" s="1877" t="s">
        <v>1519</v>
      </c>
    </row>
    <row r="56" spans="1:18" s="1840" customFormat="1" ht="37.200000000000003" thickTop="1" thickBot="1">
      <c r="A56" s="1176">
        <v>2</v>
      </c>
      <c r="B56" s="1177" t="s">
        <v>1408</v>
      </c>
      <c r="C56" s="276">
        <f ca="1">C13</f>
        <v>41208</v>
      </c>
      <c r="D56" s="1911"/>
      <c r="E56" s="1912"/>
      <c r="F56" s="1904"/>
      <c r="I56" s="1913" t="s">
        <v>1548</v>
      </c>
      <c r="J56" s="1914" t="s">
        <v>3345</v>
      </c>
      <c r="K56" s="1885" t="s">
        <v>1549</v>
      </c>
      <c r="L56" s="1888" t="str">
        <f ca="1">IF(L48&lt;J51,"——",L48-J53)</f>
        <v>——</v>
      </c>
      <c r="O56" s="1882" t="s">
        <v>1036</v>
      </c>
      <c r="P56" s="1883" t="s">
        <v>1522</v>
      </c>
      <c r="Q56" s="1884">
        <f ca="1">C40+J29</f>
        <v>35111</v>
      </c>
      <c r="R56" s="1884" t="s">
        <v>1523</v>
      </c>
    </row>
    <row r="57" spans="1:18" s="1840" customFormat="1" ht="24.6" thickBot="1">
      <c r="A57" s="1915"/>
      <c r="B57" s="1169" t="s">
        <v>1472</v>
      </c>
      <c r="C57" s="282">
        <f ca="1">C29</f>
        <v>41208</v>
      </c>
      <c r="D57" s="1916"/>
      <c r="E57" s="1917"/>
      <c r="F57" s="1918"/>
      <c r="I57" s="1919" t="s">
        <v>1550</v>
      </c>
      <c r="J57" s="1920">
        <f ca="1">IF(OR(M47="住宅",J51&lt;L48,J56="是"),"——",J51-L48)</f>
        <v>25.27</v>
      </c>
      <c r="K57" s="1885" t="s">
        <v>1551</v>
      </c>
      <c r="L57" s="1888" t="str">
        <f ca="1">IF(L48&lt;J51,"——",IF(L55="比较法",L49,IF(L55="基准地价",L50,L51)))</f>
        <v>——</v>
      </c>
      <c r="O57" s="1882" t="s">
        <v>1037</v>
      </c>
      <c r="P57" s="1883" t="s">
        <v>1552</v>
      </c>
      <c r="Q57" s="1884">
        <f ca="1">L60</f>
        <v>0</v>
      </c>
      <c r="R57" s="1884" t="s">
        <v>1553</v>
      </c>
    </row>
    <row r="58" spans="1:18" s="1840" customFormat="1" ht="24.6" thickBot="1">
      <c r="A58" s="360" t="s">
        <v>1026</v>
      </c>
      <c r="B58" s="1177" t="s">
        <v>1418</v>
      </c>
      <c r="C58" s="361">
        <f ca="1">ROUND(C59+C64+C65+C66,0)</f>
        <v>1047</v>
      </c>
      <c r="D58" s="1179" t="s">
        <v>1419</v>
      </c>
      <c r="E58" s="1180"/>
      <c r="F58" s="1181"/>
      <c r="I58" s="1919" t="s">
        <v>1554</v>
      </c>
      <c r="J58" s="1921">
        <f ca="1">IF(J55&lt;0.4,0.4,J55)</f>
        <v>0.42099999999999999</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201" t="s">
        <v>1031</v>
      </c>
      <c r="B59" s="1169" t="s">
        <v>1423</v>
      </c>
      <c r="C59" s="24">
        <f ca="1">ROUND(IF(项目基本情况!B11="自然人",C48*F59,C60+C61+C62),1)</f>
        <v>346.2</v>
      </c>
      <c r="D59" s="1182" t="s">
        <v>1424</v>
      </c>
      <c r="E59" s="1183" t="s">
        <v>1425</v>
      </c>
      <c r="F59" s="368" t="str">
        <f ca="1">IF(项目基本情况!B11="企业","",IF(INDIRECT("'数据-取费表'!c"&amp;$G$1)="住宅",5%,IF(F49*F50*F51/12/(1+'数据-取费表'!C42)&gt;20000,12%,7%)))</f>
        <v/>
      </c>
      <c r="I59" s="1919" t="s">
        <v>1557</v>
      </c>
      <c r="J59" s="1920">
        <f ca="1">IF(OR(M47="住宅",J51&lt;L48,J56="是"),"——",ROUND(C29*J58,0))</f>
        <v>17349</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2" t="s">
        <v>1559</v>
      </c>
      <c r="J60" s="1923">
        <f ca="1">IF(OR(M47="住宅",J51&lt;L48,J56="是"),"0",ROUND(J59/(1+J52)^J53,0))</f>
        <v>1338</v>
      </c>
      <c r="K60" s="1924" t="s">
        <v>1560</v>
      </c>
      <c r="L60" s="1923">
        <f ca="1">IF(OR(M47="住宅",L48&lt;J51),0,ROUND(L57*(L58/L59-1),0))</f>
        <v>0</v>
      </c>
      <c r="O60" s="1892" t="s">
        <v>1040</v>
      </c>
      <c r="P60" s="1883" t="s">
        <v>1561</v>
      </c>
      <c r="Q60" s="1884" t="e">
        <f ca="1">L58</f>
        <v>#DIV/0!</v>
      </c>
      <c r="R60" s="1884" t="s">
        <v>1562</v>
      </c>
    </row>
    <row r="61" spans="1:18" s="1840" customFormat="1" ht="13.8" thickBot="1">
      <c r="A61" s="1201" t="s">
        <v>1486</v>
      </c>
      <c r="B61" s="1169" t="s">
        <v>1487</v>
      </c>
      <c r="C61" s="24">
        <f ca="1">IF(项目基本情况!B11="自然人","——",IF(D61="按租金收入计税",ROUND(C48*F61,2),IF(D61="按房产原值计税",ROUND(C57*F61*0.7,2),INDIRECT("'数据-取费表'!Aj"&amp;$G$1))))</f>
        <v>346.15</v>
      </c>
      <c r="D61" s="1826" t="s">
        <v>1432</v>
      </c>
      <c r="E61" s="1169" t="s">
        <v>1488</v>
      </c>
      <c r="F61" s="367">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201" t="s">
        <v>1489</v>
      </c>
      <c r="B62" s="1168" t="s">
        <v>1490</v>
      </c>
      <c r="C62" s="25">
        <f ca="1">IF(项目基本情况!B11="自然人","——",ROUND(F62*F63/10000,2))</f>
        <v>0</v>
      </c>
      <c r="D62" s="1184" t="s">
        <v>1491</v>
      </c>
      <c r="E62" s="1169" t="s">
        <v>1492</v>
      </c>
      <c r="F62" s="371">
        <f t="shared" si="0"/>
        <v>1.5</v>
      </c>
      <c r="I62" s="1926" t="s">
        <v>1564</v>
      </c>
      <c r="J62" s="1927" t="s">
        <v>1565</v>
      </c>
      <c r="K62" s="1927" t="s">
        <v>1566</v>
      </c>
      <c r="L62" s="1927" t="s">
        <v>1567</v>
      </c>
      <c r="M62" s="1928" t="s">
        <v>1568</v>
      </c>
      <c r="O62" s="1882" t="s">
        <v>1042</v>
      </c>
      <c r="P62" s="1883" t="s">
        <v>1569</v>
      </c>
      <c r="Q62" s="1884">
        <f ca="1">Q56+Q57</f>
        <v>35111</v>
      </c>
      <c r="R62" s="1884" t="s">
        <v>1043</v>
      </c>
    </row>
    <row r="63" spans="1:18" s="1840" customFormat="1" ht="13.8" thickBot="1">
      <c r="A63" s="372"/>
      <c r="B63" s="1175"/>
      <c r="C63" s="29"/>
      <c r="D63" s="1185"/>
      <c r="E63" s="1169" t="s">
        <v>1493</v>
      </c>
      <c r="F63" s="348">
        <f t="shared" ca="1" si="0"/>
        <v>0</v>
      </c>
      <c r="I63" s="1926" t="s">
        <v>1570</v>
      </c>
      <c r="J63" s="1927">
        <v>70</v>
      </c>
      <c r="K63" s="1927">
        <v>50</v>
      </c>
      <c r="L63" s="1927">
        <v>80</v>
      </c>
      <c r="M63" s="1929">
        <v>0.02</v>
      </c>
      <c r="O63" s="1867" t="s">
        <v>1571</v>
      </c>
      <c r="P63" s="1837"/>
      <c r="Q63" s="1837"/>
      <c r="R63" s="1837"/>
    </row>
    <row r="64" spans="1:18" s="1840" customFormat="1" ht="13.8" thickBot="1">
      <c r="A64" s="1201" t="s">
        <v>1494</v>
      </c>
      <c r="B64" s="1169" t="s">
        <v>1495</v>
      </c>
      <c r="C64" s="24">
        <f ca="1">ROUND(C57*F64,1)</f>
        <v>618.1</v>
      </c>
      <c r="D64" s="1183" t="s">
        <v>1496</v>
      </c>
      <c r="E64" s="1169"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201" t="s">
        <v>1497</v>
      </c>
      <c r="B65" s="1169" t="s">
        <v>1447</v>
      </c>
      <c r="C65" s="24">
        <f ca="1">ROUND(C56*F65,1)</f>
        <v>82.4</v>
      </c>
      <c r="D65" s="1183" t="s">
        <v>1448</v>
      </c>
      <c r="E65" s="1169" t="s">
        <v>1449</v>
      </c>
      <c r="F65" s="376">
        <f t="shared" ca="1" si="0"/>
        <v>2E-3</v>
      </c>
      <c r="I65" s="1926" t="s">
        <v>1573</v>
      </c>
      <c r="J65" s="1927">
        <v>40</v>
      </c>
      <c r="K65" s="1927">
        <v>30</v>
      </c>
      <c r="L65" s="1927">
        <v>50</v>
      </c>
      <c r="M65" s="1929">
        <v>0.02</v>
      </c>
      <c r="O65" s="1882" t="s">
        <v>1036</v>
      </c>
      <c r="P65" s="1883" t="s">
        <v>1574</v>
      </c>
      <c r="Q65" s="1884">
        <f ca="1">C40+J29</f>
        <v>35111</v>
      </c>
      <c r="R65" s="1884" t="s">
        <v>1523</v>
      </c>
    </row>
    <row r="66" spans="1:18" s="1840" customFormat="1" ht="16.2" thickBot="1">
      <c r="A66" s="1201" t="s">
        <v>1498</v>
      </c>
      <c r="B66" s="1169" t="s">
        <v>1433</v>
      </c>
      <c r="C66" s="24">
        <f ca="1">ROUND(C48*F66,1)</f>
        <v>0</v>
      </c>
      <c r="D66" s="1183" t="s">
        <v>1499</v>
      </c>
      <c r="E66" s="1169" t="s">
        <v>1416</v>
      </c>
      <c r="F66" s="357">
        <f t="shared" ca="1" si="0"/>
        <v>0.02</v>
      </c>
      <c r="O66" s="1882" t="s">
        <v>1037</v>
      </c>
      <c r="P66" s="1883" t="s">
        <v>1552</v>
      </c>
      <c r="Q66" s="1884">
        <f ca="1">L60</f>
        <v>0</v>
      </c>
      <c r="R66" s="1884" t="s">
        <v>1575</v>
      </c>
    </row>
    <row r="67" spans="1:18" s="1840" customFormat="1" ht="24.6" thickBot="1">
      <c r="A67" s="1176" t="s">
        <v>1027</v>
      </c>
      <c r="B67" s="1186" t="s">
        <v>1457</v>
      </c>
      <c r="C67" s="361">
        <f ca="1">C48-C58</f>
        <v>-1047</v>
      </c>
      <c r="D67" s="1182" t="s">
        <v>1458</v>
      </c>
      <c r="E67" s="1187"/>
      <c r="F67" s="1188"/>
      <c r="O67" s="1892" t="s">
        <v>1038</v>
      </c>
      <c r="P67" s="1883" t="s">
        <v>1556</v>
      </c>
      <c r="Q67" s="1930">
        <f ca="1">L51</f>
        <v>-12878</v>
      </c>
      <c r="R67" s="1884" t="s">
        <v>1576</v>
      </c>
    </row>
    <row r="68" spans="1:18" s="1840" customFormat="1" ht="16.2" thickBot="1">
      <c r="A68" s="1166" t="s">
        <v>1028</v>
      </c>
      <c r="B68" s="1167" t="s">
        <v>1479</v>
      </c>
      <c r="C68" s="346">
        <f ca="1">ROUND(C67*(1-((1+F70)/(1+F68))^F69)/(F68-F70),0)</f>
        <v>-13631</v>
      </c>
      <c r="D68" s="1184" t="s">
        <v>1463</v>
      </c>
      <c r="E68" s="1169" t="s">
        <v>1464</v>
      </c>
      <c r="F68" s="357">
        <f ca="1">F40</f>
        <v>6.5000000000000002E-2</v>
      </c>
      <c r="O68" s="1892" t="s">
        <v>1039</v>
      </c>
      <c r="P68" s="1931" t="s">
        <v>1577</v>
      </c>
      <c r="Q68" s="1884">
        <f ca="1">ROUND(Q69-Q70*Q71,0)</f>
        <v>-939</v>
      </c>
      <c r="R68" s="1884" t="s">
        <v>1047</v>
      </c>
    </row>
    <row r="69" spans="1:18" s="1840" customFormat="1" ht="13.8" thickBot="1">
      <c r="A69" s="1170"/>
      <c r="B69" s="1171"/>
      <c r="C69" s="351"/>
      <c r="D69" s="1189" t="s">
        <v>1467</v>
      </c>
      <c r="E69" s="1169" t="s">
        <v>1468</v>
      </c>
      <c r="F69" s="379">
        <f ca="1">F41</f>
        <v>29.73</v>
      </c>
      <c r="O69" s="1892" t="s">
        <v>1044</v>
      </c>
      <c r="P69" s="1931" t="s">
        <v>1578</v>
      </c>
      <c r="Q69" s="1884">
        <f ca="1">C39</f>
        <v>2564</v>
      </c>
      <c r="R69" s="1884" t="s">
        <v>1523</v>
      </c>
    </row>
    <row r="70" spans="1:18" s="1840" customFormat="1" ht="13.8" thickBot="1">
      <c r="A70" s="1173"/>
      <c r="B70" s="1174"/>
      <c r="C70" s="355"/>
      <c r="D70" s="1185"/>
      <c r="E70" s="1169" t="s">
        <v>1471</v>
      </c>
      <c r="F70" s="1275"/>
      <c r="O70" s="1892" t="s">
        <v>1045</v>
      </c>
      <c r="P70" s="1931" t="s">
        <v>1579</v>
      </c>
      <c r="Q70" s="1884">
        <f ca="1">C13</f>
        <v>41208</v>
      </c>
      <c r="R70" s="1884" t="s">
        <v>1523</v>
      </c>
    </row>
    <row r="71" spans="1:18" s="1840" customFormat="1" ht="13.8" thickBot="1">
      <c r="A71" s="1190" t="s">
        <v>1029</v>
      </c>
      <c r="B71" s="1191" t="s">
        <v>1481</v>
      </c>
      <c r="C71" s="382">
        <f ca="1">ROUND(C68*10000/F71,0)</f>
        <v>-4069</v>
      </c>
      <c r="D71" s="1192" t="s">
        <v>1482</v>
      </c>
      <c r="E71" s="1193" t="s">
        <v>1483</v>
      </c>
      <c r="F71" s="385">
        <f ca="1">F43</f>
        <v>33499</v>
      </c>
      <c r="O71" s="1892" t="s">
        <v>1046</v>
      </c>
      <c r="P71" s="1931" t="s">
        <v>1580</v>
      </c>
      <c r="Q71" s="1895">
        <f ca="1">C76</f>
        <v>8.5000000000000006E-2</v>
      </c>
      <c r="R71" s="1884"/>
    </row>
    <row r="72" spans="1:18" s="1840" customFormat="1" ht="13.8" thickBot="1">
      <c r="B72" s="796"/>
      <c r="C72" s="796"/>
      <c r="O72" s="1892" t="s">
        <v>1040</v>
      </c>
      <c r="P72" s="1883" t="s">
        <v>1558</v>
      </c>
      <c r="Q72" s="1895">
        <f>L52</f>
        <v>0</v>
      </c>
      <c r="R72" s="1884"/>
    </row>
    <row r="73" spans="1:18" ht="16.2" thickBot="1">
      <c r="A73" s="1840"/>
      <c r="B73" s="796"/>
      <c r="C73" s="796"/>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3503</v>
      </c>
      <c r="D75" s="1840"/>
      <c r="E75" s="1840"/>
      <c r="F75" s="1840"/>
      <c r="K75" s="1866"/>
      <c r="L75" s="1840"/>
      <c r="O75" s="1882" t="s">
        <v>1042</v>
      </c>
      <c r="P75" s="1883" t="s">
        <v>1543</v>
      </c>
      <c r="Q75" s="1884">
        <f ca="1">Q65+Q66</f>
        <v>35111</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-0.3660000000000001</v>
      </c>
    </row>
    <row r="80" spans="1:18">
      <c r="B80" s="386" t="s">
        <v>1505</v>
      </c>
      <c r="C80" s="318">
        <f ca="1">ROUND(C75/C39,3)</f>
        <v>1.3660000000000001</v>
      </c>
    </row>
    <row r="81" spans="2:3">
      <c r="B81" s="314" t="s">
        <v>1506</v>
      </c>
      <c r="C81" s="282"/>
    </row>
    <row r="82" spans="2:3">
      <c r="B82" s="317" t="s">
        <v>1507</v>
      </c>
      <c r="C82" s="319">
        <f ca="1">1-C83</f>
        <v>-0.17399999999999993</v>
      </c>
    </row>
    <row r="83" spans="2:3">
      <c r="B83" s="317" t="s">
        <v>1508</v>
      </c>
      <c r="C83" s="318">
        <f ca="1">ROUND(C13/C40,3)</f>
        <v>1.1739999999999999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2"/>
      <c r="C1" s="1835"/>
      <c r="D1" s="1818"/>
      <c r="E1" s="1819" t="s">
        <v>1381</v>
      </c>
      <c r="F1" s="1283">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5"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2">
        <f ca="1">C6+C10+C12</f>
        <v>0</v>
      </c>
      <c r="D5" s="1820" t="s">
        <v>1595</v>
      </c>
      <c r="E5" s="1293"/>
      <c r="F5" s="1294"/>
      <c r="G5" s="1849"/>
      <c r="H5" s="344">
        <v>1</v>
      </c>
      <c r="I5" s="345" t="s">
        <v>1594</v>
      </c>
      <c r="J5" s="1292">
        <f ca="1">J6+J10+J12</f>
        <v>0</v>
      </c>
      <c r="K5" s="1820" t="s">
        <v>1595</v>
      </c>
      <c r="L5" s="1293"/>
      <c r="M5" s="1294"/>
    </row>
    <row r="6" spans="1:37" ht="18" customHeight="1">
      <c r="A6" s="1291" t="s">
        <v>1031</v>
      </c>
      <c r="B6" s="3142" t="s">
        <v>1397</v>
      </c>
      <c r="C6" s="1296">
        <f ca="1">ROUND(F6*F8*F7*(1-F9),0)</f>
        <v>0</v>
      </c>
      <c r="D6" s="164" t="s">
        <v>3027</v>
      </c>
      <c r="E6" s="347" t="s">
        <v>1399</v>
      </c>
      <c r="F6" s="348">
        <f ca="1">INDIRECT("'数据-取费表'!u"&amp;$G$1)</f>
        <v>0</v>
      </c>
      <c r="G6" s="1849"/>
      <c r="H6" s="1291" t="s">
        <v>1031</v>
      </c>
      <c r="I6" s="3142" t="s">
        <v>1397</v>
      </c>
      <c r="J6" s="346">
        <f ca="1">ROUND(M6*M8*M7*(1-M9),0)</f>
        <v>0</v>
      </c>
      <c r="K6" s="1832" t="s">
        <v>3028</v>
      </c>
      <c r="L6" s="347" t="s">
        <v>1399</v>
      </c>
      <c r="M6" s="348">
        <f ca="1">INDIRECT("'数据-取费表'!z"&amp;$G$1)</f>
        <v>0</v>
      </c>
    </row>
    <row r="7" spans="1:37" ht="18" customHeight="1">
      <c r="A7" s="1295"/>
      <c r="B7" s="3143"/>
      <c r="C7" s="1297"/>
      <c r="D7" s="352"/>
      <c r="E7" s="1298" t="s">
        <v>1400</v>
      </c>
      <c r="F7" s="348">
        <f ca="1">IF(INDIRECT("'数据-取费表'!ah"&amp;$G$1)="",INDIRECT("'数据-取费表'!k"&amp;$G$1),INDIRECT("'数据-取费表'!ah"&amp;$G$1))</f>
        <v>0</v>
      </c>
      <c r="G7" s="1849"/>
      <c r="H7" s="349"/>
      <c r="I7" s="3143"/>
      <c r="J7" s="351"/>
      <c r="K7" s="352"/>
      <c r="L7" s="347" t="s">
        <v>1400</v>
      </c>
      <c r="M7" s="348">
        <f ca="1">F7</f>
        <v>0</v>
      </c>
    </row>
    <row r="8" spans="1:37" ht="18" customHeight="1">
      <c r="A8" s="349"/>
      <c r="B8" s="3143"/>
      <c r="C8" s="351"/>
      <c r="D8" s="352"/>
      <c r="E8" s="347" t="s">
        <v>1401</v>
      </c>
      <c r="F8" s="348">
        <f ca="1">INDIRECT("'数据-取费表'!ai"&amp;$G$1)</f>
        <v>0</v>
      </c>
      <c r="G8" s="1849"/>
      <c r="H8" s="349"/>
      <c r="I8" s="3143"/>
      <c r="J8" s="351"/>
      <c r="K8" s="352"/>
      <c r="L8" s="347" t="s">
        <v>1401</v>
      </c>
      <c r="M8" s="348">
        <f ca="1">INDIRECT("'数据-取费表'!ai"&amp;$G$1)</f>
        <v>0</v>
      </c>
    </row>
    <row r="9" spans="1:37" ht="18" customHeight="1">
      <c r="A9" s="349"/>
      <c r="B9" s="3144"/>
      <c r="C9" s="351"/>
      <c r="D9" s="352"/>
      <c r="E9" s="347" t="s">
        <v>1402</v>
      </c>
      <c r="F9" s="357">
        <f ca="1">INDIRECT("'数据-取费表'!w"&amp;$G$1)</f>
        <v>0</v>
      </c>
      <c r="G9" s="1849"/>
      <c r="H9" s="349"/>
      <c r="I9" s="3144"/>
      <c r="J9" s="351"/>
      <c r="K9" s="352"/>
      <c r="L9" s="358" t="s">
        <v>1402</v>
      </c>
      <c r="M9" s="359">
        <f ca="1">INDIRECT("'数据-取费表'!ab"&amp;$G$1)</f>
        <v>0</v>
      </c>
    </row>
    <row r="10" spans="1:37" ht="18" customHeight="1">
      <c r="A10" s="1291" t="s">
        <v>1035</v>
      </c>
      <c r="B10" s="1821" t="s">
        <v>1403</v>
      </c>
      <c r="C10" s="361">
        <f ca="1">ROUND(IF(F10="押一",C6/12*F11,IF(F10="押二",C6/12*2*F11,IF(F10="押三",C6/12*3*F11,C11*F11))),0)</f>
        <v>0</v>
      </c>
      <c r="D10" s="1822" t="s">
        <v>3038</v>
      </c>
      <c r="E10" s="358" t="s">
        <v>1404</v>
      </c>
      <c r="F10" s="1366"/>
      <c r="G10" s="1849"/>
      <c r="H10" s="1291" t="s">
        <v>1035</v>
      </c>
      <c r="I10" s="1821" t="s">
        <v>1403</v>
      </c>
      <c r="J10" s="346">
        <f ca="1">ROUND(IF(M10="押一",J6/12*M11,IF(M10="押二",J6/12*2*M11,IF(M10="押三",J6/12*3*M11,J11*M11))),0)</f>
        <v>0</v>
      </c>
      <c r="K10" s="1833" t="s">
        <v>3040</v>
      </c>
      <c r="L10" s="358" t="s">
        <v>1404</v>
      </c>
      <c r="M10" s="1366"/>
    </row>
    <row r="11" spans="1:37" ht="18" customHeight="1">
      <c r="A11" s="353"/>
      <c r="B11" s="1823" t="s">
        <v>1596</v>
      </c>
      <c r="C11" s="1178"/>
      <c r="D11" s="352"/>
      <c r="E11" s="358" t="s">
        <v>1406</v>
      </c>
      <c r="F11" s="359">
        <f ca="1">'数据-取费表'!B39</f>
        <v>1.4999999999999999E-2</v>
      </c>
      <c r="G11" s="1849"/>
      <c r="H11" s="1299"/>
      <c r="I11" s="1823" t="s">
        <v>1597</v>
      </c>
      <c r="J11" s="1178"/>
      <c r="K11" s="748"/>
      <c r="L11" s="358" t="s">
        <v>1406</v>
      </c>
      <c r="M11" s="1056">
        <f ca="1">'数据-取费表'!B39</f>
        <v>1.4999999999999999E-2</v>
      </c>
    </row>
    <row r="12" spans="1:37" ht="18" customHeight="1" thickBot="1">
      <c r="A12" s="1333" t="s">
        <v>1071</v>
      </c>
      <c r="B12" s="1825" t="s">
        <v>1407</v>
      </c>
      <c r="C12" s="1334"/>
      <c r="D12" s="1335"/>
      <c r="E12" s="1340"/>
      <c r="F12" s="1336"/>
      <c r="G12" s="1849"/>
      <c r="H12" s="1333" t="s">
        <v>1071</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0">
        <f ca="1">ROUND(J14*J15,0)</f>
        <v>0</v>
      </c>
      <c r="K13" s="1337" t="s">
        <v>1409</v>
      </c>
      <c r="L13" s="1850"/>
      <c r="M13" s="1851"/>
    </row>
    <row r="14" spans="1:37" ht="18" customHeight="1">
      <c r="A14" s="1201" t="s">
        <v>1030</v>
      </c>
      <c r="B14" s="347" t="s">
        <v>1411</v>
      </c>
      <c r="C14" s="363">
        <f ca="1">ROUND(INDIRECT("'数据-取费表'!l"&amp;$G$1)*F43+'数据-取费表'!L14*INDIRECT("'数据-取费表'!S"&amp;$G$1),0)</f>
        <v>0</v>
      </c>
      <c r="D14" s="1798" t="s">
        <v>1412</v>
      </c>
      <c r="E14" s="1792"/>
      <c r="F14" s="364"/>
      <c r="G14" s="1849"/>
      <c r="H14" s="1201" t="s">
        <v>1031</v>
      </c>
      <c r="I14" s="347" t="s">
        <v>1413</v>
      </c>
      <c r="J14" s="24">
        <f ca="1">C29</f>
        <v>0</v>
      </c>
      <c r="K14" s="15"/>
      <c r="L14" s="979"/>
      <c r="M14" s="980"/>
    </row>
    <row r="15" spans="1:37" s="1856" customFormat="1" ht="18" customHeight="1" thickBot="1">
      <c r="A15" s="1201" t="s">
        <v>1032</v>
      </c>
      <c r="B15" s="347" t="s">
        <v>1414</v>
      </c>
      <c r="C15" s="24">
        <f ca="1">ROUND(C14*F15,0)</f>
        <v>0</v>
      </c>
      <c r="D15" s="365" t="s">
        <v>1415</v>
      </c>
      <c r="E15" s="365" t="s">
        <v>1416</v>
      </c>
      <c r="F15" s="366">
        <f>'数据-取费表'!B33</f>
        <v>0.03</v>
      </c>
      <c r="G15" s="1852"/>
      <c r="H15" s="1339" t="s">
        <v>1035</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9"/>
      <c r="H16" s="1329" t="s">
        <v>1026</v>
      </c>
      <c r="I16" s="1330" t="s">
        <v>1418</v>
      </c>
      <c r="J16" s="355">
        <f ca="1">ROUND(J17+J22+J23+J24,0)</f>
        <v>0</v>
      </c>
      <c r="K16" s="1337" t="s">
        <v>1419</v>
      </c>
      <c r="L16" s="1338"/>
      <c r="M16" s="1294"/>
    </row>
    <row r="17" spans="1:37" s="1856" customFormat="1" ht="18" customHeight="1">
      <c r="A17" s="1201" t="s">
        <v>1384</v>
      </c>
      <c r="B17" s="347" t="s">
        <v>1420</v>
      </c>
      <c r="C17" s="24">
        <f ca="1">ROUND(F17*(F43+INDIRECT("'数据-取费表'!S"&amp;$G$1)),0)</f>
        <v>0</v>
      </c>
      <c r="D17" s="347" t="s">
        <v>1421</v>
      </c>
      <c r="E17" s="347" t="s">
        <v>1422</v>
      </c>
      <c r="F17" s="26">
        <f>'数据-取费表'!B35</f>
        <v>200</v>
      </c>
      <c r="G17" s="1852"/>
      <c r="H17" s="1201" t="s">
        <v>1031</v>
      </c>
      <c r="I17" s="347" t="s">
        <v>1423</v>
      </c>
      <c r="J17" s="24">
        <f ca="1">ROUND(IF(项目基本情况!B11="自然人",J6*M17/(1+'数据-取费表'!C42),J18+J19+J20),0)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1385</v>
      </c>
      <c r="B18" s="347" t="s">
        <v>1426</v>
      </c>
      <c r="C18" s="24">
        <f ca="1">ROUND(C14*F18,0)</f>
        <v>0</v>
      </c>
      <c r="D18" s="347" t="s">
        <v>1415</v>
      </c>
      <c r="E18" s="347" t="s">
        <v>1416</v>
      </c>
      <c r="F18" s="367">
        <f>'数据-取费表'!B36</f>
        <v>1.4999999999999999E-2</v>
      </c>
      <c r="G18" s="1852"/>
      <c r="H18" s="1201" t="s">
        <v>1030</v>
      </c>
      <c r="I18" s="347" t="s">
        <v>1427</v>
      </c>
      <c r="J18" s="24">
        <f ca="1">ROUND(J6*M18/(1+'数据-取费表'!C42),0)</f>
        <v>0</v>
      </c>
      <c r="K18" s="1796" t="s">
        <v>1428</v>
      </c>
      <c r="L18" s="347" t="s">
        <v>1416</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1031</v>
      </c>
      <c r="B19" s="347" t="s">
        <v>1429</v>
      </c>
      <c r="C19" s="24">
        <f ca="1">SUM(C14:C18)</f>
        <v>0</v>
      </c>
      <c r="D19" s="140" t="s">
        <v>1430</v>
      </c>
      <c r="E19" s="1816"/>
      <c r="F19" s="26"/>
      <c r="G19" s="1849"/>
      <c r="H19" s="1201" t="s">
        <v>1032</v>
      </c>
      <c r="I19" s="347" t="s">
        <v>1431</v>
      </c>
      <c r="J19" s="24">
        <f ca="1">IF(K19="按租金收入计税",ROUND(J6*M19/(1+'数据-取费表'!C42),0),ROUND(C29*M19*0.7,0))</f>
        <v>0</v>
      </c>
      <c r="K19" s="1826" t="s">
        <v>1432</v>
      </c>
      <c r="L19" s="347" t="s">
        <v>1416</v>
      </c>
      <c r="M19" s="367">
        <f>IF(K19="按租金收入计税",'数据-取费表'!B51,'数据-取费表'!B50)</f>
        <v>1.2E-2</v>
      </c>
    </row>
    <row r="20" spans="1:37" s="1856" customFormat="1" ht="18" customHeight="1">
      <c r="A20" s="1201" t="s">
        <v>1035</v>
      </c>
      <c r="B20" s="347" t="s">
        <v>1433</v>
      </c>
      <c r="C20" s="24">
        <f ca="1">ROUND(C19*F20,0)</f>
        <v>0</v>
      </c>
      <c r="D20" s="369" t="s">
        <v>1434</v>
      </c>
      <c r="E20" s="347" t="s">
        <v>1416</v>
      </c>
      <c r="F20" s="367">
        <f>'数据-取费表'!B37</f>
        <v>0.02</v>
      </c>
      <c r="G20" s="1852"/>
      <c r="H20" s="1201" t="s">
        <v>1383</v>
      </c>
      <c r="I20" s="164" t="s">
        <v>1435</v>
      </c>
      <c r="J20" s="25">
        <f ca="1">ROUND(M20*M21,0)</f>
        <v>0</v>
      </c>
      <c r="K20" s="370" t="s">
        <v>1436</v>
      </c>
      <c r="L20" s="347" t="s">
        <v>1437</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1071</v>
      </c>
      <c r="B21" s="347" t="s">
        <v>1438</v>
      </c>
      <c r="C21" s="24" t="s">
        <v>1</v>
      </c>
      <c r="D21" s="369" t="s">
        <v>1439</v>
      </c>
      <c r="E21" s="347" t="s">
        <v>1440</v>
      </c>
      <c r="F21" s="367">
        <f>'数据-取费表'!B38</f>
        <v>0.02</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6"/>
      <c r="F22" s="26"/>
      <c r="G22" s="1849"/>
      <c r="H22" s="1201" t="s">
        <v>1035</v>
      </c>
      <c r="I22" s="347" t="s">
        <v>1443</v>
      </c>
      <c r="J22" s="24">
        <f ca="1">ROUND(J14*M22,0)</f>
        <v>0</v>
      </c>
      <c r="K22" s="1796" t="s">
        <v>1444</v>
      </c>
      <c r="L22" s="347" t="s">
        <v>1416</v>
      </c>
      <c r="M22" s="374">
        <f ca="1">INDIRECT("'数据-取费表'!Ak"&amp;$G$1)</f>
        <v>0</v>
      </c>
    </row>
    <row r="23" spans="1:37" s="1856"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2"/>
      <c r="H23" s="1201" t="s">
        <v>1071</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1454</v>
      </c>
      <c r="B25" s="347" t="s">
        <v>1455</v>
      </c>
      <c r="C25" s="24"/>
      <c r="D25" s="140" t="s">
        <v>1456</v>
      </c>
      <c r="E25" s="1816"/>
      <c r="F25" s="26"/>
      <c r="G25" s="1849"/>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9"/>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1" t="s">
        <v>1033</v>
      </c>
      <c r="B28" s="347" t="s">
        <v>1469</v>
      </c>
      <c r="C28" s="24">
        <f>ROUND(F28/(1+'数据-取费表'!C42),4)</f>
        <v>5.2400000000000002E-2</v>
      </c>
      <c r="D28" s="369" t="s">
        <v>1470</v>
      </c>
      <c r="E28" s="347" t="s">
        <v>1416</v>
      </c>
      <c r="F28" s="367">
        <f>'数据-取费表'!B41</f>
        <v>5.5000000000000007E-2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1034</v>
      </c>
      <c r="B29" s="1340" t="s">
        <v>1472</v>
      </c>
      <c r="C29" s="1341">
        <f ca="1">ROUND((C19+C20+C23+C26)/(1-F21-C24-C27-C28),0)</f>
        <v>0</v>
      </c>
      <c r="D29" s="1342"/>
      <c r="E29" s="1340"/>
      <c r="F29" s="1343"/>
      <c r="G29" s="1852"/>
      <c r="H29" s="380" t="s">
        <v>1029</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1026</v>
      </c>
      <c r="B30" s="1330" t="s">
        <v>1418</v>
      </c>
      <c r="C30" s="355">
        <f ca="1">ROUND(C31+C36+C37+C38,0)</f>
        <v>0</v>
      </c>
      <c r="D30" s="1337" t="s">
        <v>1419</v>
      </c>
      <c r="E30" s="1338"/>
      <c r="F30" s="1294"/>
      <c r="G30" s="1849"/>
      <c r="H30" s="745"/>
      <c r="I30" s="746"/>
      <c r="J30" s="747"/>
      <c r="K30" s="748"/>
      <c r="L30" s="749"/>
      <c r="M30" s="750"/>
    </row>
    <row r="31" spans="1:37" ht="18" customHeight="1">
      <c r="A31" s="1201" t="s">
        <v>1031</v>
      </c>
      <c r="B31" s="347" t="s">
        <v>1423</v>
      </c>
      <c r="C31" s="24">
        <f ca="1">ROUND(IF(项目基本情况!B11="自然人",C6*F31/(1+'数据-取费表'!C42),C32+C33+C34),0)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1030</v>
      </c>
      <c r="B32" s="347" t="s">
        <v>1427</v>
      </c>
      <c r="C32" s="24">
        <f ca="1">IF(项目基本情况!B11="自然人","——",ROUND(C6*F32/(1+'数据-取费表'!C42),0))</f>
        <v>0</v>
      </c>
      <c r="D32" s="1796" t="s">
        <v>1428</v>
      </c>
      <c r="E32" s="347" t="s">
        <v>1416</v>
      </c>
      <c r="F32" s="377">
        <f>'数据-取费表'!B41</f>
        <v>5.5000000000000007E-2</v>
      </c>
      <c r="G32" s="1849"/>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1" t="s">
        <v>1383</v>
      </c>
      <c r="B34" s="164" t="s">
        <v>1435</v>
      </c>
      <c r="C34" s="25">
        <f ca="1">IF(项目基本情况!B11="自然人","——",ROUND(F34*F35,))</f>
        <v>0</v>
      </c>
      <c r="D34" s="370" t="s">
        <v>1436</v>
      </c>
      <c r="E34" s="347" t="s">
        <v>1437</v>
      </c>
      <c r="F34" s="371">
        <f>'数据-取费表'!B52</f>
        <v>1.5</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1035</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1" t="s">
        <v>1071</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1027</v>
      </c>
      <c r="B39" s="1344" t="s">
        <v>1477</v>
      </c>
      <c r="C39" s="355">
        <f ca="1">C5-C30</f>
        <v>0</v>
      </c>
      <c r="D39" s="1345" t="s">
        <v>1478</v>
      </c>
      <c r="E39" s="1346"/>
      <c r="F39" s="1347"/>
      <c r="G39" s="1849"/>
      <c r="H39" s="1857"/>
      <c r="I39" s="1858"/>
      <c r="J39" s="1859"/>
      <c r="K39" s="1863"/>
      <c r="L39" s="1857"/>
      <c r="M39" s="1857"/>
    </row>
    <row r="40" spans="1:18" ht="18" customHeight="1">
      <c r="A40" s="344" t="s">
        <v>1028</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1598</v>
      </c>
      <c r="E45" s="1864"/>
      <c r="F45" s="1864"/>
      <c r="O45" s="1867" t="s">
        <v>1513</v>
      </c>
      <c r="P45" s="1837"/>
      <c r="Q45" s="1837"/>
      <c r="R45" s="1837"/>
    </row>
    <row r="46" spans="1:18" s="1840" customFormat="1" ht="13.8"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8" thickBot="1">
      <c r="A47" s="1165" t="s">
        <v>1390</v>
      </c>
      <c r="B47" s="1197" t="s">
        <v>1391</v>
      </c>
      <c r="C47" s="1197" t="s">
        <v>1392</v>
      </c>
      <c r="D47" s="1197" t="s">
        <v>1393</v>
      </c>
      <c r="E47" s="1279" t="s">
        <v>1394</v>
      </c>
      <c r="F47" s="1280"/>
      <c r="G47" s="792"/>
      <c r="I47" s="1878" t="s">
        <v>1520</v>
      </c>
      <c r="J47" s="1879"/>
      <c r="K47" s="1880" t="s">
        <v>1521</v>
      </c>
      <c r="L47" s="1881">
        <f ca="1">INDIRECT("'数据-取费表'!d"&amp;$G$1)</f>
        <v>0</v>
      </c>
      <c r="M47" s="1836" t="str">
        <f>IF(ISNUMBER(FIND("住宅",C1)),"住宅","非住宅")</f>
        <v>非住宅</v>
      </c>
      <c r="O47" s="1882" t="s">
        <v>1036</v>
      </c>
      <c r="P47" s="1883" t="s">
        <v>1522</v>
      </c>
      <c r="Q47" s="1884" t="e">
        <f ca="1">C40+J29</f>
        <v>#DIV/0!</v>
      </c>
      <c r="R47" s="1884" t="s">
        <v>1523</v>
      </c>
    </row>
    <row r="48" spans="1:18" s="1840" customFormat="1" ht="40.200000000000003" thickBot="1">
      <c r="A48" s="1360" t="s">
        <v>1131</v>
      </c>
      <c r="B48" s="345" t="s">
        <v>1395</v>
      </c>
      <c r="C48" s="1815">
        <f ca="1">C49+C53+C55</f>
        <v>0</v>
      </c>
      <c r="D48" s="1362"/>
      <c r="E48" s="1363"/>
      <c r="F48" s="1181"/>
      <c r="G48" s="792"/>
      <c r="H48" s="793"/>
      <c r="I48" s="1885" t="s">
        <v>1524</v>
      </c>
      <c r="J48" s="1886"/>
      <c r="K48" s="1887" t="s">
        <v>1525</v>
      </c>
      <c r="L48" s="1888">
        <f ca="1">INDIRECT("'数据-取费表'!f"&amp;$G$1)</f>
        <v>0</v>
      </c>
      <c r="O48" s="1882" t="s">
        <v>1037</v>
      </c>
      <c r="P48" s="1883" t="s">
        <v>1526</v>
      </c>
      <c r="Q48" s="1884" t="e">
        <f ca="1">J60</f>
        <v>#DIV/0!</v>
      </c>
      <c r="R48" s="1884" t="s">
        <v>1527</v>
      </c>
    </row>
    <row r="49" spans="1:18" s="1840" customFormat="1" ht="13.8" thickBot="1">
      <c r="A49" s="1194" t="s">
        <v>1132</v>
      </c>
      <c r="B49" s="1827" t="s">
        <v>1484</v>
      </c>
      <c r="C49" s="1364">
        <f ca="1">ROUND(F49*F51*F50*(1-F52),0)</f>
        <v>0</v>
      </c>
      <c r="D49" s="1276" t="s">
        <v>1398</v>
      </c>
      <c r="E49" s="1828" t="s">
        <v>1485</v>
      </c>
      <c r="F49" s="1281"/>
      <c r="G49" s="1889"/>
      <c r="H49" s="793"/>
      <c r="I49" s="1885" t="s">
        <v>1528</v>
      </c>
      <c r="J49" s="1890"/>
      <c r="K49" s="1887" t="s">
        <v>1529</v>
      </c>
      <c r="L49" s="1891"/>
      <c r="O49" s="1892" t="s">
        <v>1038</v>
      </c>
      <c r="P49" s="1883" t="s">
        <v>1530</v>
      </c>
      <c r="Q49" s="1884">
        <f ca="1">C29</f>
        <v>0</v>
      </c>
      <c r="R49" s="1884" t="s">
        <v>1523</v>
      </c>
    </row>
    <row r="50" spans="1:18" s="1840" customFormat="1" ht="13.8" thickBot="1">
      <c r="A50" s="1195"/>
      <c r="B50" s="1198"/>
      <c r="C50" s="1199"/>
      <c r="D50" s="1172"/>
      <c r="E50" s="1277" t="s">
        <v>1400</v>
      </c>
      <c r="F50" s="1278">
        <f ca="1">F7</f>
        <v>0</v>
      </c>
      <c r="H50" s="793"/>
      <c r="I50" s="1885" t="s">
        <v>1531</v>
      </c>
      <c r="J50" s="1893">
        <f>SUMPRODUCT((I63:I65=J47)*(J62:L62=J48)*(J63:L65))</f>
        <v>0</v>
      </c>
      <c r="K50" s="1887" t="s">
        <v>1532</v>
      </c>
      <c r="L50" s="1891"/>
      <c r="M50" s="1894"/>
      <c r="O50" s="1892" t="s">
        <v>1039</v>
      </c>
      <c r="P50" s="1883" t="s">
        <v>1533</v>
      </c>
      <c r="Q50" s="1895" t="e">
        <f ca="1">J58</f>
        <v>#DIV/0!</v>
      </c>
      <c r="R50" s="1884"/>
    </row>
    <row r="51" spans="1:18" s="1840" customFormat="1" ht="13.8" thickBot="1">
      <c r="A51" s="1196"/>
      <c r="B51" s="1198"/>
      <c r="C51" s="1199"/>
      <c r="D51" s="1172"/>
      <c r="E51" s="1200" t="s">
        <v>1401</v>
      </c>
      <c r="F51" s="348">
        <f ca="1">F8</f>
        <v>0</v>
      </c>
      <c r="I51" s="1896" t="s">
        <v>1534</v>
      </c>
      <c r="J51" s="1897">
        <f>IF(J49="",J50,J49+J50-YEAR('数据-取费表'!B2))</f>
        <v>0</v>
      </c>
      <c r="K51" s="1898" t="s">
        <v>1535</v>
      </c>
      <c r="L51" s="1899">
        <f ca="1">ROUND(-PV(INDIRECT("'数据-取费表'!h"&amp;$G$1),L48,(C39-C13*C76),0),0)</f>
        <v>0</v>
      </c>
      <c r="M51" s="1900"/>
      <c r="O51" s="1892" t="s">
        <v>1040</v>
      </c>
      <c r="P51" s="1883" t="s">
        <v>1536</v>
      </c>
      <c r="Q51" s="1895">
        <f>J52</f>
        <v>0</v>
      </c>
      <c r="R51" s="1884"/>
    </row>
    <row r="52" spans="1:18" s="1840" customFormat="1" ht="13.8" thickBot="1">
      <c r="A52" s="1196"/>
      <c r="B52" s="1198"/>
      <c r="C52" s="1199"/>
      <c r="D52" s="1172"/>
      <c r="E52" s="1200" t="s">
        <v>1402</v>
      </c>
      <c r="F52" s="1275"/>
      <c r="I52" s="1901" t="s">
        <v>1537</v>
      </c>
      <c r="J52" s="1902"/>
      <c r="K52" s="1901" t="s">
        <v>1538</v>
      </c>
      <c r="L52" s="1902"/>
      <c r="O52" s="1892" t="s">
        <v>1041</v>
      </c>
      <c r="P52" s="1883" t="s">
        <v>1539</v>
      </c>
      <c r="Q52" s="1884">
        <f ca="1">J53</f>
        <v>0</v>
      </c>
      <c r="R52" s="1884" t="s">
        <v>1540</v>
      </c>
    </row>
    <row r="53" spans="1:18" s="1840" customFormat="1" ht="30.75" customHeight="1" thickBot="1">
      <c r="A53" s="1361" t="s">
        <v>1133</v>
      </c>
      <c r="B53" s="369" t="s">
        <v>1403</v>
      </c>
      <c r="C53" s="361">
        <f ca="1">ROUND(IF(F53="押一",C49/12*F11,IF(F53="押二",C49/12*2*F11,IF(F53="押三",C49/12*3*F11,C54*F11))),0)</f>
        <v>0</v>
      </c>
      <c r="D53" s="1822" t="s">
        <v>3041</v>
      </c>
      <c r="E53" s="358" t="s">
        <v>1404</v>
      </c>
      <c r="F53" s="1366"/>
      <c r="I53" s="1903" t="s">
        <v>1541</v>
      </c>
      <c r="J53" s="2948">
        <f ca="1">IF(M47="住宅",IF(D1="——",MAX(J51,L48),MAX(J51,L48-'数据-取费表'!B24)),IF(D1="——",MIN(J51,L48),MIN(J51,L48-'数据-取费表'!B24)))</f>
        <v>0</v>
      </c>
      <c r="K53" s="3140" t="s">
        <v>1542</v>
      </c>
      <c r="L53" s="3141"/>
      <c r="O53" s="1882" t="s">
        <v>1042</v>
      </c>
      <c r="P53" s="1883" t="s">
        <v>1543</v>
      </c>
      <c r="Q53" s="1884" t="e">
        <f ca="1">Q47+Q48</f>
        <v>#DIV/0!</v>
      </c>
      <c r="R53" s="1884" t="s">
        <v>1043</v>
      </c>
    </row>
    <row r="54" spans="1:18" s="1840" customFormat="1" ht="13.8" thickBot="1">
      <c r="A54" s="1194"/>
      <c r="B54" s="1938" t="s">
        <v>1597</v>
      </c>
      <c r="C54" s="1178"/>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1544</v>
      </c>
      <c r="P54" s="1837"/>
      <c r="Q54" s="1837"/>
      <c r="R54" s="1837"/>
    </row>
    <row r="55" spans="1:18" s="1840" customFormat="1" ht="13.8" thickBot="1">
      <c r="A55" s="1333" t="s">
        <v>1071</v>
      </c>
      <c r="B55" s="1825" t="s">
        <v>1407</v>
      </c>
      <c r="C55" s="1334"/>
      <c r="D55" s="1822"/>
      <c r="E55" s="1830"/>
      <c r="F55" s="1904"/>
      <c r="I55" s="1907" t="s">
        <v>1545</v>
      </c>
      <c r="J55" s="1908" t="e">
        <f ca="1">ROUND(IF(J47="钢混",J57/J50,1-(1-2%)*(J50-J57)/J50),3)</f>
        <v>#DIV/0!</v>
      </c>
      <c r="K55" s="1909" t="s">
        <v>1546</v>
      </c>
      <c r="L55" s="1910"/>
      <c r="O55" s="1875" t="s">
        <v>1516</v>
      </c>
      <c r="P55" s="1876" t="s">
        <v>1517</v>
      </c>
      <c r="Q55" s="1877" t="s">
        <v>1518</v>
      </c>
      <c r="R55" s="1877" t="s">
        <v>1519</v>
      </c>
    </row>
    <row r="56" spans="1:18" s="1840" customFormat="1" ht="36" customHeight="1" thickTop="1" thickBot="1">
      <c r="A56" s="1176">
        <v>2</v>
      </c>
      <c r="B56" s="1177" t="s">
        <v>1408</v>
      </c>
      <c r="C56" s="276">
        <f ca="1">C13</f>
        <v>0</v>
      </c>
      <c r="D56" s="1911"/>
      <c r="E56" s="1912"/>
      <c r="F56" s="1904"/>
      <c r="I56" s="1913" t="s">
        <v>1548</v>
      </c>
      <c r="J56" s="1914"/>
      <c r="K56" s="1885" t="s">
        <v>1549</v>
      </c>
      <c r="L56" s="1888">
        <f ca="1">IF(L48&lt;J51,"——",L48-J51)</f>
        <v>0</v>
      </c>
      <c r="O56" s="1882" t="s">
        <v>1036</v>
      </c>
      <c r="P56" s="1883" t="s">
        <v>1522</v>
      </c>
      <c r="Q56" s="1884" t="e">
        <f ca="1">C40+J29</f>
        <v>#DIV/0!</v>
      </c>
      <c r="R56" s="1884" t="s">
        <v>1523</v>
      </c>
    </row>
    <row r="57" spans="1:18" s="1840" customFormat="1" ht="24.6" thickBot="1">
      <c r="A57" s="1915"/>
      <c r="B57" s="1169" t="s">
        <v>1472</v>
      </c>
      <c r="C57" s="282">
        <f ca="1">C29</f>
        <v>0</v>
      </c>
      <c r="D57" s="1916"/>
      <c r="E57" s="1917"/>
      <c r="F57" s="1918"/>
      <c r="I57" s="1919" t="s">
        <v>1550</v>
      </c>
      <c r="J57" s="1920">
        <f ca="1">IF(OR(M47="住宅",J51&lt;L48,J56="是"),"——",J51-L48)</f>
        <v>0</v>
      </c>
      <c r="K57" s="1885" t="s">
        <v>1599</v>
      </c>
      <c r="L57" s="1888">
        <f ca="1">IF(L48&lt;J51,"——",IF(L55="比较法",L49,IF(L55="基准地价",L50,L51)))</f>
        <v>0</v>
      </c>
      <c r="O57" s="1882" t="s">
        <v>1037</v>
      </c>
      <c r="P57" s="1883" t="s">
        <v>1600</v>
      </c>
      <c r="Q57" s="1884" t="e">
        <f ca="1">L60</f>
        <v>#DIV/0!</v>
      </c>
      <c r="R57" s="1884" t="s">
        <v>1601</v>
      </c>
    </row>
    <row r="58" spans="1:18" s="1840" customFormat="1" ht="24.6" thickBot="1">
      <c r="A58" s="360" t="s">
        <v>1026</v>
      </c>
      <c r="B58" s="1177" t="s">
        <v>1418</v>
      </c>
      <c r="C58" s="361">
        <f ca="1">ROUND(C59+C64+C65+C66,0)</f>
        <v>0</v>
      </c>
      <c r="D58" s="1179" t="s">
        <v>1419</v>
      </c>
      <c r="E58" s="1180"/>
      <c r="F58" s="1181"/>
      <c r="I58" s="1919" t="s">
        <v>1554</v>
      </c>
      <c r="J58" s="1921" t="e">
        <f ca="1">IF(J55&lt;0.4,0.4,J55)</f>
        <v>#DIV/0!</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9" t="s">
        <v>1557</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2" t="s">
        <v>1559</v>
      </c>
      <c r="J60" s="1923" t="e">
        <f ca="1">IF(OR(M47="住宅",J51&lt;L48,J56="是"),"0",ROUND(J59/(1+J52)^J53,0))</f>
        <v>#DIV/0!</v>
      </c>
      <c r="K60" s="1924" t="s">
        <v>1560</v>
      </c>
      <c r="L60" s="1923" t="e">
        <f ca="1">IF(OR(M47="住宅",L48&lt;J51),0,ROUND(L57*(L58/L59-1),0))</f>
        <v>#DIV/0!</v>
      </c>
      <c r="O60" s="1892" t="s">
        <v>1040</v>
      </c>
      <c r="P60" s="1883" t="s">
        <v>1561</v>
      </c>
      <c r="Q60" s="1884" t="e">
        <f ca="1">L58</f>
        <v>#DIV/0!</v>
      </c>
      <c r="R60" s="1884" t="s">
        <v>1562</v>
      </c>
    </row>
    <row r="61" spans="1:18" s="1840" customFormat="1" ht="13.8" thickBot="1">
      <c r="A61" s="1201" t="s">
        <v>1486</v>
      </c>
      <c r="B61" s="1169" t="s">
        <v>1487</v>
      </c>
      <c r="C61" s="24">
        <f ca="1">IF(项目基本情况!B11="自然人","——",IF(D61="按租金收入计税",ROUND(C48*F61,0),IF(D61="按房产原值计税",ROUND(C57*F61*0.7,0),INDIRECT("'数据-取费表'!Aj"&amp;$G$1))))</f>
        <v>0</v>
      </c>
      <c r="D61" s="1826" t="s">
        <v>1432</v>
      </c>
      <c r="E61" s="1169" t="s">
        <v>1488</v>
      </c>
      <c r="F61" s="367">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201" t="s">
        <v>1489</v>
      </c>
      <c r="B62" s="1168" t="s">
        <v>1490</v>
      </c>
      <c r="C62" s="25">
        <f ca="1">IF(项目基本情况!B11="自然人","——",ROUND(F62*F63,0))</f>
        <v>0</v>
      </c>
      <c r="D62" s="1184" t="s">
        <v>1491</v>
      </c>
      <c r="E62" s="1169" t="s">
        <v>1492</v>
      </c>
      <c r="F62" s="371">
        <f t="shared" si="0"/>
        <v>1.5</v>
      </c>
      <c r="I62" s="1926" t="s">
        <v>1564</v>
      </c>
      <c r="J62" s="1927" t="s">
        <v>1565</v>
      </c>
      <c r="K62" s="1927" t="s">
        <v>1566</v>
      </c>
      <c r="L62" s="1927" t="s">
        <v>1567</v>
      </c>
      <c r="M62" s="1928" t="s">
        <v>1568</v>
      </c>
      <c r="O62" s="1882" t="s">
        <v>1042</v>
      </c>
      <c r="P62" s="1883" t="s">
        <v>1569</v>
      </c>
      <c r="Q62" s="1884" t="e">
        <f ca="1">Q56+Q57</f>
        <v>#DIV/0!</v>
      </c>
      <c r="R62" s="1884" t="s">
        <v>1043</v>
      </c>
    </row>
    <row r="63" spans="1:18" s="1840" customFormat="1" ht="13.8" thickBot="1">
      <c r="A63" s="372"/>
      <c r="B63" s="1175"/>
      <c r="C63" s="29"/>
      <c r="D63" s="1185"/>
      <c r="E63" s="1169" t="s">
        <v>1493</v>
      </c>
      <c r="F63" s="348">
        <f t="shared" ca="1" si="0"/>
        <v>0</v>
      </c>
      <c r="I63" s="1926" t="s">
        <v>1570</v>
      </c>
      <c r="J63" s="1927">
        <v>70</v>
      </c>
      <c r="K63" s="1927">
        <v>50</v>
      </c>
      <c r="L63" s="1927">
        <v>80</v>
      </c>
      <c r="M63" s="1929">
        <v>0.02</v>
      </c>
      <c r="O63" s="1867" t="s">
        <v>1571</v>
      </c>
      <c r="P63" s="1837"/>
      <c r="Q63" s="1837"/>
      <c r="R63" s="1837"/>
    </row>
    <row r="64" spans="1:18" s="1840" customFormat="1" ht="13.8" thickBot="1">
      <c r="A64" s="1201" t="s">
        <v>1494</v>
      </c>
      <c r="B64" s="1169" t="s">
        <v>1495</v>
      </c>
      <c r="C64" s="24">
        <f ca="1">ROUND(C57*F64,0)</f>
        <v>0</v>
      </c>
      <c r="D64" s="1183" t="s">
        <v>1496</v>
      </c>
      <c r="E64" s="1169" t="s">
        <v>1488</v>
      </c>
      <c r="F64" s="374">
        <f t="shared" ca="1" si="0"/>
        <v>0</v>
      </c>
      <c r="I64" s="1926" t="s">
        <v>1572</v>
      </c>
      <c r="J64" s="1927">
        <v>50</v>
      </c>
      <c r="K64" s="1927">
        <v>35</v>
      </c>
      <c r="L64" s="1927">
        <v>60</v>
      </c>
      <c r="M64" s="1928">
        <v>0</v>
      </c>
      <c r="O64" s="1875" t="s">
        <v>1516</v>
      </c>
      <c r="P64" s="1876" t="s">
        <v>1517</v>
      </c>
      <c r="Q64" s="1877" t="s">
        <v>1518</v>
      </c>
      <c r="R64" s="1877" t="s">
        <v>1519</v>
      </c>
    </row>
    <row r="65" spans="1:18" s="1840" customFormat="1" ht="13.8" thickBot="1">
      <c r="A65" s="1201" t="s">
        <v>1497</v>
      </c>
      <c r="B65" s="1169" t="s">
        <v>1447</v>
      </c>
      <c r="C65" s="24">
        <f ca="1">ROUND(C56*F65,0)</f>
        <v>0</v>
      </c>
      <c r="D65" s="1183" t="s">
        <v>1448</v>
      </c>
      <c r="E65" s="1169" t="s">
        <v>1449</v>
      </c>
      <c r="F65" s="376">
        <f t="shared" ca="1" si="0"/>
        <v>0</v>
      </c>
      <c r="I65" s="1926" t="s">
        <v>1573</v>
      </c>
      <c r="J65" s="1927">
        <v>40</v>
      </c>
      <c r="K65" s="1927">
        <v>30</v>
      </c>
      <c r="L65" s="1927">
        <v>50</v>
      </c>
      <c r="M65" s="1929">
        <v>0.02</v>
      </c>
      <c r="O65" s="1882" t="s">
        <v>1036</v>
      </c>
      <c r="P65" s="1883" t="s">
        <v>1574</v>
      </c>
      <c r="Q65" s="1884" t="e">
        <f ca="1">C40+J29</f>
        <v>#DIV/0!</v>
      </c>
      <c r="R65" s="1884" t="s">
        <v>1523</v>
      </c>
    </row>
    <row r="66" spans="1:18" s="1840" customFormat="1" ht="16.2" thickBot="1">
      <c r="A66" s="1201" t="s">
        <v>1498</v>
      </c>
      <c r="B66" s="1169" t="s">
        <v>1433</v>
      </c>
      <c r="C66" s="24">
        <f ca="1">ROUND(C48*F66,0)</f>
        <v>0</v>
      </c>
      <c r="D66" s="1183" t="s">
        <v>1499</v>
      </c>
      <c r="E66" s="1169" t="s">
        <v>1416</v>
      </c>
      <c r="F66" s="357">
        <f t="shared" ca="1" si="0"/>
        <v>0</v>
      </c>
      <c r="O66" s="1882" t="s">
        <v>1037</v>
      </c>
      <c r="P66" s="1883" t="s">
        <v>1552</v>
      </c>
      <c r="Q66" s="1884" t="e">
        <f ca="1">L60</f>
        <v>#DIV/0!</v>
      </c>
      <c r="R66" s="1884" t="s">
        <v>1575</v>
      </c>
    </row>
    <row r="67" spans="1:18" s="1840" customFormat="1" ht="24.6" thickBot="1">
      <c r="A67" s="1176" t="s">
        <v>1027</v>
      </c>
      <c r="B67" s="1186" t="s">
        <v>1457</v>
      </c>
      <c r="C67" s="361">
        <f ca="1">C48-C58</f>
        <v>0</v>
      </c>
      <c r="D67" s="1182" t="s">
        <v>1458</v>
      </c>
      <c r="E67" s="1187"/>
      <c r="F67" s="1188"/>
      <c r="O67" s="1892" t="s">
        <v>1038</v>
      </c>
      <c r="P67" s="1883" t="s">
        <v>1556</v>
      </c>
      <c r="Q67" s="1930">
        <f ca="1">L51</f>
        <v>0</v>
      </c>
      <c r="R67" s="1884" t="s">
        <v>1576</v>
      </c>
    </row>
    <row r="68" spans="1:18" s="1840" customFormat="1" ht="16.2" thickBot="1">
      <c r="A68" s="1166" t="s">
        <v>1028</v>
      </c>
      <c r="B68" s="1167" t="s">
        <v>1479</v>
      </c>
      <c r="C68" s="346" t="e">
        <f ca="1">ROUND(C67*(1-((1+F70)/(1+F68))^F69)/(F68-F70),0)</f>
        <v>#DIV/0!</v>
      </c>
      <c r="D68" s="1184" t="s">
        <v>1463</v>
      </c>
      <c r="E68" s="1169" t="s">
        <v>1464</v>
      </c>
      <c r="F68" s="357">
        <f ca="1">F40</f>
        <v>0</v>
      </c>
      <c r="O68" s="1892" t="s">
        <v>1039</v>
      </c>
      <c r="P68" s="1931" t="s">
        <v>1577</v>
      </c>
      <c r="Q68" s="1884">
        <f ca="1">ROUND(Q69-Q70*Q71,0)</f>
        <v>0</v>
      </c>
      <c r="R68" s="1884" t="s">
        <v>1047</v>
      </c>
    </row>
    <row r="69" spans="1:18" s="1840" customFormat="1" ht="13.8" thickBot="1">
      <c r="A69" s="1170"/>
      <c r="B69" s="1171"/>
      <c r="C69" s="351"/>
      <c r="D69" s="1189" t="s">
        <v>1467</v>
      </c>
      <c r="E69" s="1169" t="s">
        <v>1468</v>
      </c>
      <c r="F69" s="379">
        <f ca="1">F41</f>
        <v>0</v>
      </c>
      <c r="O69" s="1892" t="s">
        <v>1044</v>
      </c>
      <c r="P69" s="1931" t="s">
        <v>1578</v>
      </c>
      <c r="Q69" s="1884">
        <f ca="1">C39</f>
        <v>0</v>
      </c>
      <c r="R69" s="1884" t="s">
        <v>1523</v>
      </c>
    </row>
    <row r="70" spans="1:18" s="1840" customFormat="1" ht="13.8" thickBot="1">
      <c r="A70" s="1173"/>
      <c r="B70" s="1174"/>
      <c r="C70" s="355"/>
      <c r="D70" s="1185"/>
      <c r="E70" s="1169" t="s">
        <v>1471</v>
      </c>
      <c r="F70" s="1275">
        <f ca="1">F42</f>
        <v>0</v>
      </c>
      <c r="O70" s="1892" t="s">
        <v>1045</v>
      </c>
      <c r="P70" s="1931" t="s">
        <v>1579</v>
      </c>
      <c r="Q70" s="1884">
        <f ca="1">C13</f>
        <v>0</v>
      </c>
      <c r="R70" s="1884" t="s">
        <v>1523</v>
      </c>
    </row>
    <row r="71" spans="1:18" s="1840" customFormat="1" ht="13.8" thickBot="1">
      <c r="A71" s="1190" t="s">
        <v>1029</v>
      </c>
      <c r="B71" s="1191" t="s">
        <v>1481</v>
      </c>
      <c r="C71" s="382" t="e">
        <f ca="1">ROUND(C68/F71,0)</f>
        <v>#DIV/0!</v>
      </c>
      <c r="D71" s="1192" t="s">
        <v>1482</v>
      </c>
      <c r="E71" s="1193" t="s">
        <v>1483</v>
      </c>
      <c r="F71" s="385">
        <f ca="1">F43</f>
        <v>0</v>
      </c>
      <c r="O71" s="1892" t="s">
        <v>1046</v>
      </c>
      <c r="P71" s="1931" t="s">
        <v>1580</v>
      </c>
      <c r="Q71" s="1895">
        <f ca="1">C76</f>
        <v>0</v>
      </c>
      <c r="R71" s="1884"/>
    </row>
    <row r="72" spans="1:18" s="1840" customFormat="1" ht="13.8" thickBot="1">
      <c r="B72" s="796"/>
      <c r="C72" s="796"/>
      <c r="O72" s="1892" t="s">
        <v>1040</v>
      </c>
      <c r="P72" s="1883" t="s">
        <v>1558</v>
      </c>
      <c r="Q72" s="1895">
        <f>L52</f>
        <v>0</v>
      </c>
      <c r="R72" s="1884"/>
    </row>
    <row r="73" spans="1:18" ht="16.2" thickBot="1">
      <c r="A73" s="1840"/>
      <c r="B73" s="796"/>
      <c r="C73" s="796"/>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0</v>
      </c>
      <c r="D75" s="1840"/>
      <c r="E75" s="1840"/>
      <c r="F75" s="1840"/>
      <c r="K75" s="1866"/>
      <c r="L75" s="1840"/>
      <c r="O75" s="1882" t="s">
        <v>1042</v>
      </c>
      <c r="P75" s="1883" t="s">
        <v>1543</v>
      </c>
      <c r="Q75" s="1884" t="e">
        <f ca="1">Q65+Q66</f>
        <v>#DIV/0!</v>
      </c>
      <c r="R75" s="1884" t="s">
        <v>1043</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9" t="s">
        <v>2524</v>
      </c>
      <c r="B1" s="2560"/>
      <c r="C1" s="2560"/>
      <c r="D1" s="2560"/>
      <c r="E1" s="2561"/>
    </row>
    <row r="2" spans="1:6" ht="15.6">
      <c r="A2" s="2562" t="s">
        <v>2325</v>
      </c>
      <c r="B2" s="2563">
        <f ca="1">SUMIF(B6:B13,"&lt;&gt;#ref!",B6:B13)</f>
        <v>36449</v>
      </c>
      <c r="C2" s="2564" t="s">
        <v>2517</v>
      </c>
      <c r="D2" s="2565" t="s">
        <v>2518</v>
      </c>
      <c r="E2" s="2566">
        <f>SUM(E6:E13)</f>
        <v>48162.54</v>
      </c>
    </row>
    <row r="3" spans="1:6" ht="15.6">
      <c r="A3" s="2562" t="s">
        <v>1389</v>
      </c>
      <c r="B3" s="2563">
        <f ca="1">ROUND(B2*10000/E2,0)</f>
        <v>7568</v>
      </c>
      <c r="C3" s="2564" t="s">
        <v>2525</v>
      </c>
      <c r="D3" s="2567"/>
      <c r="E3" s="2568"/>
    </row>
    <row r="4" spans="1:6" ht="15.6">
      <c r="A4" s="2569"/>
      <c r="B4" s="2567"/>
      <c r="C4" s="2567"/>
      <c r="D4" s="2567"/>
      <c r="E4" s="2568"/>
    </row>
    <row r="5" spans="1:6" ht="14.4">
      <c r="A5" s="2570" t="s">
        <v>2519</v>
      </c>
      <c r="B5" s="3145" t="s">
        <v>2520</v>
      </c>
      <c r="C5" s="3145"/>
      <c r="D5" s="2571"/>
      <c r="E5" s="2572" t="s">
        <v>2521</v>
      </c>
      <c r="F5" s="2573" t="s">
        <v>2522</v>
      </c>
    </row>
    <row r="6" spans="1:6" ht="14.4">
      <c r="A6" s="2574" t="str">
        <f>'数据-取费表'!AN6</f>
        <v>收益法</v>
      </c>
      <c r="B6" s="2573">
        <f ca="1">IF(F6="是",'数据-取费表'!AO6,0)</f>
        <v>36449</v>
      </c>
      <c r="C6" s="2564" t="s">
        <v>2517</v>
      </c>
      <c r="D6" s="2567"/>
      <c r="E6" s="2575">
        <f>IF(OR(A6=0,F6="否"),0,'数据-取费表'!K6+'数据-取费表'!S6)</f>
        <v>48162.54</v>
      </c>
      <c r="F6" s="2576" t="s">
        <v>2523</v>
      </c>
    </row>
    <row r="7" spans="1:6" ht="14.4">
      <c r="A7" s="2574">
        <f>'数据-取费表'!AN7</f>
        <v>0</v>
      </c>
      <c r="B7" s="2573" t="e">
        <f ca="1">IF(F7="是",'数据-取费表'!AO7,0)</f>
        <v>#REF!</v>
      </c>
      <c r="C7" s="2564" t="s">
        <v>2517</v>
      </c>
      <c r="D7" s="2567"/>
      <c r="E7" s="2575">
        <f>IF(OR(A7=0,F7="否"),0,'数据-取费表'!K7+'数据-取费表'!S7)</f>
        <v>0</v>
      </c>
      <c r="F7" s="2576" t="s">
        <v>2523</v>
      </c>
    </row>
    <row r="8" spans="1:6" ht="14.4">
      <c r="A8" s="2574">
        <f>'数据-取费表'!AN8</f>
        <v>0</v>
      </c>
      <c r="B8" s="2573" t="e">
        <f ca="1">IF(F8="是",'数据-取费表'!AO8,0)</f>
        <v>#REF!</v>
      </c>
      <c r="C8" s="2564" t="s">
        <v>2517</v>
      </c>
      <c r="D8" s="2567"/>
      <c r="E8" s="2575">
        <f>IF(OR(A8=0,F8="否"),0,'数据-取费表'!K8+'数据-取费表'!S8)</f>
        <v>0</v>
      </c>
      <c r="F8" s="2576" t="s">
        <v>2523</v>
      </c>
    </row>
    <row r="9" spans="1:6" ht="14.4">
      <c r="A9" s="2574">
        <f>'数据-取费表'!AN9</f>
        <v>0</v>
      </c>
      <c r="B9" s="2573" t="e">
        <f ca="1">IF(F9="是",'数据-取费表'!AO9,0)</f>
        <v>#REF!</v>
      </c>
      <c r="C9" s="2564" t="s">
        <v>2517</v>
      </c>
      <c r="D9" s="2567"/>
      <c r="E9" s="2575">
        <f>IF(OR(A9=0,F9="否"),0,'数据-取费表'!K9+'数据-取费表'!S9)</f>
        <v>0</v>
      </c>
      <c r="F9" s="2576" t="s">
        <v>2523</v>
      </c>
    </row>
    <row r="10" spans="1:6" ht="14.4">
      <c r="A10" s="2574">
        <f>'数据-取费表'!AN10</f>
        <v>0</v>
      </c>
      <c r="B10" s="2573" t="e">
        <f ca="1">IF(F10="是",'数据-取费表'!AO10,0)</f>
        <v>#REF!</v>
      </c>
      <c r="C10" s="2564" t="s">
        <v>2517</v>
      </c>
      <c r="D10" s="2567"/>
      <c r="E10" s="2575">
        <f>IF(OR(A10=0,F10="否"),0,'数据-取费表'!K10+'数据-取费表'!S10)</f>
        <v>0</v>
      </c>
      <c r="F10" s="2576" t="s">
        <v>2523</v>
      </c>
    </row>
    <row r="11" spans="1:6" ht="14.4">
      <c r="A11" s="2574">
        <f>'数据-取费表'!AN11</f>
        <v>0</v>
      </c>
      <c r="B11" s="2573" t="e">
        <f ca="1">IF(F11="是",'数据-取费表'!AO11,0)</f>
        <v>#REF!</v>
      </c>
      <c r="C11" s="2564" t="s">
        <v>2517</v>
      </c>
      <c r="D11" s="2567"/>
      <c r="E11" s="2575">
        <f>IF(OR(A11=0,F11="否"),0,'数据-取费表'!K11+'数据-取费表'!S11)</f>
        <v>0</v>
      </c>
      <c r="F11" s="2576" t="s">
        <v>2523</v>
      </c>
    </row>
    <row r="12" spans="1:6" ht="14.4">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82"/>
  <sheetViews>
    <sheetView zoomScale="70" zoomScaleNormal="70" workbookViewId="0">
      <selection activeCell="E27" sqref="E27:G27"/>
    </sheetView>
  </sheetViews>
  <sheetFormatPr defaultRowHeight="14.4"/>
  <cols>
    <col min="1" max="1" width="10.44140625" customWidth="1"/>
    <col min="2" max="2" width="12.88671875" customWidth="1"/>
    <col min="3" max="3" width="8.77734375" customWidth="1"/>
    <col min="6" max="6" width="11.88671875" bestFit="1" customWidth="1"/>
    <col min="7" max="7" width="14.44140625" bestFit="1" customWidth="1"/>
    <col min="9" max="9" width="11.88671875" bestFit="1" customWidth="1"/>
  </cols>
  <sheetData>
    <row r="1" spans="1:14" ht="15.6">
      <c r="A1" s="3162" t="s">
        <v>1072</v>
      </c>
      <c r="B1" s="3163"/>
      <c r="C1" s="3164"/>
      <c r="D1" s="3165">
        <f>SUM(I10,I15,I20,I21,I23)</f>
        <v>7076</v>
      </c>
      <c r="E1" s="3165"/>
      <c r="F1" s="3165"/>
      <c r="G1" s="3165"/>
      <c r="H1" s="3165"/>
      <c r="I1" s="3166"/>
    </row>
    <row r="2" spans="1:14">
      <c r="A2" s="3152" t="s">
        <v>1073</v>
      </c>
      <c r="B2" s="3153" t="s">
        <v>1074</v>
      </c>
      <c r="C2" s="3153"/>
      <c r="D2" s="1301" t="s">
        <v>1075</v>
      </c>
      <c r="E2" s="1301" t="s">
        <v>1076</v>
      </c>
      <c r="F2" s="1301" t="s">
        <v>1077</v>
      </c>
      <c r="G2" s="1301" t="s">
        <v>1078</v>
      </c>
      <c r="H2" s="1301" t="s">
        <v>1079</v>
      </c>
      <c r="I2" s="1302" t="s">
        <v>1080</v>
      </c>
    </row>
    <row r="3" spans="1:14">
      <c r="A3" s="3152"/>
      <c r="B3" s="3153" t="s">
        <v>1081</v>
      </c>
      <c r="C3" s="3153"/>
      <c r="D3" s="1303"/>
      <c r="E3" s="1301"/>
      <c r="F3" s="1304"/>
      <c r="G3" s="1304"/>
      <c r="H3" s="1305"/>
      <c r="I3" s="1306">
        <f>ROUND(D3*E3*F3*G3*H3/10000,0)</f>
        <v>0</v>
      </c>
    </row>
    <row r="4" spans="1:14">
      <c r="A4" s="3152"/>
      <c r="B4" s="3153" t="s">
        <v>1082</v>
      </c>
      <c r="C4" s="3153"/>
      <c r="D4" s="1303"/>
      <c r="E4" s="1301"/>
      <c r="F4" s="1304"/>
      <c r="G4" s="1304"/>
      <c r="H4" s="1305"/>
      <c r="I4" s="1306">
        <f t="shared" ref="I4:I9" si="0">ROUND(D4*E4*F4*G4*H4/10000,0)</f>
        <v>0</v>
      </c>
      <c r="K4" s="3305" t="s">
        <v>3385</v>
      </c>
    </row>
    <row r="5" spans="1:14">
      <c r="A5" s="3152"/>
      <c r="B5" s="3153" t="s">
        <v>1083</v>
      </c>
      <c r="C5" s="3153"/>
      <c r="D5" s="1303"/>
      <c r="E5" s="1301"/>
      <c r="F5" s="1304"/>
      <c r="G5" s="1304"/>
      <c r="H5" s="1305"/>
      <c r="I5" s="1306">
        <f t="shared" si="0"/>
        <v>0</v>
      </c>
      <c r="K5" s="3306" t="s">
        <v>3390</v>
      </c>
    </row>
    <row r="6" spans="1:14">
      <c r="A6" s="3152"/>
      <c r="B6" s="3153" t="s">
        <v>1084</v>
      </c>
      <c r="C6" s="3153"/>
      <c r="D6" s="1303">
        <v>314</v>
      </c>
      <c r="E6" s="1301">
        <v>700</v>
      </c>
      <c r="F6" s="1304">
        <v>0.9</v>
      </c>
      <c r="G6" s="1304">
        <v>0.7</v>
      </c>
      <c r="H6" s="1305">
        <v>365</v>
      </c>
      <c r="I6" s="1306">
        <f t="shared" si="0"/>
        <v>5054</v>
      </c>
    </row>
    <row r="7" spans="1:14">
      <c r="A7" s="3152"/>
      <c r="B7" s="3153" t="s">
        <v>1085</v>
      </c>
      <c r="C7" s="3153"/>
      <c r="D7" s="1303"/>
      <c r="E7" s="1301"/>
      <c r="F7" s="1304"/>
      <c r="G7" s="1304"/>
      <c r="H7" s="1305"/>
      <c r="I7" s="1306">
        <f t="shared" si="0"/>
        <v>0</v>
      </c>
    </row>
    <row r="8" spans="1:14">
      <c r="A8" s="3152"/>
      <c r="B8" s="3153" t="s">
        <v>1086</v>
      </c>
      <c r="C8" s="3153"/>
      <c r="D8" s="1303"/>
      <c r="E8" s="1301"/>
      <c r="F8" s="1304"/>
      <c r="G8" s="1304"/>
      <c r="H8" s="1305"/>
      <c r="I8" s="1306">
        <f t="shared" si="0"/>
        <v>0</v>
      </c>
    </row>
    <row r="9" spans="1:14">
      <c r="A9" s="3152"/>
      <c r="B9" s="3153" t="s">
        <v>1087</v>
      </c>
      <c r="C9" s="3153"/>
      <c r="D9" s="1303"/>
      <c r="E9" s="1301"/>
      <c r="F9" s="1304"/>
      <c r="G9" s="1304"/>
      <c r="H9" s="1305"/>
      <c r="I9" s="1306">
        <f t="shared" si="0"/>
        <v>0</v>
      </c>
    </row>
    <row r="10" spans="1:14">
      <c r="A10" s="3152"/>
      <c r="B10" s="3154" t="s">
        <v>1088</v>
      </c>
      <c r="C10" s="3154"/>
      <c r="D10" s="1307"/>
      <c r="E10" s="1307"/>
      <c r="F10" s="1308"/>
      <c r="G10" s="1308"/>
      <c r="H10" s="1309"/>
      <c r="I10" s="1310">
        <f>SUM(I3:I9)</f>
        <v>5054</v>
      </c>
      <c r="M10" s="3305" t="s">
        <v>3387</v>
      </c>
      <c r="N10" s="3305" t="s">
        <v>3388</v>
      </c>
    </row>
    <row r="11" spans="1:14" ht="15.6">
      <c r="A11" s="3152" t="s">
        <v>1089</v>
      </c>
      <c r="B11" s="3153" t="s">
        <v>1090</v>
      </c>
      <c r="C11" s="3153"/>
      <c r="D11" s="1303" t="s">
        <v>1091</v>
      </c>
      <c r="E11" s="1303" t="s">
        <v>1092</v>
      </c>
      <c r="F11" s="1304" t="s">
        <v>1093</v>
      </c>
      <c r="G11" s="1304" t="s">
        <v>1079</v>
      </c>
      <c r="H11" s="1311" t="s">
        <v>1094</v>
      </c>
      <c r="I11" s="1302" t="s">
        <v>1080</v>
      </c>
      <c r="K11" s="3305" t="s">
        <v>3386</v>
      </c>
      <c r="M11" s="3305">
        <v>400</v>
      </c>
      <c r="N11" s="3305" t="s">
        <v>3389</v>
      </c>
    </row>
    <row r="12" spans="1:14">
      <c r="A12" s="3152"/>
      <c r="B12" s="3153" t="s">
        <v>1095</v>
      </c>
      <c r="C12" s="3153"/>
      <c r="D12" s="1303"/>
      <c r="E12" s="1303"/>
      <c r="F12" s="1304"/>
      <c r="G12" s="1305"/>
      <c r="H12" s="1312"/>
      <c r="I12" s="1302">
        <f>ROUND(D12*E12*F12*G12/10000,0)</f>
        <v>0</v>
      </c>
      <c r="K12" s="3305" t="s">
        <v>3391</v>
      </c>
      <c r="M12">
        <v>680</v>
      </c>
      <c r="N12" s="3305" t="s">
        <v>3392</v>
      </c>
    </row>
    <row r="13" spans="1:14">
      <c r="A13" s="3152"/>
      <c r="B13" s="3153" t="s">
        <v>1096</v>
      </c>
      <c r="C13" s="3153"/>
      <c r="D13" s="1303"/>
      <c r="E13" s="1303"/>
      <c r="F13" s="1304"/>
      <c r="G13" s="1305"/>
      <c r="H13" s="1312"/>
      <c r="I13" s="1302">
        <f>ROUND(D13*E13*F13*G13/10000,0)</f>
        <v>0</v>
      </c>
      <c r="K13" s="3305" t="s">
        <v>3393</v>
      </c>
      <c r="M13">
        <v>900</v>
      </c>
      <c r="N13" s="3305" t="s">
        <v>3392</v>
      </c>
    </row>
    <row r="14" spans="1:14">
      <c r="A14" s="3152"/>
      <c r="B14" s="3153" t="s">
        <v>1097</v>
      </c>
      <c r="C14" s="3153"/>
      <c r="D14" s="1303"/>
      <c r="E14" s="1303"/>
      <c r="F14" s="1304"/>
      <c r="G14" s="1305"/>
      <c r="H14" s="1312"/>
      <c r="I14" s="1302">
        <f>ROUND(D14*E14*F14*G14/10000,0)</f>
        <v>0</v>
      </c>
      <c r="K14" s="3305" t="s">
        <v>3394</v>
      </c>
      <c r="M14">
        <v>1200</v>
      </c>
      <c r="N14" s="3305" t="s">
        <v>3392</v>
      </c>
    </row>
    <row r="15" spans="1:14">
      <c r="A15" s="3152"/>
      <c r="B15" s="3154" t="s">
        <v>1088</v>
      </c>
      <c r="C15" s="3154"/>
      <c r="D15" s="1307"/>
      <c r="E15" s="1307">
        <f>SUM(E12:E14)</f>
        <v>0</v>
      </c>
      <c r="F15" s="1308"/>
      <c r="G15" s="1305"/>
      <c r="H15" s="1312"/>
      <c r="I15" s="1313">
        <f>SUM(I12:I14)</f>
        <v>0</v>
      </c>
    </row>
    <row r="16" spans="1:14" ht="24">
      <c r="A16" s="3152" t="s">
        <v>1098</v>
      </c>
      <c r="B16" s="3153" t="s">
        <v>1099</v>
      </c>
      <c r="C16" s="3153"/>
      <c r="D16" s="1303" t="s">
        <v>1075</v>
      </c>
      <c r="E16" s="1314" t="s">
        <v>1100</v>
      </c>
      <c r="F16" s="1304" t="s">
        <v>1101</v>
      </c>
      <c r="G16" s="1305" t="s">
        <v>1079</v>
      </c>
      <c r="H16" s="1311" t="s">
        <v>1094</v>
      </c>
      <c r="I16" s="1302" t="s">
        <v>1080</v>
      </c>
    </row>
    <row r="17" spans="1:9" ht="15.6">
      <c r="A17" s="3152"/>
      <c r="B17" s="3153" t="s">
        <v>1102</v>
      </c>
      <c r="C17" s="3153"/>
      <c r="D17" s="1303"/>
      <c r="E17" s="1303"/>
      <c r="F17" s="1304"/>
      <c r="G17" s="1305"/>
      <c r="H17" s="1315"/>
      <c r="I17" s="1316">
        <f>ROUND(D17*E17*F17*G17/10000,0)</f>
        <v>0</v>
      </c>
    </row>
    <row r="18" spans="1:9" ht="15.6">
      <c r="A18" s="3152"/>
      <c r="B18" s="3153" t="s">
        <v>1103</v>
      </c>
      <c r="C18" s="3153"/>
      <c r="D18" s="1303"/>
      <c r="E18" s="1303"/>
      <c r="F18" s="1304"/>
      <c r="G18" s="1305"/>
      <c r="H18" s="1315"/>
      <c r="I18" s="1316">
        <f>ROUND(D18*E18*F18*G18/10000,0)</f>
        <v>0</v>
      </c>
    </row>
    <row r="19" spans="1:9" ht="15.6">
      <c r="A19" s="3152"/>
      <c r="B19" s="3153" t="s">
        <v>1104</v>
      </c>
      <c r="C19" s="3153"/>
      <c r="D19" s="1303"/>
      <c r="E19" s="1303"/>
      <c r="F19" s="1304"/>
      <c r="G19" s="1305"/>
      <c r="H19" s="1315"/>
      <c r="I19" s="1316">
        <f>ROUND(D19*E19*F19*G19/10000,0)</f>
        <v>0</v>
      </c>
    </row>
    <row r="20" spans="1:9">
      <c r="A20" s="3152"/>
      <c r="B20" s="3154" t="s">
        <v>1088</v>
      </c>
      <c r="C20" s="3154"/>
      <c r="D20" s="1307">
        <f>SUM(D17:D19)</f>
        <v>0</v>
      </c>
      <c r="E20" s="1307"/>
      <c r="F20" s="1308"/>
      <c r="G20" s="1305"/>
      <c r="H20" s="1312"/>
      <c r="I20" s="1313">
        <f>SUM(I17:I19)</f>
        <v>0</v>
      </c>
    </row>
    <row r="21" spans="1:9">
      <c r="A21" s="3152" t="s">
        <v>1105</v>
      </c>
      <c r="B21" s="3155"/>
      <c r="C21" s="3155"/>
      <c r="D21" s="3155"/>
      <c r="E21" s="3155"/>
      <c r="F21" s="3155"/>
      <c r="G21" s="3155"/>
      <c r="H21" s="1763">
        <v>0.4</v>
      </c>
      <c r="I21" s="1310">
        <f>ROUND(I10*H21,0)</f>
        <v>2022</v>
      </c>
    </row>
    <row r="22" spans="1:9" ht="15.6">
      <c r="A22" s="3156" t="s">
        <v>1106</v>
      </c>
      <c r="B22" s="3157"/>
      <c r="C22" s="3158"/>
      <c r="D22" s="1317" t="s">
        <v>1107</v>
      </c>
      <c r="E22" s="1317" t="s">
        <v>1108</v>
      </c>
      <c r="F22" s="1318" t="s">
        <v>1109</v>
      </c>
      <c r="G22" s="1318" t="s">
        <v>1110</v>
      </c>
      <c r="H22" s="1311" t="s">
        <v>1111</v>
      </c>
      <c r="I22" s="1302" t="s">
        <v>1112</v>
      </c>
    </row>
    <row r="23" spans="1:9" ht="15" thickBot="1">
      <c r="A23" s="3159"/>
      <c r="B23" s="3160"/>
      <c r="C23" s="3161"/>
      <c r="D23" s="1319"/>
      <c r="E23" s="1319"/>
      <c r="F23" s="1319"/>
      <c r="G23" s="1320"/>
      <c r="H23" s="1321"/>
      <c r="I23" s="1322">
        <f>ROUND(E23*D23*F23*(1-G23)/10000,0)</f>
        <v>0</v>
      </c>
    </row>
    <row r="26" spans="1:9">
      <c r="A26" s="1323" t="s">
        <v>1113</v>
      </c>
      <c r="B26" s="1323"/>
      <c r="C26" s="1323"/>
      <c r="D26" s="1323"/>
      <c r="E26" s="3149">
        <f>ROUND(C27-C30-C31-C32,0)</f>
        <v>3892</v>
      </c>
      <c r="F26" s="3149"/>
      <c r="G26" s="3149"/>
      <c r="H26" s="1735" t="s">
        <v>1335</v>
      </c>
    </row>
    <row r="27" spans="1:9">
      <c r="A27" s="1324">
        <v>1</v>
      </c>
      <c r="B27" s="1325" t="s">
        <v>1114</v>
      </c>
      <c r="C27" s="1325">
        <f>C28+C29</f>
        <v>7076</v>
      </c>
      <c r="D27" s="1325"/>
      <c r="E27" s="3150"/>
      <c r="F27" s="3150"/>
      <c r="G27" s="3150"/>
    </row>
    <row r="28" spans="1:9">
      <c r="A28" s="1326" t="s">
        <v>1115</v>
      </c>
      <c r="B28" s="1325" t="s">
        <v>1116</v>
      </c>
      <c r="C28" s="1325">
        <f>I10</f>
        <v>5054</v>
      </c>
      <c r="D28" s="1325"/>
      <c r="E28" s="3150"/>
      <c r="F28" s="3150"/>
      <c r="G28" s="3150"/>
    </row>
    <row r="29" spans="1:9">
      <c r="A29" s="1326" t="s">
        <v>1117</v>
      </c>
      <c r="B29" s="1325" t="s">
        <v>1118</v>
      </c>
      <c r="C29" s="1325">
        <f>I21+I20+I15+I23</f>
        <v>2022</v>
      </c>
      <c r="D29" s="1325"/>
      <c r="E29" s="1325" t="s">
        <v>1119</v>
      </c>
      <c r="F29" s="1325"/>
      <c r="G29" s="1325"/>
    </row>
    <row r="30" spans="1:9">
      <c r="A30" s="1324">
        <v>2</v>
      </c>
      <c r="B30" s="1325" t="s">
        <v>1120</v>
      </c>
      <c r="C30" s="1325">
        <f>C27*D30</f>
        <v>1415.2</v>
      </c>
      <c r="D30" s="1327">
        <v>0.2</v>
      </c>
      <c r="E30" s="1325" t="s">
        <v>1121</v>
      </c>
      <c r="F30" s="1325"/>
      <c r="G30" s="1325"/>
    </row>
    <row r="31" spans="1:9">
      <c r="A31" s="1324">
        <v>3</v>
      </c>
      <c r="B31" s="1325" t="s">
        <v>1122</v>
      </c>
      <c r="C31" s="1325">
        <f>C27*D31</f>
        <v>1061.3999999999999</v>
      </c>
      <c r="D31" s="1327">
        <v>0.15</v>
      </c>
      <c r="E31" s="1325" t="s">
        <v>1123</v>
      </c>
      <c r="F31" s="1325"/>
      <c r="G31" s="1325"/>
    </row>
    <row r="32" spans="1:9">
      <c r="A32" s="1324">
        <v>4</v>
      </c>
      <c r="B32" s="1325" t="s">
        <v>1124</v>
      </c>
      <c r="C32" s="1325">
        <f>C27*D32</f>
        <v>707.6</v>
      </c>
      <c r="D32" s="1327">
        <v>0.1</v>
      </c>
      <c r="E32" s="3151"/>
      <c r="F32" s="3151"/>
      <c r="G32" s="3151"/>
    </row>
    <row r="33" spans="1:7" hidden="1">
      <c r="A33" s="3146" t="s">
        <v>1125</v>
      </c>
      <c r="B33" s="3147"/>
      <c r="C33" s="3147"/>
      <c r="D33" s="3148"/>
      <c r="E33" s="3149"/>
      <c r="F33" s="3149"/>
      <c r="G33" s="3149"/>
    </row>
    <row r="34" spans="1:7" hidden="1">
      <c r="A34" s="1328">
        <v>1</v>
      </c>
      <c r="B34" s="1325" t="s">
        <v>1126</v>
      </c>
      <c r="C34" s="1325"/>
      <c r="D34" s="1325"/>
      <c r="E34" s="3150"/>
      <c r="F34" s="3150"/>
      <c r="G34" s="3150"/>
    </row>
    <row r="35" spans="1:7" hidden="1">
      <c r="A35" s="1328">
        <v>2</v>
      </c>
      <c r="B35" s="1325" t="s">
        <v>1127</v>
      </c>
      <c r="C35" s="1325"/>
      <c r="D35" s="1325"/>
      <c r="E35" s="3150"/>
      <c r="F35" s="3150"/>
      <c r="G35" s="3150"/>
    </row>
    <row r="36" spans="1:7" hidden="1">
      <c r="A36" s="1328">
        <v>3</v>
      </c>
      <c r="B36" s="1325" t="s">
        <v>1128</v>
      </c>
      <c r="C36" s="1325"/>
      <c r="D36" s="1325"/>
      <c r="E36" s="3150"/>
      <c r="F36" s="3150"/>
      <c r="G36" s="3150"/>
    </row>
    <row r="37" spans="1:7" hidden="1">
      <c r="A37" s="1328">
        <v>4</v>
      </c>
      <c r="B37" s="1325" t="s">
        <v>1129</v>
      </c>
      <c r="C37" s="1325"/>
      <c r="D37" s="1325"/>
      <c r="E37" s="3150"/>
      <c r="F37" s="3150"/>
      <c r="G37" s="3150"/>
    </row>
    <row r="38" spans="1:7" hidden="1">
      <c r="A38" s="3146" t="s">
        <v>1130</v>
      </c>
      <c r="B38" s="3147"/>
      <c r="C38" s="3147"/>
      <c r="D38" s="3148"/>
      <c r="E38" s="3149"/>
      <c r="F38" s="3149"/>
      <c r="G38" s="3149"/>
    </row>
    <row r="82" spans="6:9">
      <c r="F82">
        <v>100457435</v>
      </c>
      <c r="G82">
        <v>105480306.75</v>
      </c>
      <c r="I82">
        <v>110754322</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5"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580" t="s">
        <v>2527</v>
      </c>
      <c r="C1" s="1632" t="s">
        <v>2528</v>
      </c>
      <c r="D1" s="1619"/>
      <c r="E1" s="2581"/>
      <c r="F1" s="2582" t="s">
        <v>2529</v>
      </c>
      <c r="G1" s="1629" t="s">
        <v>2530</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1388</v>
      </c>
      <c r="B2" s="1417"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2532</v>
      </c>
      <c r="D3" s="399">
        <f>IF(D1="",'数据-汇总表'!E3,SUMIF('数据-汇总表'!$C19:$C33,D1,'数据-汇总表'!$E19:$E33))</f>
        <v>48162.54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2533</v>
      </c>
      <c r="B4" s="402"/>
      <c r="C4" s="3185" t="s">
        <v>2534</v>
      </c>
      <c r="D4" s="3186"/>
      <c r="E4" s="3187" t="s">
        <v>2535</v>
      </c>
      <c r="F4" s="3188"/>
      <c r="G4" s="3185" t="s">
        <v>2536</v>
      </c>
      <c r="H4" s="3186"/>
      <c r="I4" s="3185" t="s">
        <v>2537</v>
      </c>
      <c r="J4" s="3186"/>
      <c r="K4" s="2594" t="s">
        <v>2538</v>
      </c>
      <c r="L4" s="1130"/>
      <c r="M4" s="1131"/>
      <c r="N4" s="1131"/>
      <c r="O4" s="1131"/>
      <c r="P4" s="3189" t="s">
        <v>2539</v>
      </c>
      <c r="Q4" s="3190"/>
      <c r="R4" s="3195" t="s">
        <v>2535</v>
      </c>
      <c r="S4" s="3196"/>
      <c r="T4" s="3195" t="s">
        <v>2536</v>
      </c>
      <c r="U4" s="3196"/>
      <c r="V4" s="3201" t="s">
        <v>2537</v>
      </c>
      <c r="W4" s="3201"/>
      <c r="X4" s="1811"/>
      <c r="Y4" s="3195" t="s">
        <v>2539</v>
      </c>
      <c r="Z4" s="3196"/>
      <c r="AA4" s="3182" t="s">
        <v>2535</v>
      </c>
      <c r="AB4" s="3182" t="s">
        <v>2536</v>
      </c>
      <c r="AC4" s="3182" t="s">
        <v>2537</v>
      </c>
    </row>
    <row r="5" spans="1:29">
      <c r="A5" s="404"/>
      <c r="B5" s="405"/>
      <c r="C5" s="3204" t="s">
        <v>2540</v>
      </c>
      <c r="D5" s="3205"/>
      <c r="E5" s="3211" t="s">
        <v>2541</v>
      </c>
      <c r="F5" s="3212"/>
      <c r="G5" s="3204" t="s">
        <v>2542</v>
      </c>
      <c r="H5" s="3205"/>
      <c r="I5" s="3204" t="s">
        <v>2543</v>
      </c>
      <c r="J5" s="3205"/>
      <c r="K5" s="2595"/>
      <c r="L5" s="1130"/>
      <c r="M5" s="1131"/>
      <c r="N5" s="1131"/>
      <c r="O5" s="1131"/>
      <c r="P5" s="3191"/>
      <c r="Q5" s="3192"/>
      <c r="R5" s="3197"/>
      <c r="S5" s="3198"/>
      <c r="T5" s="3197"/>
      <c r="U5" s="3198"/>
      <c r="V5" s="3201"/>
      <c r="W5" s="3201"/>
      <c r="X5" s="1811"/>
      <c r="Y5" s="3197"/>
      <c r="Z5" s="3198"/>
      <c r="AA5" s="3183"/>
      <c r="AB5" s="3183"/>
      <c r="AC5" s="3183"/>
    </row>
    <row r="6" spans="1:29" ht="15" thickBot="1">
      <c r="A6" s="406"/>
      <c r="B6" s="407"/>
      <c r="C6" s="3202" t="s">
        <v>2544</v>
      </c>
      <c r="D6" s="3203"/>
      <c r="E6" s="3209" t="s">
        <v>2544</v>
      </c>
      <c r="F6" s="3210"/>
      <c r="G6" s="3202" t="s">
        <v>2544</v>
      </c>
      <c r="H6" s="3203"/>
      <c r="I6" s="3202" t="s">
        <v>2544</v>
      </c>
      <c r="J6" s="3203"/>
      <c r="K6" s="2595" t="s">
        <v>2545</v>
      </c>
      <c r="L6" s="1130"/>
      <c r="M6" s="1131"/>
      <c r="N6" s="1131"/>
      <c r="O6" s="1131"/>
      <c r="P6" s="3193"/>
      <c r="Q6" s="3194"/>
      <c r="R6" s="3197"/>
      <c r="S6" s="3198"/>
      <c r="T6" s="3199"/>
      <c r="U6" s="3200"/>
      <c r="V6" s="3201"/>
      <c r="W6" s="3201"/>
      <c r="X6" s="1811"/>
      <c r="Y6" s="3199"/>
      <c r="Z6" s="3200"/>
      <c r="AA6" s="3184"/>
      <c r="AB6" s="3184"/>
      <c r="AC6" s="3184"/>
    </row>
    <row r="7" spans="1:29" s="117" customFormat="1" ht="15" thickBot="1">
      <c r="A7" s="408" t="s">
        <v>2546</v>
      </c>
      <c r="B7" s="409"/>
      <c r="C7" s="410">
        <f>'数据-取费表'!B2</f>
        <v>43918</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6" t="s">
        <v>2547</v>
      </c>
      <c r="Q7" s="3208"/>
      <c r="R7" s="770" t="s">
        <v>23</v>
      </c>
      <c r="S7" s="771">
        <f t="shared" ref="S7:S15" si="0">F7</f>
        <v>0</v>
      </c>
      <c r="T7" s="770" t="s">
        <v>23</v>
      </c>
      <c r="U7" s="771">
        <f t="shared" ref="U7:U15" si="1">H7</f>
        <v>0</v>
      </c>
      <c r="V7" s="770" t="s">
        <v>23</v>
      </c>
      <c r="W7" s="771">
        <f t="shared" ref="W7:W15" si="2">J7</f>
        <v>0</v>
      </c>
      <c r="X7" s="772"/>
      <c r="Y7" s="3206" t="s">
        <v>2547</v>
      </c>
      <c r="Z7" s="3207"/>
      <c r="AA7" s="773" t="e">
        <f>D7/F7</f>
        <v>#DIV/0!</v>
      </c>
      <c r="AB7" s="773" t="e">
        <f>D7/H7</f>
        <v>#DIV/0!</v>
      </c>
      <c r="AC7" s="773" t="e">
        <f>D7/J7</f>
        <v>#DIV/0!</v>
      </c>
    </row>
    <row r="8" spans="1:29" s="117" customFormat="1" ht="1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6" t="s">
        <v>2550</v>
      </c>
      <c r="Q8" s="3207"/>
      <c r="R8" s="770" t="s">
        <v>23</v>
      </c>
      <c r="S8" s="771">
        <f t="shared" si="0"/>
        <v>0</v>
      </c>
      <c r="T8" s="770" t="s">
        <v>23</v>
      </c>
      <c r="U8" s="771">
        <f t="shared" si="1"/>
        <v>0</v>
      </c>
      <c r="V8" s="770" t="s">
        <v>23</v>
      </c>
      <c r="W8" s="771">
        <f t="shared" si="2"/>
        <v>0</v>
      </c>
      <c r="X8" s="772"/>
      <c r="Y8" s="3206" t="s">
        <v>2550</v>
      </c>
      <c r="Z8" s="3207"/>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1" t="s">
        <v>2553</v>
      </c>
      <c r="Q9" s="1793" t="str">
        <f t="shared" ref="Q9:Q15" si="6">B9</f>
        <v>用途</v>
      </c>
      <c r="R9" s="770" t="s">
        <v>17</v>
      </c>
      <c r="S9" s="771">
        <f t="shared" si="0"/>
        <v>100</v>
      </c>
      <c r="T9" s="770" t="s">
        <v>17</v>
      </c>
      <c r="U9" s="771">
        <f t="shared" si="1"/>
        <v>100</v>
      </c>
      <c r="V9" s="770" t="s">
        <v>17</v>
      </c>
      <c r="W9" s="771">
        <f t="shared" si="2"/>
        <v>100</v>
      </c>
      <c r="X9" s="772"/>
      <c r="Y9" s="299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3"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1"/>
      <c r="Q12" s="1793">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1"/>
      <c r="Q13" s="1793">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1"/>
      <c r="Q14" s="1793">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6.6">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9" t="s">
        <v>2558</v>
      </c>
      <c r="Q15" s="1808" t="str">
        <f t="shared" si="6"/>
        <v>居住社区成熟度</v>
      </c>
      <c r="R15" s="774" t="s">
        <v>21</v>
      </c>
      <c r="S15" s="775">
        <f t="shared" si="0"/>
        <v>100</v>
      </c>
      <c r="T15" s="774" t="s">
        <v>21</v>
      </c>
      <c r="U15" s="775">
        <f t="shared" si="1"/>
        <v>100</v>
      </c>
      <c r="V15" s="774" t="s">
        <v>21</v>
      </c>
      <c r="W15" s="775">
        <f t="shared" si="2"/>
        <v>100</v>
      </c>
      <c r="X15" s="1811"/>
      <c r="Y15" s="3172" t="s">
        <v>2558</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40"/>
      <c r="M16" s="1131"/>
      <c r="N16" s="1131"/>
      <c r="O16" s="1131"/>
      <c r="P16" s="3180"/>
      <c r="Q16" s="1808"/>
      <c r="R16" s="774"/>
      <c r="S16" s="775"/>
      <c r="T16" s="774"/>
      <c r="U16" s="775"/>
      <c r="V16" s="774"/>
      <c r="W16" s="775"/>
      <c r="X16" s="1811"/>
      <c r="Y16" s="3173"/>
      <c r="Z16" s="1812"/>
      <c r="AA16" s="1809">
        <v>1</v>
      </c>
      <c r="AB16" s="1809">
        <v>1</v>
      </c>
      <c r="AC16" s="1809">
        <v>1</v>
      </c>
    </row>
    <row r="17" spans="1:29" ht="82.8">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0"/>
      <c r="Q17" s="1808" t="str">
        <f>B17</f>
        <v>交通便捷度</v>
      </c>
      <c r="R17" s="774" t="s">
        <v>21</v>
      </c>
      <c r="S17" s="775">
        <f>F17</f>
        <v>100</v>
      </c>
      <c r="T17" s="774" t="s">
        <v>21</v>
      </c>
      <c r="U17" s="775">
        <f>H17</f>
        <v>100</v>
      </c>
      <c r="V17" s="774" t="s">
        <v>21</v>
      </c>
      <c r="W17" s="775">
        <f>J17</f>
        <v>100</v>
      </c>
      <c r="X17" s="1811"/>
      <c r="Y17" s="3173"/>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40"/>
      <c r="M18" s="1131"/>
      <c r="N18" s="1131"/>
      <c r="O18" s="1131"/>
      <c r="P18" s="3180"/>
      <c r="Q18" s="1808"/>
      <c r="R18" s="774"/>
      <c r="S18" s="775"/>
      <c r="T18" s="774"/>
      <c r="U18" s="775"/>
      <c r="V18" s="774"/>
      <c r="W18" s="775"/>
      <c r="X18" s="1811"/>
      <c r="Y18" s="3173"/>
      <c r="Z18" s="1812"/>
      <c r="AA18" s="1809">
        <v>1</v>
      </c>
      <c r="AB18" s="1809">
        <v>1</v>
      </c>
      <c r="AC18" s="1809">
        <v>1</v>
      </c>
    </row>
    <row r="19" spans="1:29" ht="41.4">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0"/>
      <c r="Q19" s="1808" t="str">
        <f>B19</f>
        <v>公共配套设施</v>
      </c>
      <c r="R19" s="774" t="s">
        <v>21</v>
      </c>
      <c r="S19" s="775">
        <f>F19</f>
        <v>100</v>
      </c>
      <c r="T19" s="774" t="s">
        <v>21</v>
      </c>
      <c r="U19" s="775">
        <f>H19</f>
        <v>100</v>
      </c>
      <c r="V19" s="774" t="s">
        <v>21</v>
      </c>
      <c r="W19" s="775">
        <f>J19</f>
        <v>100</v>
      </c>
      <c r="X19" s="1811"/>
      <c r="Y19" s="3173"/>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40"/>
      <c r="M20" s="1131"/>
      <c r="N20" s="1131"/>
      <c r="O20" s="1131"/>
      <c r="P20" s="3180"/>
      <c r="Q20" s="1808"/>
      <c r="R20" s="774"/>
      <c r="S20" s="775"/>
      <c r="T20" s="774"/>
      <c r="U20" s="775"/>
      <c r="V20" s="774"/>
      <c r="W20" s="775"/>
      <c r="X20" s="1811"/>
      <c r="Y20" s="3173"/>
      <c r="Z20" s="1812"/>
      <c r="AA20" s="1809">
        <v>1</v>
      </c>
      <c r="AB20" s="1809">
        <v>1</v>
      </c>
      <c r="AC20" s="1809">
        <v>1</v>
      </c>
    </row>
    <row r="21" spans="1:29" ht="27.6">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0"/>
      <c r="Q21" s="1808" t="str">
        <f>B21</f>
        <v>基础设施水平</v>
      </c>
      <c r="R21" s="774" t="s">
        <v>17</v>
      </c>
      <c r="S21" s="775">
        <f>F21</f>
        <v>100</v>
      </c>
      <c r="T21" s="774" t="s">
        <v>17</v>
      </c>
      <c r="U21" s="775">
        <f>H21</f>
        <v>100</v>
      </c>
      <c r="V21" s="774" t="s">
        <v>17</v>
      </c>
      <c r="W21" s="775">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8"/>
      <c r="G22" s="2609"/>
      <c r="H22" s="448"/>
      <c r="I22" s="447"/>
      <c r="J22" s="448"/>
      <c r="K22" s="2610"/>
      <c r="L22" s="1140"/>
      <c r="M22" s="1131"/>
      <c r="N22" s="1131"/>
      <c r="O22" s="1131"/>
      <c r="P22" s="3180"/>
      <c r="Q22" s="1808"/>
      <c r="R22" s="774"/>
      <c r="S22" s="775"/>
      <c r="T22" s="774"/>
      <c r="U22" s="775"/>
      <c r="V22" s="774"/>
      <c r="W22" s="775"/>
      <c r="X22" s="1811"/>
      <c r="Y22" s="3173"/>
      <c r="Z22" s="1812"/>
      <c r="AA22" s="1809">
        <v>1</v>
      </c>
      <c r="AB22" s="1809">
        <v>1</v>
      </c>
      <c r="AC22" s="1809">
        <v>1</v>
      </c>
    </row>
    <row r="23" spans="1:29" ht="55.2">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0"/>
      <c r="Q23" s="1808" t="str">
        <f>B23</f>
        <v>自然及人文环境</v>
      </c>
      <c r="R23" s="774" t="s">
        <v>21</v>
      </c>
      <c r="S23" s="775">
        <f>F23</f>
        <v>100</v>
      </c>
      <c r="T23" s="774" t="s">
        <v>21</v>
      </c>
      <c r="U23" s="775">
        <f>H23</f>
        <v>100</v>
      </c>
      <c r="V23" s="774" t="s">
        <v>21</v>
      </c>
      <c r="W23" s="775">
        <f>J23</f>
        <v>100</v>
      </c>
      <c r="X23" s="1811"/>
      <c r="Y23" s="3173"/>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40"/>
      <c r="M24" s="1131"/>
      <c r="N24" s="1131"/>
      <c r="O24" s="1131"/>
      <c r="P24" s="3180"/>
      <c r="Q24" s="1808"/>
      <c r="R24" s="774"/>
      <c r="S24" s="775"/>
      <c r="T24" s="774"/>
      <c r="U24" s="775"/>
      <c r="V24" s="774"/>
      <c r="W24" s="775"/>
      <c r="X24" s="1811"/>
      <c r="Y24" s="3173"/>
      <c r="Z24" s="1812"/>
      <c r="AA24" s="1809">
        <v>1</v>
      </c>
      <c r="AB24" s="1809">
        <v>1</v>
      </c>
      <c r="AC24" s="1809">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0"/>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73"/>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0"/>
      <c r="Q26" s="1808" t="str">
        <f t="shared" si="11"/>
        <v>朝向</v>
      </c>
      <c r="R26" s="774" t="s">
        <v>21</v>
      </c>
      <c r="S26" s="775">
        <f t="shared" si="12"/>
        <v>100</v>
      </c>
      <c r="T26" s="774" t="s">
        <v>21</v>
      </c>
      <c r="U26" s="775">
        <f t="shared" si="13"/>
        <v>100</v>
      </c>
      <c r="V26" s="774" t="s">
        <v>21</v>
      </c>
      <c r="W26" s="775">
        <f t="shared" si="14"/>
        <v>100</v>
      </c>
      <c r="X26" s="1811"/>
      <c r="Y26" s="3173"/>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0"/>
      <c r="Q27" s="1793">
        <f t="shared" si="11"/>
        <v>111</v>
      </c>
      <c r="R27" s="770" t="s">
        <v>21</v>
      </c>
      <c r="S27" s="771">
        <f t="shared" si="12"/>
        <v>100</v>
      </c>
      <c r="T27" s="770" t="s">
        <v>21</v>
      </c>
      <c r="U27" s="771">
        <f t="shared" si="13"/>
        <v>100</v>
      </c>
      <c r="V27" s="770" t="s">
        <v>21</v>
      </c>
      <c r="W27" s="771">
        <f t="shared" si="14"/>
        <v>100</v>
      </c>
      <c r="X27" s="772"/>
      <c r="Y27" s="3173"/>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0"/>
      <c r="Q28" s="1808">
        <f t="shared" si="11"/>
        <v>111</v>
      </c>
      <c r="R28" s="774" t="s">
        <v>21</v>
      </c>
      <c r="S28" s="775">
        <f t="shared" si="12"/>
        <v>100</v>
      </c>
      <c r="T28" s="774" t="s">
        <v>21</v>
      </c>
      <c r="U28" s="775">
        <f t="shared" si="13"/>
        <v>100</v>
      </c>
      <c r="V28" s="774" t="s">
        <v>21</v>
      </c>
      <c r="W28" s="775">
        <f t="shared" si="14"/>
        <v>100</v>
      </c>
      <c r="X28" s="1811"/>
      <c r="Y28" s="3173"/>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0"/>
      <c r="Q29" s="1808">
        <f t="shared" si="11"/>
        <v>111</v>
      </c>
      <c r="R29" s="774" t="s">
        <v>21</v>
      </c>
      <c r="S29" s="775">
        <f t="shared" si="12"/>
        <v>100</v>
      </c>
      <c r="T29" s="774" t="s">
        <v>21</v>
      </c>
      <c r="U29" s="775">
        <f t="shared" si="13"/>
        <v>100</v>
      </c>
      <c r="V29" s="774" t="s">
        <v>21</v>
      </c>
      <c r="W29" s="775">
        <f t="shared" si="14"/>
        <v>100</v>
      </c>
      <c r="X29" s="1811"/>
      <c r="Y29" s="3173"/>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0"/>
      <c r="Q30" s="1808">
        <f t="shared" si="11"/>
        <v>111</v>
      </c>
      <c r="R30" s="774" t="s">
        <v>21</v>
      </c>
      <c r="S30" s="775">
        <f t="shared" si="12"/>
        <v>100</v>
      </c>
      <c r="T30" s="774" t="s">
        <v>21</v>
      </c>
      <c r="U30" s="775">
        <f t="shared" si="13"/>
        <v>100</v>
      </c>
      <c r="V30" s="774" t="s">
        <v>21</v>
      </c>
      <c r="W30" s="775">
        <f t="shared" si="14"/>
        <v>100</v>
      </c>
      <c r="X30" s="1811"/>
      <c r="Y30" s="3173"/>
      <c r="Z30" s="1812">
        <f t="shared" si="18"/>
        <v>111</v>
      </c>
      <c r="AA30" s="1809">
        <f t="shared" si="15"/>
        <v>1</v>
      </c>
      <c r="AB30" s="1809">
        <f t="shared" si="16"/>
        <v>1</v>
      </c>
      <c r="AC30" s="1809">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0"/>
      <c r="Q31" s="1808">
        <f t="shared" si="11"/>
        <v>111</v>
      </c>
      <c r="R31" s="774" t="s">
        <v>21</v>
      </c>
      <c r="S31" s="775">
        <f t="shared" si="12"/>
        <v>100</v>
      </c>
      <c r="T31" s="774" t="s">
        <v>21</v>
      </c>
      <c r="U31" s="775">
        <f t="shared" si="13"/>
        <v>100</v>
      </c>
      <c r="V31" s="774" t="s">
        <v>21</v>
      </c>
      <c r="W31" s="775">
        <f t="shared" si="14"/>
        <v>100</v>
      </c>
      <c r="X31" s="1811"/>
      <c r="Y31" s="3173"/>
      <c r="Z31" s="1812">
        <f t="shared" si="18"/>
        <v>111</v>
      </c>
      <c r="AA31" s="1809">
        <f t="shared" si="15"/>
        <v>1</v>
      </c>
      <c r="AB31" s="1809">
        <f t="shared" si="16"/>
        <v>1</v>
      </c>
      <c r="AC31" s="1809">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74" t="s">
        <v>2563</v>
      </c>
      <c r="Q32" s="1808" t="str">
        <f t="shared" si="11"/>
        <v>建筑类型</v>
      </c>
      <c r="R32" s="774" t="s">
        <v>21</v>
      </c>
      <c r="S32" s="775">
        <f t="shared" si="12"/>
        <v>100</v>
      </c>
      <c r="T32" s="774" t="s">
        <v>21</v>
      </c>
      <c r="U32" s="775">
        <f t="shared" si="13"/>
        <v>100</v>
      </c>
      <c r="V32" s="774" t="s">
        <v>21</v>
      </c>
      <c r="W32" s="775">
        <f t="shared" si="14"/>
        <v>100</v>
      </c>
      <c r="X32" s="1811"/>
      <c r="Y32" s="3177"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75"/>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09" t="e">
        <f t="shared" si="15"/>
        <v>#N/A</v>
      </c>
      <c r="AB33" s="1809" t="e">
        <f t="shared" si="16"/>
        <v>#N/A</v>
      </c>
      <c r="AC33" s="1809"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75"/>
      <c r="Q34" s="1808" t="str">
        <f t="shared" si="11"/>
        <v>建筑结构</v>
      </c>
      <c r="R34" s="774" t="s">
        <v>21</v>
      </c>
      <c r="S34" s="775">
        <f t="shared" si="12"/>
        <v>100</v>
      </c>
      <c r="T34" s="774" t="s">
        <v>21</v>
      </c>
      <c r="U34" s="775">
        <f t="shared" si="13"/>
        <v>100</v>
      </c>
      <c r="V34" s="774" t="s">
        <v>21</v>
      </c>
      <c r="W34" s="775">
        <f t="shared" si="14"/>
        <v>100</v>
      </c>
      <c r="X34" s="1811"/>
      <c r="Y34" s="3177"/>
      <c r="Z34" s="1812" t="str">
        <f t="shared" si="18"/>
        <v>建筑结构</v>
      </c>
      <c r="AA34" s="1809">
        <f t="shared" si="15"/>
        <v>1</v>
      </c>
      <c r="AB34" s="1809">
        <f t="shared" si="16"/>
        <v>1</v>
      </c>
      <c r="AC34" s="1809">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75"/>
      <c r="Q35" s="1808" t="str">
        <f t="shared" si="11"/>
        <v>建筑品质</v>
      </c>
      <c r="R35" s="774" t="s">
        <v>21</v>
      </c>
      <c r="S35" s="775">
        <f t="shared" si="12"/>
        <v>100</v>
      </c>
      <c r="T35" s="774" t="s">
        <v>21</v>
      </c>
      <c r="U35" s="775">
        <f t="shared" si="13"/>
        <v>100</v>
      </c>
      <c r="V35" s="774" t="s">
        <v>21</v>
      </c>
      <c r="W35" s="775">
        <f t="shared" si="14"/>
        <v>100</v>
      </c>
      <c r="X35" s="1811"/>
      <c r="Y35" s="3177"/>
      <c r="Z35" s="1812" t="str">
        <f t="shared" si="18"/>
        <v>建筑品质</v>
      </c>
      <c r="AA35" s="1809">
        <f t="shared" si="15"/>
        <v>1</v>
      </c>
      <c r="AB35" s="1809">
        <f t="shared" si="16"/>
        <v>1</v>
      </c>
      <c r="AC35" s="1809">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75"/>
      <c r="Q36" s="1808" t="str">
        <f t="shared" si="11"/>
        <v>公共部分装修</v>
      </c>
      <c r="R36" s="774" t="s">
        <v>21</v>
      </c>
      <c r="S36" s="775">
        <f t="shared" si="12"/>
        <v>100</v>
      </c>
      <c r="T36" s="774" t="s">
        <v>21</v>
      </c>
      <c r="U36" s="775">
        <f t="shared" si="13"/>
        <v>100</v>
      </c>
      <c r="V36" s="774" t="s">
        <v>21</v>
      </c>
      <c r="W36" s="775">
        <f t="shared" si="14"/>
        <v>100</v>
      </c>
      <c r="X36" s="1811"/>
      <c r="Y36" s="3177"/>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5"/>
      <c r="Q37" s="1793"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75" t="s">
        <v>2563</v>
      </c>
      <c r="Q38" s="1808" t="str">
        <f t="shared" si="11"/>
        <v>物业管理</v>
      </c>
      <c r="R38" s="774" t="s">
        <v>21</v>
      </c>
      <c r="S38" s="775">
        <f t="shared" si="12"/>
        <v>100</v>
      </c>
      <c r="T38" s="774" t="s">
        <v>21</v>
      </c>
      <c r="U38" s="775">
        <f t="shared" si="13"/>
        <v>100</v>
      </c>
      <c r="V38" s="774" t="s">
        <v>21</v>
      </c>
      <c r="W38" s="775">
        <f t="shared" si="14"/>
        <v>100</v>
      </c>
      <c r="X38" s="1811"/>
      <c r="Y38" s="3177" t="s">
        <v>2563</v>
      </c>
      <c r="Z38" s="1812" t="str">
        <f t="shared" si="18"/>
        <v>物业管理</v>
      </c>
      <c r="AA38" s="1809">
        <f t="shared" si="15"/>
        <v>1</v>
      </c>
      <c r="AB38" s="1809">
        <f t="shared" si="16"/>
        <v>1</v>
      </c>
      <c r="AC38" s="1809">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75"/>
      <c r="Q39" s="1808" t="str">
        <f t="shared" si="11"/>
        <v>市政基础设施</v>
      </c>
      <c r="R39" s="774" t="s">
        <v>21</v>
      </c>
      <c r="S39" s="775">
        <f t="shared" si="12"/>
        <v>100</v>
      </c>
      <c r="T39" s="774" t="s">
        <v>21</v>
      </c>
      <c r="U39" s="775">
        <f t="shared" si="13"/>
        <v>100</v>
      </c>
      <c r="V39" s="774" t="s">
        <v>21</v>
      </c>
      <c r="W39" s="775">
        <f t="shared" si="14"/>
        <v>100</v>
      </c>
      <c r="X39" s="1811"/>
      <c r="Y39" s="3177"/>
      <c r="Z39" s="1812" t="str">
        <f t="shared" si="18"/>
        <v>市政基础设施</v>
      </c>
      <c r="AA39" s="1809">
        <f t="shared" si="15"/>
        <v>1</v>
      </c>
      <c r="AB39" s="1809">
        <f t="shared" si="16"/>
        <v>1</v>
      </c>
      <c r="AC39" s="1809">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75"/>
      <c r="Q40" s="1808" t="str">
        <f t="shared" si="11"/>
        <v>房型</v>
      </c>
      <c r="R40" s="774" t="s">
        <v>21</v>
      </c>
      <c r="S40" s="775">
        <f t="shared" si="12"/>
        <v>100</v>
      </c>
      <c r="T40" s="774" t="s">
        <v>21</v>
      </c>
      <c r="U40" s="775">
        <f t="shared" si="13"/>
        <v>100</v>
      </c>
      <c r="V40" s="774" t="s">
        <v>21</v>
      </c>
      <c r="W40" s="775">
        <f t="shared" si="14"/>
        <v>100</v>
      </c>
      <c r="X40" s="1811"/>
      <c r="Y40" s="3177"/>
      <c r="Z40" s="1812" t="str">
        <f t="shared" si="18"/>
        <v>房型</v>
      </c>
      <c r="AA40" s="1809">
        <f t="shared" si="15"/>
        <v>1</v>
      </c>
      <c r="AB40" s="1809">
        <f t="shared" si="16"/>
        <v>1</v>
      </c>
      <c r="AC40" s="1809">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75"/>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09">
        <f t="shared" si="15"/>
        <v>1</v>
      </c>
      <c r="AB41" s="1809">
        <f t="shared" si="16"/>
        <v>1</v>
      </c>
      <c r="AC41" s="1809">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75"/>
      <c r="Q42" s="1808" t="str">
        <f t="shared" si="11"/>
        <v>内部装修</v>
      </c>
      <c r="R42" s="774" t="s">
        <v>21</v>
      </c>
      <c r="S42" s="775">
        <f t="shared" si="12"/>
        <v>100</v>
      </c>
      <c r="T42" s="774" t="s">
        <v>21</v>
      </c>
      <c r="U42" s="775">
        <f t="shared" si="13"/>
        <v>100</v>
      </c>
      <c r="V42" s="774" t="s">
        <v>21</v>
      </c>
      <c r="W42" s="775">
        <f t="shared" si="14"/>
        <v>100</v>
      </c>
      <c r="X42" s="1811"/>
      <c r="Y42" s="3177"/>
      <c r="Z42" s="1812" t="str">
        <f t="shared" si="18"/>
        <v>内部装修</v>
      </c>
      <c r="AA42" s="1809">
        <f t="shared" si="15"/>
        <v>1</v>
      </c>
      <c r="AB42" s="1809">
        <f t="shared" si="16"/>
        <v>1</v>
      </c>
      <c r="AC42" s="1809">
        <f t="shared" si="17"/>
        <v>1</v>
      </c>
    </row>
    <row r="43" spans="1:29" ht="28.8">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75"/>
      <c r="Q43" s="1808" t="str">
        <f t="shared" si="11"/>
        <v>内部装修维护情况</v>
      </c>
      <c r="R43" s="774" t="s">
        <v>21</v>
      </c>
      <c r="S43" s="775">
        <f t="shared" si="12"/>
        <v>100</v>
      </c>
      <c r="T43" s="774" t="s">
        <v>21</v>
      </c>
      <c r="U43" s="775">
        <f t="shared" si="13"/>
        <v>100</v>
      </c>
      <c r="V43" s="774" t="s">
        <v>21</v>
      </c>
      <c r="W43" s="775">
        <f t="shared" si="14"/>
        <v>100</v>
      </c>
      <c r="X43" s="1811"/>
      <c r="Y43" s="3177"/>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75"/>
      <c r="Q44" s="1793">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75"/>
      <c r="Q45" s="1808">
        <f t="shared" si="11"/>
        <v>111</v>
      </c>
      <c r="R45" s="774" t="s">
        <v>21</v>
      </c>
      <c r="S45" s="775">
        <f t="shared" si="12"/>
        <v>100</v>
      </c>
      <c r="T45" s="774" t="s">
        <v>21</v>
      </c>
      <c r="U45" s="775">
        <f t="shared" si="13"/>
        <v>100</v>
      </c>
      <c r="V45" s="774" t="s">
        <v>21</v>
      </c>
      <c r="W45" s="775">
        <f t="shared" si="14"/>
        <v>100</v>
      </c>
      <c r="X45" s="1811"/>
      <c r="Y45" s="3177"/>
      <c r="Z45" s="1812">
        <f t="shared" si="18"/>
        <v>111</v>
      </c>
      <c r="AA45" s="1809">
        <f t="shared" si="15"/>
        <v>1</v>
      </c>
      <c r="AB45" s="1809">
        <f t="shared" si="16"/>
        <v>1</v>
      </c>
      <c r="AC45" s="1809">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76"/>
      <c r="Q46" s="1808">
        <f t="shared" si="11"/>
        <v>111</v>
      </c>
      <c r="R46" s="774" t="s">
        <v>20</v>
      </c>
      <c r="S46" s="775">
        <f t="shared" si="12"/>
        <v>100</v>
      </c>
      <c r="T46" s="774" t="s">
        <v>20</v>
      </c>
      <c r="U46" s="775">
        <f t="shared" si="13"/>
        <v>100</v>
      </c>
      <c r="V46" s="774" t="s">
        <v>20</v>
      </c>
      <c r="W46" s="775">
        <f t="shared" si="14"/>
        <v>100</v>
      </c>
      <c r="X46" s="1811"/>
      <c r="Y46" s="3178"/>
      <c r="Z46" s="1812">
        <f t="shared" si="18"/>
        <v>111</v>
      </c>
      <c r="AA46" s="1809">
        <f t="shared" si="15"/>
        <v>1</v>
      </c>
      <c r="AB46" s="1809">
        <f t="shared" si="16"/>
        <v>1</v>
      </c>
      <c r="AC46" s="1809">
        <f t="shared" si="17"/>
        <v>1</v>
      </c>
    </row>
    <row r="47" spans="1:29" ht="14.4">
      <c r="A47" s="479" t="s">
        <v>2575</v>
      </c>
      <c r="B47" s="480"/>
      <c r="C47" s="1406" t="s">
        <v>19</v>
      </c>
      <c r="D47" s="1407"/>
      <c r="E47" s="1408"/>
      <c r="F47" s="1409"/>
      <c r="G47" s="1410"/>
      <c r="H47" s="1411"/>
      <c r="I47" s="1408"/>
      <c r="J47" s="1411"/>
      <c r="K47" s="2619"/>
      <c r="L47" s="1143"/>
      <c r="M47" s="1144"/>
      <c r="N47" s="1131"/>
      <c r="O47" s="1144"/>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 thickBot="1">
      <c r="A48" s="486" t="s">
        <v>2576</v>
      </c>
      <c r="B48" s="487"/>
      <c r="C48" s="1412" t="e">
        <f>R49</f>
        <v>#DIV/0!</v>
      </c>
      <c r="D48" s="1413"/>
      <c r="E48" s="1414" t="e">
        <f>R48</f>
        <v>#DIV/0!</v>
      </c>
      <c r="F48" s="1414"/>
      <c r="G48" s="1412" t="e">
        <f>T48</f>
        <v>#DIV/0!</v>
      </c>
      <c r="H48" s="1413"/>
      <c r="I48" s="1414" t="e">
        <f>V48</f>
        <v>#DIV/0!</v>
      </c>
      <c r="J48" s="1413"/>
      <c r="K48" s="2620"/>
      <c r="L48" s="1143"/>
      <c r="M48" s="1144"/>
      <c r="N48" s="1144"/>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 thickBot="1">
      <c r="A49" s="492" t="s">
        <v>2577</v>
      </c>
      <c r="B49" s="493"/>
      <c r="C49" s="1415" t="e">
        <f>R49</f>
        <v>#DIV/0!</v>
      </c>
      <c r="D49" s="1416"/>
      <c r="E49" s="1416"/>
      <c r="F49" s="1416"/>
      <c r="G49" s="1416"/>
      <c r="H49" s="1416"/>
      <c r="I49" s="1416"/>
      <c r="J49" s="1416"/>
      <c r="K49" s="2621"/>
      <c r="L49" s="1143"/>
      <c r="M49" s="1144"/>
      <c r="N49" s="1144"/>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c r="A59" s="509"/>
      <c r="B59" s="2625"/>
      <c r="C59" s="1571">
        <v>100</v>
      </c>
      <c r="D59" s="511"/>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580" t="s">
        <v>2640</v>
      </c>
      <c r="C1" s="1632" t="s">
        <v>2528</v>
      </c>
      <c r="D1" s="1619"/>
      <c r="E1" s="2655"/>
      <c r="F1" s="2582"/>
      <c r="G1" s="1629" t="s">
        <v>2641</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2325</v>
      </c>
      <c r="B2" s="1417"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48162.54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201" t="s">
        <v>2646</v>
      </c>
      <c r="AC4" s="3182" t="s">
        <v>2647</v>
      </c>
    </row>
    <row r="5" spans="1:29">
      <c r="A5" s="404"/>
      <c r="B5" s="405"/>
      <c r="C5" s="3204" t="s">
        <v>2540</v>
      </c>
      <c r="D5" s="3205"/>
      <c r="E5" s="3211" t="s">
        <v>2541</v>
      </c>
      <c r="F5" s="3212"/>
      <c r="G5" s="3204" t="s">
        <v>2542</v>
      </c>
      <c r="H5" s="3205"/>
      <c r="I5" s="3204" t="s">
        <v>2543</v>
      </c>
      <c r="J5" s="3205"/>
      <c r="K5" s="610"/>
      <c r="L5" s="1130"/>
      <c r="M5" s="1131"/>
      <c r="N5" s="1131"/>
      <c r="O5" s="1131"/>
      <c r="P5" s="3191"/>
      <c r="Q5" s="3192"/>
      <c r="R5" s="3197"/>
      <c r="S5" s="3198"/>
      <c r="T5" s="3197"/>
      <c r="U5" s="3198"/>
      <c r="V5" s="3201"/>
      <c r="W5" s="3201"/>
      <c r="X5" s="1811"/>
      <c r="Y5" s="3197"/>
      <c r="Z5" s="3198"/>
      <c r="AA5" s="3183"/>
      <c r="AB5" s="3201"/>
      <c r="AC5" s="3183"/>
    </row>
    <row r="6" spans="1:29" ht="15" thickBot="1">
      <c r="A6" s="406"/>
      <c r="B6" s="407"/>
      <c r="C6" s="3202" t="s">
        <v>2544</v>
      </c>
      <c r="D6" s="3203"/>
      <c r="E6" s="3209" t="s">
        <v>2544</v>
      </c>
      <c r="F6" s="3210"/>
      <c r="G6" s="3202" t="s">
        <v>2544</v>
      </c>
      <c r="H6" s="3203"/>
      <c r="I6" s="3202" t="s">
        <v>2544</v>
      </c>
      <c r="J6" s="3203"/>
      <c r="K6" s="610" t="s">
        <v>2545</v>
      </c>
      <c r="L6" s="1130"/>
      <c r="M6" s="1131"/>
      <c r="N6" s="1131"/>
      <c r="O6" s="1131"/>
      <c r="P6" s="3193"/>
      <c r="Q6" s="3194"/>
      <c r="R6" s="3197"/>
      <c r="S6" s="3198"/>
      <c r="T6" s="3199"/>
      <c r="U6" s="3200"/>
      <c r="V6" s="3201"/>
      <c r="W6" s="3201"/>
      <c r="X6" s="1811"/>
      <c r="Y6" s="3199"/>
      <c r="Z6" s="3200"/>
      <c r="AA6" s="3184"/>
      <c r="AB6" s="3201"/>
      <c r="AC6" s="3184"/>
    </row>
    <row r="7" spans="1:29" s="117" customFormat="1" ht="15" thickBot="1">
      <c r="A7" s="408" t="s">
        <v>2546</v>
      </c>
      <c r="B7" s="409"/>
      <c r="C7" s="410">
        <f>'数据-取费表'!B2</f>
        <v>43918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6" t="s">
        <v>2547</v>
      </c>
      <c r="Q7" s="3208"/>
      <c r="R7" s="770" t="s">
        <v>17</v>
      </c>
      <c r="S7" s="771">
        <f t="shared" ref="S7:S15" si="0">F7</f>
        <v>0</v>
      </c>
      <c r="T7" s="770" t="s">
        <v>17</v>
      </c>
      <c r="U7" s="771">
        <f t="shared" ref="U7:U15" si="1">H7</f>
        <v>0</v>
      </c>
      <c r="V7" s="770" t="s">
        <v>17</v>
      </c>
      <c r="W7" s="771">
        <f t="shared" ref="W7:W15" si="2">J7</f>
        <v>0</v>
      </c>
      <c r="X7" s="772"/>
      <c r="Y7" s="3206" t="s">
        <v>2547</v>
      </c>
      <c r="Z7" s="3207"/>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6" t="s">
        <v>2550</v>
      </c>
      <c r="Q8" s="3207"/>
      <c r="R8" s="770" t="s">
        <v>17</v>
      </c>
      <c r="S8" s="771">
        <f t="shared" si="0"/>
        <v>0</v>
      </c>
      <c r="T8" s="770" t="s">
        <v>17</v>
      </c>
      <c r="U8" s="771">
        <f t="shared" si="1"/>
        <v>0</v>
      </c>
      <c r="V8" s="770" t="s">
        <v>17</v>
      </c>
      <c r="W8" s="771">
        <f t="shared" si="2"/>
        <v>0</v>
      </c>
      <c r="X8" s="772"/>
      <c r="Y8" s="3206" t="s">
        <v>2550</v>
      </c>
      <c r="Z8" s="3207"/>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2553</v>
      </c>
      <c r="Q9" s="1793" t="str">
        <f t="shared" ref="Q9:Q15" si="6">B9</f>
        <v>用途</v>
      </c>
      <c r="R9" s="770" t="s">
        <v>17</v>
      </c>
      <c r="S9" s="771">
        <f t="shared" si="0"/>
        <v>100</v>
      </c>
      <c r="T9" s="770" t="s">
        <v>17</v>
      </c>
      <c r="U9" s="771">
        <f t="shared" si="1"/>
        <v>100</v>
      </c>
      <c r="V9" s="770" t="s">
        <v>17</v>
      </c>
      <c r="W9" s="771">
        <f t="shared" si="2"/>
        <v>100</v>
      </c>
      <c r="X9" s="772"/>
      <c r="Y9" s="299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3"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3">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69">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9" t="s">
        <v>2558</v>
      </c>
      <c r="Q15" s="1808" t="str">
        <f t="shared" si="6"/>
        <v>商业繁华度</v>
      </c>
      <c r="R15" s="774" t="s">
        <v>17</v>
      </c>
      <c r="S15" s="775">
        <f t="shared" si="0"/>
        <v>100</v>
      </c>
      <c r="T15" s="774" t="s">
        <v>17</v>
      </c>
      <c r="U15" s="775">
        <f t="shared" si="1"/>
        <v>100</v>
      </c>
      <c r="V15" s="774" t="s">
        <v>17</v>
      </c>
      <c r="W15" s="775">
        <f t="shared" si="2"/>
        <v>100</v>
      </c>
      <c r="X15" s="1811"/>
      <c r="Y15" s="3172"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180"/>
      <c r="Q16" s="1808"/>
      <c r="R16" s="774"/>
      <c r="S16" s="775"/>
      <c r="T16" s="774"/>
      <c r="U16" s="775"/>
      <c r="V16" s="774"/>
      <c r="W16" s="775"/>
      <c r="X16" s="1811"/>
      <c r="Y16" s="3173"/>
      <c r="Z16" s="1812"/>
      <c r="AA16" s="1809">
        <v>1</v>
      </c>
      <c r="AB16" s="1809">
        <v>1</v>
      </c>
      <c r="AC16" s="1809">
        <v>1</v>
      </c>
    </row>
    <row r="17" spans="1:29" ht="82.8">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0"/>
      <c r="Q17" s="1808" t="str">
        <f>B17</f>
        <v>交通便捷度</v>
      </c>
      <c r="R17" s="774" t="s">
        <v>17</v>
      </c>
      <c r="S17" s="775">
        <f>F17</f>
        <v>100</v>
      </c>
      <c r="T17" s="774" t="s">
        <v>17</v>
      </c>
      <c r="U17" s="775">
        <f>H17</f>
        <v>100</v>
      </c>
      <c r="V17" s="774" t="s">
        <v>17</v>
      </c>
      <c r="W17" s="775">
        <f>J17</f>
        <v>100</v>
      </c>
      <c r="X17" s="1811"/>
      <c r="Y17" s="3173"/>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1"/>
      <c r="P18" s="3180"/>
      <c r="Q18" s="1808"/>
      <c r="R18" s="774"/>
      <c r="S18" s="775"/>
      <c r="T18" s="774"/>
      <c r="U18" s="775"/>
      <c r="V18" s="774"/>
      <c r="W18" s="775"/>
      <c r="X18" s="1811"/>
      <c r="Y18" s="3173"/>
      <c r="Z18" s="1812"/>
      <c r="AA18" s="1809">
        <v>1</v>
      </c>
      <c r="AB18" s="1809">
        <v>1</v>
      </c>
      <c r="AC18" s="1809">
        <v>1</v>
      </c>
    </row>
    <row r="19" spans="1:29" ht="41.4">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0"/>
      <c r="Q19" s="1808" t="str">
        <f>B19</f>
        <v>公共配套设施</v>
      </c>
      <c r="R19" s="774" t="s">
        <v>17</v>
      </c>
      <c r="S19" s="775">
        <f>F19</f>
        <v>100</v>
      </c>
      <c r="T19" s="774" t="s">
        <v>17</v>
      </c>
      <c r="U19" s="775">
        <f>H19</f>
        <v>100</v>
      </c>
      <c r="V19" s="774" t="s">
        <v>17</v>
      </c>
      <c r="W19" s="775">
        <f>J19</f>
        <v>100</v>
      </c>
      <c r="X19" s="1811"/>
      <c r="Y19" s="3173"/>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1"/>
      <c r="P20" s="3180"/>
      <c r="Q20" s="1808"/>
      <c r="R20" s="774"/>
      <c r="S20" s="775"/>
      <c r="T20" s="774"/>
      <c r="U20" s="775"/>
      <c r="V20" s="774"/>
      <c r="W20" s="775"/>
      <c r="X20" s="1811"/>
      <c r="Y20" s="3173"/>
      <c r="Z20" s="1812"/>
      <c r="AA20" s="1809">
        <v>1</v>
      </c>
      <c r="AB20" s="1809">
        <v>1</v>
      </c>
      <c r="AC20" s="1809">
        <v>1</v>
      </c>
    </row>
    <row r="21" spans="1:29" ht="27.6">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0"/>
      <c r="Q21" s="1808" t="str">
        <f>B21</f>
        <v>基础设施水平</v>
      </c>
      <c r="R21" s="774" t="s">
        <v>17</v>
      </c>
      <c r="S21" s="775">
        <f>F21</f>
        <v>100</v>
      </c>
      <c r="T21" s="774" t="s">
        <v>17</v>
      </c>
      <c r="U21" s="775">
        <f>H21</f>
        <v>100</v>
      </c>
      <c r="V21" s="774" t="s">
        <v>17</v>
      </c>
      <c r="W21" s="775">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1"/>
      <c r="P22" s="3180"/>
      <c r="Q22" s="1808"/>
      <c r="R22" s="774"/>
      <c r="S22" s="775"/>
      <c r="T22" s="774"/>
      <c r="U22" s="775"/>
      <c r="V22" s="774"/>
      <c r="W22" s="775"/>
      <c r="X22" s="1811"/>
      <c r="Y22" s="3173"/>
      <c r="Z22" s="1812"/>
      <c r="AA22" s="1809">
        <v>1</v>
      </c>
      <c r="AB22" s="1809">
        <v>1</v>
      </c>
      <c r="AC22" s="1809">
        <v>1</v>
      </c>
    </row>
    <row r="23" spans="1:29" ht="55.2">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0"/>
      <c r="Q23" s="1808" t="str">
        <f>B23</f>
        <v>自然及人文环境</v>
      </c>
      <c r="R23" s="774" t="s">
        <v>17</v>
      </c>
      <c r="S23" s="775">
        <f>F23</f>
        <v>100</v>
      </c>
      <c r="T23" s="774" t="s">
        <v>17</v>
      </c>
      <c r="U23" s="775">
        <f>H23</f>
        <v>100</v>
      </c>
      <c r="V23" s="774" t="s">
        <v>17</v>
      </c>
      <c r="W23" s="775">
        <f>J23</f>
        <v>100</v>
      </c>
      <c r="X23" s="1811"/>
      <c r="Y23" s="3173"/>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40"/>
      <c r="M24" s="1131"/>
      <c r="N24" s="1131"/>
      <c r="O24" s="1131"/>
      <c r="P24" s="3180"/>
      <c r="Q24" s="1808"/>
      <c r="R24" s="774"/>
      <c r="S24" s="775"/>
      <c r="T24" s="774"/>
      <c r="U24" s="775"/>
      <c r="V24" s="774"/>
      <c r="W24" s="775"/>
      <c r="X24" s="1811"/>
      <c r="Y24" s="3173"/>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0"/>
      <c r="Q25" s="1808" t="str">
        <f t="shared" ref="Q25:Q46" si="11">B25</f>
        <v>临街状况</v>
      </c>
      <c r="R25" s="774" t="s">
        <v>17</v>
      </c>
      <c r="S25" s="775">
        <f>F25</f>
        <v>100</v>
      </c>
      <c r="T25" s="774" t="s">
        <v>17</v>
      </c>
      <c r="U25" s="775">
        <f>H25</f>
        <v>100</v>
      </c>
      <c r="V25" s="774" t="s">
        <v>17</v>
      </c>
      <c r="W25" s="775">
        <f>J25</f>
        <v>100</v>
      </c>
      <c r="X25" s="1811"/>
      <c r="Y25" s="3173"/>
      <c r="Z25" s="1812" t="str">
        <f>Q25</f>
        <v>临街状况</v>
      </c>
      <c r="AA25" s="1809">
        <f t="shared" si="3"/>
        <v>1</v>
      </c>
      <c r="AB25" s="1809">
        <f t="shared" si="4"/>
        <v>1</v>
      </c>
      <c r="AC25" s="1809">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0"/>
      <c r="Q26" s="1808" t="str">
        <f t="shared" si="11"/>
        <v>平面位置/可视性</v>
      </c>
      <c r="R26" s="774" t="s">
        <v>17</v>
      </c>
      <c r="S26" s="775">
        <f>F26</f>
        <v>100</v>
      </c>
      <c r="T26" s="774" t="s">
        <v>17</v>
      </c>
      <c r="U26" s="775">
        <f>H26</f>
        <v>100</v>
      </c>
      <c r="V26" s="774" t="s">
        <v>17</v>
      </c>
      <c r="W26" s="775">
        <f>J26</f>
        <v>100</v>
      </c>
      <c r="X26" s="1811"/>
      <c r="Y26" s="3173"/>
      <c r="Z26" s="1812" t="str">
        <f>Q26</f>
        <v>平面位置/可视性</v>
      </c>
      <c r="AA26" s="1809">
        <f t="shared" si="3"/>
        <v>1</v>
      </c>
      <c r="AB26" s="1809">
        <f t="shared" si="4"/>
        <v>1</v>
      </c>
      <c r="AC26" s="1809">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0"/>
      <c r="Q27" s="1793" t="str">
        <f t="shared" si="11"/>
        <v>人流量</v>
      </c>
      <c r="R27" s="770" t="s">
        <v>17</v>
      </c>
      <c r="S27" s="771">
        <f>F27</f>
        <v>100</v>
      </c>
      <c r="T27" s="770" t="s">
        <v>17</v>
      </c>
      <c r="U27" s="771">
        <f>H27</f>
        <v>100</v>
      </c>
      <c r="V27" s="770" t="s">
        <v>17</v>
      </c>
      <c r="W27" s="771">
        <f>J27</f>
        <v>100</v>
      </c>
      <c r="X27" s="772"/>
      <c r="Y27" s="3173"/>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0"/>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73"/>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0"/>
      <c r="Q29" s="1808">
        <f t="shared" si="11"/>
        <v>111</v>
      </c>
      <c r="R29" s="774" t="s">
        <v>17</v>
      </c>
      <c r="S29" s="775">
        <f t="shared" si="12"/>
        <v>100</v>
      </c>
      <c r="T29" s="774" t="s">
        <v>17</v>
      </c>
      <c r="U29" s="775">
        <f t="shared" si="13"/>
        <v>100</v>
      </c>
      <c r="V29" s="774" t="s">
        <v>17</v>
      </c>
      <c r="W29" s="775">
        <f t="shared" si="14"/>
        <v>100</v>
      </c>
      <c r="X29" s="1811"/>
      <c r="Y29" s="3173"/>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0"/>
      <c r="Q30" s="1808">
        <f t="shared" si="11"/>
        <v>111</v>
      </c>
      <c r="R30" s="774" t="s">
        <v>17</v>
      </c>
      <c r="S30" s="775">
        <f t="shared" si="12"/>
        <v>100</v>
      </c>
      <c r="T30" s="774" t="s">
        <v>17</v>
      </c>
      <c r="U30" s="775">
        <f t="shared" si="13"/>
        <v>100</v>
      </c>
      <c r="V30" s="774" t="s">
        <v>17</v>
      </c>
      <c r="W30" s="775">
        <f t="shared" si="14"/>
        <v>100</v>
      </c>
      <c r="X30" s="1811"/>
      <c r="Y30" s="3173"/>
      <c r="Z30" s="1812">
        <f t="shared" si="15"/>
        <v>111</v>
      </c>
      <c r="AA30" s="1809">
        <f t="shared" si="3"/>
        <v>1</v>
      </c>
      <c r="AB30" s="1809">
        <f t="shared" si="4"/>
        <v>1</v>
      </c>
      <c r="AC30" s="1809">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0"/>
      <c r="Q31" s="1808">
        <f t="shared" si="11"/>
        <v>111</v>
      </c>
      <c r="R31" s="774" t="s">
        <v>17</v>
      </c>
      <c r="S31" s="775">
        <f t="shared" si="12"/>
        <v>100</v>
      </c>
      <c r="T31" s="774" t="s">
        <v>17</v>
      </c>
      <c r="U31" s="775">
        <f t="shared" si="13"/>
        <v>100</v>
      </c>
      <c r="V31" s="774" t="s">
        <v>17</v>
      </c>
      <c r="W31" s="775">
        <f t="shared" si="14"/>
        <v>100</v>
      </c>
      <c r="X31" s="1811"/>
      <c r="Y31" s="3173"/>
      <c r="Z31" s="1812">
        <f t="shared" si="15"/>
        <v>111</v>
      </c>
      <c r="AA31" s="1809">
        <f t="shared" si="3"/>
        <v>1</v>
      </c>
      <c r="AB31" s="1809">
        <f t="shared" si="4"/>
        <v>1</v>
      </c>
      <c r="AC31" s="1809">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74" t="s">
        <v>2563</v>
      </c>
      <c r="Q32" s="1808" t="str">
        <f t="shared" si="11"/>
        <v>商业类型</v>
      </c>
      <c r="R32" s="774" t="s">
        <v>17</v>
      </c>
      <c r="S32" s="775">
        <f t="shared" si="12"/>
        <v>100</v>
      </c>
      <c r="T32" s="774" t="s">
        <v>17</v>
      </c>
      <c r="U32" s="775">
        <f t="shared" si="13"/>
        <v>100</v>
      </c>
      <c r="V32" s="774" t="s">
        <v>17</v>
      </c>
      <c r="W32" s="775">
        <f t="shared" si="14"/>
        <v>100</v>
      </c>
      <c r="X32" s="1811"/>
      <c r="Y32" s="3177"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5"/>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09" t="e">
        <f t="shared" si="3"/>
        <v>#N/A</v>
      </c>
      <c r="AB33" s="1809" t="e">
        <f t="shared" si="4"/>
        <v>#N/A</v>
      </c>
      <c r="AC33" s="1809"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75"/>
      <c r="Q34" s="1808" t="str">
        <f t="shared" si="11"/>
        <v>建筑结构</v>
      </c>
      <c r="R34" s="774" t="s">
        <v>17</v>
      </c>
      <c r="S34" s="775">
        <f t="shared" si="12"/>
        <v>100</v>
      </c>
      <c r="T34" s="774" t="s">
        <v>17</v>
      </c>
      <c r="U34" s="775">
        <f t="shared" si="13"/>
        <v>100</v>
      </c>
      <c r="V34" s="774" t="s">
        <v>17</v>
      </c>
      <c r="W34" s="775">
        <f t="shared" si="14"/>
        <v>100</v>
      </c>
      <c r="X34" s="1811"/>
      <c r="Y34" s="3177"/>
      <c r="Z34" s="1812" t="str">
        <f t="shared" si="15"/>
        <v>建筑结构</v>
      </c>
      <c r="AA34" s="1809">
        <f t="shared" si="3"/>
        <v>1</v>
      </c>
      <c r="AB34" s="1809">
        <f t="shared" si="4"/>
        <v>1</v>
      </c>
      <c r="AC34" s="1809">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75"/>
      <c r="Q35" s="1808" t="str">
        <f t="shared" si="11"/>
        <v>公共部分装修</v>
      </c>
      <c r="R35" s="774" t="s">
        <v>17</v>
      </c>
      <c r="S35" s="775">
        <f t="shared" si="12"/>
        <v>100</v>
      </c>
      <c r="T35" s="774" t="s">
        <v>17</v>
      </c>
      <c r="U35" s="775">
        <f t="shared" si="13"/>
        <v>100</v>
      </c>
      <c r="V35" s="774" t="s">
        <v>17</v>
      </c>
      <c r="W35" s="775">
        <f t="shared" si="14"/>
        <v>100</v>
      </c>
      <c r="X35" s="1811"/>
      <c r="Y35" s="3177"/>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5"/>
      <c r="Q36" s="1808" t="str">
        <f t="shared" si="11"/>
        <v>成新度</v>
      </c>
      <c r="R36" s="774" t="s">
        <v>17</v>
      </c>
      <c r="S36" s="775" t="e">
        <f t="shared" si="12"/>
        <v>#N/A</v>
      </c>
      <c r="T36" s="774" t="s">
        <v>17</v>
      </c>
      <c r="U36" s="775" t="e">
        <f t="shared" si="13"/>
        <v>#N/A</v>
      </c>
      <c r="V36" s="774" t="s">
        <v>17</v>
      </c>
      <c r="W36" s="775" t="e">
        <f t="shared" si="14"/>
        <v>#N/A</v>
      </c>
      <c r="X36" s="1811"/>
      <c r="Y36" s="3177"/>
      <c r="Z36" s="1812" t="str">
        <f t="shared" si="15"/>
        <v>成新度</v>
      </c>
      <c r="AA36" s="1809" t="e">
        <f t="shared" si="3"/>
        <v>#N/A</v>
      </c>
      <c r="AB36" s="1809" t="e">
        <f t="shared" si="4"/>
        <v>#N/A</v>
      </c>
      <c r="AC36" s="1809"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75"/>
      <c r="Q37" s="1793"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75" t="s">
        <v>2563</v>
      </c>
      <c r="Q38" s="1808" t="str">
        <f t="shared" si="11"/>
        <v>业态</v>
      </c>
      <c r="R38" s="774" t="s">
        <v>17</v>
      </c>
      <c r="S38" s="775">
        <f t="shared" si="12"/>
        <v>100</v>
      </c>
      <c r="T38" s="774" t="s">
        <v>17</v>
      </c>
      <c r="U38" s="775">
        <f t="shared" si="13"/>
        <v>100</v>
      </c>
      <c r="V38" s="774" t="s">
        <v>17</v>
      </c>
      <c r="W38" s="775">
        <f t="shared" si="14"/>
        <v>100</v>
      </c>
      <c r="X38" s="1811"/>
      <c r="Y38" s="3177" t="s">
        <v>2563</v>
      </c>
      <c r="Z38" s="1812" t="str">
        <f t="shared" si="15"/>
        <v>业态</v>
      </c>
      <c r="AA38" s="1809">
        <f t="shared" si="3"/>
        <v>1</v>
      </c>
      <c r="AB38" s="1809">
        <f t="shared" si="4"/>
        <v>1</v>
      </c>
      <c r="AC38" s="1809">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75"/>
      <c r="Q39" s="1808" t="str">
        <f t="shared" si="11"/>
        <v>层高</v>
      </c>
      <c r="R39" s="774" t="s">
        <v>17</v>
      </c>
      <c r="S39" s="775">
        <f t="shared" si="12"/>
        <v>100</v>
      </c>
      <c r="T39" s="774" t="s">
        <v>17</v>
      </c>
      <c r="U39" s="775">
        <f t="shared" si="13"/>
        <v>100</v>
      </c>
      <c r="V39" s="774" t="s">
        <v>17</v>
      </c>
      <c r="W39" s="775">
        <f t="shared" si="14"/>
        <v>100</v>
      </c>
      <c r="X39" s="1811"/>
      <c r="Y39" s="3177"/>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5"/>
      <c r="Q40" s="1808" t="str">
        <f t="shared" si="11"/>
        <v>单套建筑面积</v>
      </c>
      <c r="R40" s="774" t="s">
        <v>17</v>
      </c>
      <c r="S40" s="775">
        <f t="shared" si="12"/>
        <v>100</v>
      </c>
      <c r="T40" s="774" t="s">
        <v>17</v>
      </c>
      <c r="U40" s="775">
        <f t="shared" si="13"/>
        <v>100</v>
      </c>
      <c r="V40" s="774" t="s">
        <v>17</v>
      </c>
      <c r="W40" s="775">
        <f t="shared" si="14"/>
        <v>100</v>
      </c>
      <c r="X40" s="1811"/>
      <c r="Y40" s="3177"/>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5"/>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09">
        <f t="shared" si="3"/>
        <v>1</v>
      </c>
      <c r="AB41" s="1809">
        <f t="shared" si="4"/>
        <v>1</v>
      </c>
      <c r="AC41" s="1809">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75"/>
      <c r="Q42" s="1808" t="str">
        <f t="shared" si="11"/>
        <v>内部装修</v>
      </c>
      <c r="R42" s="774" t="s">
        <v>17</v>
      </c>
      <c r="S42" s="775">
        <f t="shared" si="12"/>
        <v>100</v>
      </c>
      <c r="T42" s="774" t="s">
        <v>17</v>
      </c>
      <c r="U42" s="775">
        <f t="shared" si="13"/>
        <v>100</v>
      </c>
      <c r="V42" s="774" t="s">
        <v>17</v>
      </c>
      <c r="W42" s="775">
        <f t="shared" si="14"/>
        <v>100</v>
      </c>
      <c r="X42" s="1811"/>
      <c r="Y42" s="3177"/>
      <c r="Z42" s="1812" t="str">
        <f t="shared" si="15"/>
        <v>内部装修</v>
      </c>
      <c r="AA42" s="1809">
        <f t="shared" si="3"/>
        <v>1</v>
      </c>
      <c r="AB42" s="1809">
        <f t="shared" si="4"/>
        <v>1</v>
      </c>
      <c r="AC42" s="1809">
        <f t="shared" si="5"/>
        <v>1</v>
      </c>
    </row>
    <row r="43" spans="1:29" ht="28.8">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75"/>
      <c r="Q43" s="1808" t="str">
        <f t="shared" si="11"/>
        <v>内部装修维护情况</v>
      </c>
      <c r="R43" s="774" t="s">
        <v>17</v>
      </c>
      <c r="S43" s="775">
        <f t="shared" si="12"/>
        <v>100</v>
      </c>
      <c r="T43" s="774" t="s">
        <v>17</v>
      </c>
      <c r="U43" s="775">
        <f t="shared" si="13"/>
        <v>100</v>
      </c>
      <c r="V43" s="774" t="s">
        <v>17</v>
      </c>
      <c r="W43" s="775">
        <f t="shared" si="14"/>
        <v>100</v>
      </c>
      <c r="X43" s="1811"/>
      <c r="Y43" s="3177"/>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5"/>
      <c r="Q44" s="1793">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5"/>
      <c r="Q45" s="1808">
        <f t="shared" si="11"/>
        <v>111</v>
      </c>
      <c r="R45" s="774" t="s">
        <v>17</v>
      </c>
      <c r="S45" s="775">
        <f t="shared" si="12"/>
        <v>100</v>
      </c>
      <c r="T45" s="774" t="s">
        <v>17</v>
      </c>
      <c r="U45" s="775">
        <f t="shared" si="13"/>
        <v>100</v>
      </c>
      <c r="V45" s="774" t="s">
        <v>17</v>
      </c>
      <c r="W45" s="775">
        <f t="shared" si="14"/>
        <v>100</v>
      </c>
      <c r="X45" s="1811"/>
      <c r="Y45" s="3177"/>
      <c r="Z45" s="1812">
        <f t="shared" si="15"/>
        <v>111</v>
      </c>
      <c r="AA45" s="1809">
        <f t="shared" si="3"/>
        <v>1</v>
      </c>
      <c r="AB45" s="1809">
        <f t="shared" si="4"/>
        <v>1</v>
      </c>
      <c r="AC45" s="1809">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6"/>
      <c r="Q46" s="1808">
        <f t="shared" si="11"/>
        <v>111</v>
      </c>
      <c r="R46" s="774" t="s">
        <v>17</v>
      </c>
      <c r="S46" s="775">
        <f t="shared" si="12"/>
        <v>100</v>
      </c>
      <c r="T46" s="774" t="s">
        <v>17</v>
      </c>
      <c r="U46" s="775">
        <f t="shared" si="13"/>
        <v>100</v>
      </c>
      <c r="V46" s="774" t="s">
        <v>17</v>
      </c>
      <c r="W46" s="775">
        <f t="shared" si="14"/>
        <v>100</v>
      </c>
      <c r="X46" s="1811"/>
      <c r="Y46" s="3178"/>
      <c r="Z46" s="1812">
        <f t="shared" si="15"/>
        <v>111</v>
      </c>
      <c r="AA46" s="1809">
        <f t="shared" si="3"/>
        <v>1</v>
      </c>
      <c r="AB46" s="1809">
        <f t="shared" si="4"/>
        <v>1</v>
      </c>
      <c r="AC46" s="1809">
        <f t="shared" si="5"/>
        <v>1</v>
      </c>
    </row>
    <row r="47" spans="1:29" ht="14.4">
      <c r="A47" s="479" t="s">
        <v>2575</v>
      </c>
      <c r="B47" s="480"/>
      <c r="C47" s="1406" t="s">
        <v>1</v>
      </c>
      <c r="D47" s="1407"/>
      <c r="E47" s="1408"/>
      <c r="F47" s="1409"/>
      <c r="G47" s="1410"/>
      <c r="H47" s="1411"/>
      <c r="I47" s="1408"/>
      <c r="J47" s="1411"/>
      <c r="K47" s="783"/>
      <c r="L47" s="1143"/>
      <c r="M47" s="1144"/>
      <c r="N47" s="1131"/>
      <c r="O47" s="1144"/>
      <c r="P47" s="3170" t="str">
        <f>A47</f>
        <v>成交单价（元/平方米）</v>
      </c>
      <c r="Q47" s="3170"/>
      <c r="R47" s="3201">
        <f>E47</f>
        <v>0</v>
      </c>
      <c r="S47" s="3201"/>
      <c r="T47" s="3201">
        <f>G47</f>
        <v>0</v>
      </c>
      <c r="U47" s="3201"/>
      <c r="V47" s="3201">
        <f>I47</f>
        <v>0</v>
      </c>
      <c r="W47" s="3201"/>
      <c r="X47" s="759"/>
      <c r="Y47" s="781"/>
      <c r="Z47" s="759"/>
      <c r="AA47" s="759"/>
      <c r="AB47" s="759"/>
      <c r="AC47" s="759"/>
    </row>
    <row r="48" spans="1:29" ht="15" thickBot="1">
      <c r="A48" s="486" t="s">
        <v>2667</v>
      </c>
      <c r="B48" s="487"/>
      <c r="C48" s="1412" t="e">
        <f>R49</f>
        <v>#DIV/0!</v>
      </c>
      <c r="D48" s="1413"/>
      <c r="E48" s="1414" t="e">
        <f>R48</f>
        <v>#DIV/0!</v>
      </c>
      <c r="F48" s="1414"/>
      <c r="G48" s="1412" t="e">
        <f>T48</f>
        <v>#DIV/0!</v>
      </c>
      <c r="H48" s="1413"/>
      <c r="I48" s="1414" t="e">
        <f>V48</f>
        <v>#DIV/0!</v>
      </c>
      <c r="J48" s="1413"/>
      <c r="K48" s="784"/>
      <c r="L48" s="1143"/>
      <c r="M48" s="1144"/>
      <c r="N48" s="1131"/>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 thickBot="1">
      <c r="A49" s="492" t="s">
        <v>2668</v>
      </c>
      <c r="B49" s="493"/>
      <c r="C49" s="1416" t="e">
        <f>R49</f>
        <v>#DIV/0!</v>
      </c>
      <c r="D49" s="1416"/>
      <c r="E49" s="1416"/>
      <c r="F49" s="1416"/>
      <c r="G49" s="1416"/>
      <c r="H49" s="1416"/>
      <c r="I49" s="1416"/>
      <c r="J49" s="1416"/>
      <c r="K49" s="785"/>
      <c r="L49" s="1143"/>
      <c r="M49" s="1144"/>
      <c r="N49" s="1131"/>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c r="A59" s="509"/>
      <c r="B59" s="510"/>
      <c r="C59" s="1571">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667" t="s">
        <v>2684</v>
      </c>
      <c r="C1" s="1618" t="s">
        <v>2528</v>
      </c>
      <c r="D1" s="1619"/>
      <c r="E1" s="1628"/>
      <c r="F1" s="2582"/>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7"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48162.54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219" t="s">
        <v>2649</v>
      </c>
      <c r="Q4" s="3220"/>
      <c r="R4" s="3223" t="s">
        <v>2645</v>
      </c>
      <c r="S4" s="3224"/>
      <c r="T4" s="3223" t="s">
        <v>2646</v>
      </c>
      <c r="U4" s="3224"/>
      <c r="V4" s="3225" t="s">
        <v>2647</v>
      </c>
      <c r="W4" s="3225"/>
      <c r="X4" s="2668"/>
      <c r="Y4" s="3223" t="s">
        <v>2649</v>
      </c>
      <c r="Z4" s="3224"/>
      <c r="AA4" s="3227" t="s">
        <v>2645</v>
      </c>
      <c r="AB4" s="3227" t="s">
        <v>2646</v>
      </c>
      <c r="AC4" s="3216" t="s">
        <v>2647</v>
      </c>
    </row>
    <row r="5" spans="1:29">
      <c r="A5" s="404"/>
      <c r="B5" s="405"/>
      <c r="C5" s="3204" t="s">
        <v>2540</v>
      </c>
      <c r="D5" s="3205"/>
      <c r="E5" s="3211" t="s">
        <v>2541</v>
      </c>
      <c r="F5" s="3212"/>
      <c r="G5" s="3204" t="s">
        <v>2542</v>
      </c>
      <c r="H5" s="3205"/>
      <c r="I5" s="3204" t="s">
        <v>2543</v>
      </c>
      <c r="J5" s="3205"/>
      <c r="K5" s="610"/>
      <c r="L5" s="1130"/>
      <c r="M5" s="1131"/>
      <c r="N5" s="1131"/>
      <c r="O5" s="1131"/>
      <c r="P5" s="3221"/>
      <c r="Q5" s="3192"/>
      <c r="R5" s="3197"/>
      <c r="S5" s="3198"/>
      <c r="T5" s="3197"/>
      <c r="U5" s="3198"/>
      <c r="V5" s="3201"/>
      <c r="W5" s="3201"/>
      <c r="X5" s="1811"/>
      <c r="Y5" s="3197"/>
      <c r="Z5" s="3198"/>
      <c r="AA5" s="3183"/>
      <c r="AB5" s="3183"/>
      <c r="AC5" s="3217"/>
    </row>
    <row r="6" spans="1:29" ht="15" thickBot="1">
      <c r="A6" s="406"/>
      <c r="B6" s="407"/>
      <c r="C6" s="3202" t="s">
        <v>2544</v>
      </c>
      <c r="D6" s="3203"/>
      <c r="E6" s="3209" t="s">
        <v>2544</v>
      </c>
      <c r="F6" s="3210"/>
      <c r="G6" s="3202" t="s">
        <v>2544</v>
      </c>
      <c r="H6" s="3203"/>
      <c r="I6" s="3202" t="s">
        <v>2544</v>
      </c>
      <c r="J6" s="3203"/>
      <c r="K6" s="610" t="s">
        <v>2545</v>
      </c>
      <c r="L6" s="1130"/>
      <c r="M6" s="1131"/>
      <c r="N6" s="1131"/>
      <c r="O6" s="1131"/>
      <c r="P6" s="3222"/>
      <c r="Q6" s="3194"/>
      <c r="R6" s="3197"/>
      <c r="S6" s="3198"/>
      <c r="T6" s="3199"/>
      <c r="U6" s="3200"/>
      <c r="V6" s="3201"/>
      <c r="W6" s="3201"/>
      <c r="X6" s="1811"/>
      <c r="Y6" s="3199"/>
      <c r="Z6" s="3200"/>
      <c r="AA6" s="3184"/>
      <c r="AB6" s="3184"/>
      <c r="AC6" s="3218"/>
    </row>
    <row r="7" spans="1:29" s="117" customFormat="1" ht="15" thickBot="1">
      <c r="A7" s="408" t="s">
        <v>2546</v>
      </c>
      <c r="B7" s="409"/>
      <c r="C7" s="410">
        <f>'数据-取费表'!B2</f>
        <v>43918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6" t="s">
        <v>2547</v>
      </c>
      <c r="Q7" s="3208"/>
      <c r="R7" s="770" t="s">
        <v>17</v>
      </c>
      <c r="S7" s="771">
        <f t="shared" ref="S7:S15" si="0">F7</f>
        <v>0</v>
      </c>
      <c r="T7" s="770" t="s">
        <v>17</v>
      </c>
      <c r="U7" s="771">
        <f t="shared" ref="U7:U15" si="1">H7</f>
        <v>0</v>
      </c>
      <c r="V7" s="770" t="s">
        <v>17</v>
      </c>
      <c r="W7" s="771">
        <f t="shared" ref="W7:W15" si="2">J7</f>
        <v>0</v>
      </c>
      <c r="X7" s="772"/>
      <c r="Y7" s="3206" t="s">
        <v>2547</v>
      </c>
      <c r="Z7" s="3207"/>
      <c r="AA7" s="773" t="e">
        <f>D7/F7</f>
        <v>#DIV/0!</v>
      </c>
      <c r="AB7" s="773" t="e">
        <f>D7/H7</f>
        <v>#DIV/0!</v>
      </c>
      <c r="AC7" s="2669"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6" t="s">
        <v>2550</v>
      </c>
      <c r="Q8" s="3207"/>
      <c r="R8" s="770" t="s">
        <v>17</v>
      </c>
      <c r="S8" s="771">
        <f t="shared" si="0"/>
        <v>0</v>
      </c>
      <c r="T8" s="770" t="s">
        <v>17</v>
      </c>
      <c r="U8" s="771">
        <f t="shared" si="1"/>
        <v>0</v>
      </c>
      <c r="V8" s="770" t="s">
        <v>17</v>
      </c>
      <c r="W8" s="771">
        <f t="shared" si="2"/>
        <v>0</v>
      </c>
      <c r="X8" s="772"/>
      <c r="Y8" s="3206" t="s">
        <v>2550</v>
      </c>
      <c r="Z8" s="3207"/>
      <c r="AA8" s="773" t="e">
        <f t="shared" ref="AA8:AA47" si="3">D8/F8</f>
        <v>#DIV/0!</v>
      </c>
      <c r="AB8" s="773" t="e">
        <f t="shared" ref="AB8:AB47" si="4">D8/H8</f>
        <v>#DIV/0!</v>
      </c>
      <c r="AC8" s="2669"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2553</v>
      </c>
      <c r="Q9" s="1793" t="str">
        <f t="shared" ref="Q9:Q15" si="6">B9</f>
        <v>用途</v>
      </c>
      <c r="R9" s="770" t="s">
        <v>17</v>
      </c>
      <c r="S9" s="771">
        <f t="shared" si="0"/>
        <v>100</v>
      </c>
      <c r="T9" s="770" t="s">
        <v>17</v>
      </c>
      <c r="U9" s="771">
        <f t="shared" si="1"/>
        <v>100</v>
      </c>
      <c r="V9" s="770" t="s">
        <v>17</v>
      </c>
      <c r="W9" s="771">
        <f t="shared" si="2"/>
        <v>100</v>
      </c>
      <c r="X9" s="772"/>
      <c r="Y9" s="2995" t="s">
        <v>2554</v>
      </c>
      <c r="Z9" s="55" t="str">
        <f t="shared" ref="Z9:Z15" si="7">Q9</f>
        <v>用途</v>
      </c>
      <c r="AA9" s="773">
        <f t="shared" si="3"/>
        <v>1</v>
      </c>
      <c r="AB9" s="773">
        <f t="shared" si="4"/>
        <v>1</v>
      </c>
      <c r="AC9" s="2669">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3"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1"/>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1"/>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1"/>
      <c r="Q14" s="1793">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9" t="s">
        <v>2558</v>
      </c>
      <c r="Q15" s="1808" t="str">
        <f t="shared" si="6"/>
        <v>办公集聚程度</v>
      </c>
      <c r="R15" s="774" t="s">
        <v>17</v>
      </c>
      <c r="S15" s="775">
        <f t="shared" si="0"/>
        <v>100</v>
      </c>
      <c r="T15" s="774" t="s">
        <v>17</v>
      </c>
      <c r="U15" s="775">
        <f t="shared" si="1"/>
        <v>100</v>
      </c>
      <c r="V15" s="774" t="s">
        <v>17</v>
      </c>
      <c r="W15" s="775">
        <f t="shared" si="2"/>
        <v>100</v>
      </c>
      <c r="X15" s="1811"/>
      <c r="Y15" s="3172" t="s">
        <v>2558</v>
      </c>
      <c r="Z15" s="1812" t="str">
        <f t="shared" si="7"/>
        <v>办公集聚程度</v>
      </c>
      <c r="AA15" s="1809">
        <f t="shared" si="3"/>
        <v>1</v>
      </c>
      <c r="AB15" s="1809">
        <f t="shared" si="4"/>
        <v>1</v>
      </c>
      <c r="AC15" s="2672">
        <f t="shared" si="5"/>
        <v>1</v>
      </c>
    </row>
    <row r="16" spans="1:29" ht="15">
      <c r="A16" s="428"/>
      <c r="B16" s="630"/>
      <c r="C16" s="2609"/>
      <c r="D16" s="448"/>
      <c r="E16" s="447"/>
      <c r="F16" s="448"/>
      <c r="G16" s="2609"/>
      <c r="H16" s="450"/>
      <c r="I16" s="447"/>
      <c r="J16" s="448"/>
      <c r="K16" s="615"/>
      <c r="L16" s="1140"/>
      <c r="M16" s="1131"/>
      <c r="N16" s="1131"/>
      <c r="O16" s="1131"/>
      <c r="P16" s="3180"/>
      <c r="Q16" s="1808"/>
      <c r="R16" s="774"/>
      <c r="S16" s="775"/>
      <c r="T16" s="774"/>
      <c r="U16" s="775"/>
      <c r="V16" s="774"/>
      <c r="W16" s="775"/>
      <c r="X16" s="1811"/>
      <c r="Y16" s="3173"/>
      <c r="Z16" s="1812"/>
      <c r="AA16" s="1809">
        <v>1</v>
      </c>
      <c r="AB16" s="1809">
        <v>1</v>
      </c>
      <c r="AC16" s="2672">
        <v>1</v>
      </c>
    </row>
    <row r="17" spans="1:29" ht="82.8">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0"/>
      <c r="Q17" s="1808" t="str">
        <f>B17</f>
        <v>交通便捷度</v>
      </c>
      <c r="R17" s="774" t="s">
        <v>17</v>
      </c>
      <c r="S17" s="775">
        <f>F17</f>
        <v>100</v>
      </c>
      <c r="T17" s="774" t="s">
        <v>17</v>
      </c>
      <c r="U17" s="775">
        <f>H17</f>
        <v>100</v>
      </c>
      <c r="V17" s="774" t="s">
        <v>17</v>
      </c>
      <c r="W17" s="775">
        <f>J17</f>
        <v>100</v>
      </c>
      <c r="X17" s="1811"/>
      <c r="Y17" s="3173"/>
      <c r="Z17" s="1812" t="str">
        <f>Q17</f>
        <v>交通便捷度</v>
      </c>
      <c r="AA17" s="1809">
        <f t="shared" si="3"/>
        <v>1</v>
      </c>
      <c r="AB17" s="1809">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0"/>
      <c r="Q18" s="1808"/>
      <c r="R18" s="774"/>
      <c r="S18" s="775"/>
      <c r="T18" s="774"/>
      <c r="U18" s="775"/>
      <c r="V18" s="774"/>
      <c r="W18" s="775"/>
      <c r="X18" s="1811"/>
      <c r="Y18" s="3173"/>
      <c r="Z18" s="1812"/>
      <c r="AA18" s="1809">
        <v>1</v>
      </c>
      <c r="AB18" s="1809">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0"/>
      <c r="Q19" s="1808" t="str">
        <f>B19</f>
        <v>公共配套设施</v>
      </c>
      <c r="R19" s="774" t="s">
        <v>17</v>
      </c>
      <c r="S19" s="775">
        <f>F19</f>
        <v>100</v>
      </c>
      <c r="T19" s="774" t="s">
        <v>17</v>
      </c>
      <c r="U19" s="775">
        <f>H19</f>
        <v>100</v>
      </c>
      <c r="V19" s="774" t="s">
        <v>17</v>
      </c>
      <c r="W19" s="775">
        <f>J19</f>
        <v>100</v>
      </c>
      <c r="X19" s="1811"/>
      <c r="Y19" s="3173"/>
      <c r="Z19" s="1812" t="str">
        <f>Q19</f>
        <v>公共配套设施</v>
      </c>
      <c r="AA19" s="1809">
        <f t="shared" si="3"/>
        <v>1</v>
      </c>
      <c r="AB19" s="1809">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0"/>
      <c r="Q20" s="1808"/>
      <c r="R20" s="774"/>
      <c r="S20" s="775"/>
      <c r="T20" s="774"/>
      <c r="U20" s="775"/>
      <c r="V20" s="774"/>
      <c r="W20" s="775"/>
      <c r="X20" s="1811"/>
      <c r="Y20" s="3173"/>
      <c r="Z20" s="1812"/>
      <c r="AA20" s="1809">
        <v>1</v>
      </c>
      <c r="AB20" s="1809">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0"/>
      <c r="Q21" s="1808" t="str">
        <f>B21</f>
        <v>基础设施水平</v>
      </c>
      <c r="R21" s="774" t="s">
        <v>17</v>
      </c>
      <c r="S21" s="775">
        <f>F21</f>
        <v>100</v>
      </c>
      <c r="T21" s="774" t="s">
        <v>17</v>
      </c>
      <c r="U21" s="775">
        <f>H21</f>
        <v>100</v>
      </c>
      <c r="V21" s="774" t="s">
        <v>17</v>
      </c>
      <c r="W21" s="775">
        <f>J21</f>
        <v>100</v>
      </c>
      <c r="X21" s="1811"/>
      <c r="Y21" s="3173"/>
      <c r="Z21" s="1812" t="str">
        <f>Q21</f>
        <v>基础设施水平</v>
      </c>
      <c r="AA21" s="1809">
        <f t="shared" ref="AA21" si="8">D21/F21</f>
        <v>1</v>
      </c>
      <c r="AB21" s="1809">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0"/>
      <c r="Q22" s="1808"/>
      <c r="R22" s="774"/>
      <c r="S22" s="775"/>
      <c r="T22" s="774"/>
      <c r="U22" s="775"/>
      <c r="V22" s="774"/>
      <c r="W22" s="775"/>
      <c r="X22" s="1811"/>
      <c r="Y22" s="3173"/>
      <c r="Z22" s="1812"/>
      <c r="AA22" s="1809">
        <v>1</v>
      </c>
      <c r="AB22" s="1809">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0"/>
      <c r="Q23" s="1808" t="str">
        <f>B23</f>
        <v>环境质量</v>
      </c>
      <c r="R23" s="774" t="s">
        <v>17</v>
      </c>
      <c r="S23" s="775">
        <f>F23</f>
        <v>100</v>
      </c>
      <c r="T23" s="774" t="s">
        <v>17</v>
      </c>
      <c r="U23" s="775">
        <f>H23</f>
        <v>100</v>
      </c>
      <c r="V23" s="774" t="s">
        <v>17</v>
      </c>
      <c r="W23" s="775">
        <f>J23</f>
        <v>100</v>
      </c>
      <c r="X23" s="1811"/>
      <c r="Y23" s="3173"/>
      <c r="Z23" s="1812" t="str">
        <f>Q23</f>
        <v>环境质量</v>
      </c>
      <c r="AA23" s="1809">
        <f t="shared" si="3"/>
        <v>1</v>
      </c>
      <c r="AB23" s="1809">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0"/>
      <c r="Q24" s="1808"/>
      <c r="R24" s="774"/>
      <c r="S24" s="775"/>
      <c r="T24" s="774"/>
      <c r="U24" s="775"/>
      <c r="V24" s="774"/>
      <c r="W24" s="775"/>
      <c r="X24" s="1811"/>
      <c r="Y24" s="3173"/>
      <c r="Z24" s="1812"/>
      <c r="AA24" s="1809">
        <v>1</v>
      </c>
      <c r="AB24" s="1809">
        <v>1</v>
      </c>
      <c r="AC24" s="2672">
        <v>1</v>
      </c>
    </row>
    <row r="25" spans="1:29" ht="28.8">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0"/>
      <c r="Q25" s="1808" t="str">
        <f>B25</f>
        <v>毗邻道路的类型与等级</v>
      </c>
      <c r="R25" s="774" t="s">
        <v>17</v>
      </c>
      <c r="S25" s="775">
        <f>F25</f>
        <v>100</v>
      </c>
      <c r="T25" s="774" t="s">
        <v>17</v>
      </c>
      <c r="U25" s="775">
        <f>H25</f>
        <v>100</v>
      </c>
      <c r="V25" s="774" t="s">
        <v>17</v>
      </c>
      <c r="W25" s="775">
        <f>J25</f>
        <v>100</v>
      </c>
      <c r="X25" s="1811"/>
      <c r="Y25" s="3173"/>
      <c r="Z25" s="1812" t="str">
        <f>Q25</f>
        <v>毗邻道路的类型与等级</v>
      </c>
      <c r="AA25" s="1809">
        <f t="shared" si="3"/>
        <v>1</v>
      </c>
      <c r="AB25" s="1809">
        <f t="shared" si="4"/>
        <v>1</v>
      </c>
      <c r="AC25" s="2672">
        <f t="shared" si="5"/>
        <v>1</v>
      </c>
    </row>
    <row r="26" spans="1:29" ht="15">
      <c r="A26" s="404"/>
      <c r="B26" s="632"/>
      <c r="C26" s="634"/>
      <c r="D26" s="435"/>
      <c r="E26" s="616"/>
      <c r="F26" s="435"/>
      <c r="G26" s="634"/>
      <c r="H26" s="435"/>
      <c r="I26" s="616"/>
      <c r="J26" s="435"/>
      <c r="K26" s="615"/>
      <c r="L26" s="1140"/>
      <c r="M26" s="1131"/>
      <c r="N26" s="1131"/>
      <c r="O26" s="1131"/>
      <c r="P26" s="3180"/>
      <c r="Q26" s="1808"/>
      <c r="R26" s="774"/>
      <c r="S26" s="775"/>
      <c r="T26" s="774"/>
      <c r="U26" s="775"/>
      <c r="V26" s="774"/>
      <c r="W26" s="775"/>
      <c r="X26" s="1811"/>
      <c r="Y26" s="3173"/>
      <c r="Z26" s="1812"/>
      <c r="AA26" s="1809">
        <v>1</v>
      </c>
      <c r="AB26" s="1809">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0"/>
      <c r="Q27" s="1808" t="str">
        <f t="shared" ref="Q27:Q47" si="11">B27</f>
        <v>楼层</v>
      </c>
      <c r="R27" s="774" t="s">
        <v>17</v>
      </c>
      <c r="S27" s="775">
        <f>F27</f>
        <v>100</v>
      </c>
      <c r="T27" s="774" t="s">
        <v>17</v>
      </c>
      <c r="U27" s="775">
        <f>H27</f>
        <v>100</v>
      </c>
      <c r="V27" s="774" t="s">
        <v>17</v>
      </c>
      <c r="W27" s="775">
        <f>J27</f>
        <v>100</v>
      </c>
      <c r="X27" s="1811"/>
      <c r="Y27" s="3173"/>
      <c r="Z27" s="1812" t="str">
        <f>Q27</f>
        <v>楼层</v>
      </c>
      <c r="AA27" s="1809">
        <f t="shared" si="3"/>
        <v>1</v>
      </c>
      <c r="AB27" s="1809">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0"/>
      <c r="Q28" s="1793" t="str">
        <f t="shared" si="11"/>
        <v>朝向</v>
      </c>
      <c r="R28" s="770" t="s">
        <v>17</v>
      </c>
      <c r="S28" s="771">
        <f>F28</f>
        <v>100</v>
      </c>
      <c r="T28" s="770" t="s">
        <v>17</v>
      </c>
      <c r="U28" s="771">
        <f>H28</f>
        <v>100</v>
      </c>
      <c r="V28" s="770" t="s">
        <v>17</v>
      </c>
      <c r="W28" s="771">
        <f>J28</f>
        <v>100</v>
      </c>
      <c r="X28" s="772"/>
      <c r="Y28" s="3173"/>
      <c r="Z28" s="55" t="str">
        <f>Q28</f>
        <v>朝向</v>
      </c>
      <c r="AA28" s="1809">
        <f>D28/F28</f>
        <v>1</v>
      </c>
      <c r="AB28" s="1809">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0"/>
      <c r="Q29" s="1808">
        <f t="shared" si="11"/>
        <v>111</v>
      </c>
      <c r="R29" s="774" t="s">
        <v>17</v>
      </c>
      <c r="S29" s="775">
        <f t="shared" ref="S29:S47" si="12">F29</f>
        <v>100</v>
      </c>
      <c r="T29" s="774" t="s">
        <v>17</v>
      </c>
      <c r="U29" s="775">
        <f t="shared" ref="U29:U47" si="13">H29</f>
        <v>100</v>
      </c>
      <c r="V29" s="774" t="s">
        <v>17</v>
      </c>
      <c r="W29" s="775">
        <f t="shared" ref="W29:W47" si="14">J29</f>
        <v>100</v>
      </c>
      <c r="X29" s="1811"/>
      <c r="Y29" s="3173"/>
      <c r="Z29" s="1812">
        <f t="shared" ref="Z29:Z47" si="15">Q29</f>
        <v>111</v>
      </c>
      <c r="AA29" s="1809">
        <f t="shared" si="3"/>
        <v>1</v>
      </c>
      <c r="AB29" s="1809">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0"/>
      <c r="Q30" s="1808">
        <f t="shared" si="11"/>
        <v>111</v>
      </c>
      <c r="R30" s="774" t="s">
        <v>17</v>
      </c>
      <c r="S30" s="775">
        <f t="shared" si="12"/>
        <v>100</v>
      </c>
      <c r="T30" s="774" t="s">
        <v>17</v>
      </c>
      <c r="U30" s="775">
        <f t="shared" si="13"/>
        <v>100</v>
      </c>
      <c r="V30" s="774" t="s">
        <v>17</v>
      </c>
      <c r="W30" s="775">
        <f t="shared" si="14"/>
        <v>100</v>
      </c>
      <c r="X30" s="1811"/>
      <c r="Y30" s="3173"/>
      <c r="Z30" s="1812">
        <f t="shared" si="15"/>
        <v>111</v>
      </c>
      <c r="AA30" s="1809">
        <f t="shared" si="3"/>
        <v>1</v>
      </c>
      <c r="AB30" s="1809">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0"/>
      <c r="Q31" s="1808">
        <f t="shared" si="11"/>
        <v>111</v>
      </c>
      <c r="R31" s="774" t="s">
        <v>17</v>
      </c>
      <c r="S31" s="775">
        <f t="shared" si="12"/>
        <v>100</v>
      </c>
      <c r="T31" s="774" t="s">
        <v>17</v>
      </c>
      <c r="U31" s="775">
        <f t="shared" si="13"/>
        <v>100</v>
      </c>
      <c r="V31" s="774" t="s">
        <v>17</v>
      </c>
      <c r="W31" s="775">
        <f t="shared" si="14"/>
        <v>100</v>
      </c>
      <c r="X31" s="1811"/>
      <c r="Y31" s="3173"/>
      <c r="Z31" s="1812">
        <f t="shared" si="15"/>
        <v>111</v>
      </c>
      <c r="AA31" s="1809">
        <f t="shared" si="3"/>
        <v>1</v>
      </c>
      <c r="AB31" s="1809">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0"/>
      <c r="Q32" s="1808">
        <f t="shared" si="11"/>
        <v>111</v>
      </c>
      <c r="R32" s="774" t="s">
        <v>17</v>
      </c>
      <c r="S32" s="775">
        <f t="shared" si="12"/>
        <v>100</v>
      </c>
      <c r="T32" s="774" t="s">
        <v>17</v>
      </c>
      <c r="U32" s="775">
        <f t="shared" si="13"/>
        <v>100</v>
      </c>
      <c r="V32" s="774" t="s">
        <v>17</v>
      </c>
      <c r="W32" s="775">
        <f t="shared" si="14"/>
        <v>100</v>
      </c>
      <c r="X32" s="1811"/>
      <c r="Y32" s="3173"/>
      <c r="Z32" s="1812">
        <f t="shared" si="15"/>
        <v>111</v>
      </c>
      <c r="AA32" s="1809">
        <f t="shared" si="3"/>
        <v>1</v>
      </c>
      <c r="AB32" s="1809">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74" t="s">
        <v>2563</v>
      </c>
      <c r="Q33" s="1808" t="str">
        <f t="shared" si="11"/>
        <v>建筑类型</v>
      </c>
      <c r="R33" s="774" t="s">
        <v>17</v>
      </c>
      <c r="S33" s="775">
        <f t="shared" si="12"/>
        <v>100</v>
      </c>
      <c r="T33" s="774" t="s">
        <v>17</v>
      </c>
      <c r="U33" s="775">
        <f t="shared" si="13"/>
        <v>100</v>
      </c>
      <c r="V33" s="774" t="s">
        <v>17</v>
      </c>
      <c r="W33" s="775">
        <f t="shared" si="14"/>
        <v>100</v>
      </c>
      <c r="X33" s="1811"/>
      <c r="Y33" s="3177" t="s">
        <v>2563</v>
      </c>
      <c r="Z33" s="1812" t="str">
        <f t="shared" si="15"/>
        <v>建筑类型</v>
      </c>
      <c r="AA33" s="1809">
        <f t="shared" si="3"/>
        <v>1</v>
      </c>
      <c r="AB33" s="1809">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5"/>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09" t="e">
        <f t="shared" si="3"/>
        <v>#N/A</v>
      </c>
      <c r="AB34" s="1809"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5"/>
      <c r="Q35" s="1808" t="str">
        <f t="shared" si="11"/>
        <v>建筑结构</v>
      </c>
      <c r="R35" s="774" t="s">
        <v>17</v>
      </c>
      <c r="S35" s="775">
        <f t="shared" si="12"/>
        <v>100</v>
      </c>
      <c r="T35" s="774" t="s">
        <v>17</v>
      </c>
      <c r="U35" s="775">
        <f t="shared" si="13"/>
        <v>100</v>
      </c>
      <c r="V35" s="774" t="s">
        <v>17</v>
      </c>
      <c r="W35" s="775">
        <f t="shared" si="14"/>
        <v>100</v>
      </c>
      <c r="X35" s="1811"/>
      <c r="Y35" s="3177"/>
      <c r="Z35" s="1812" t="str">
        <f t="shared" si="15"/>
        <v>建筑结构</v>
      </c>
      <c r="AA35" s="1809">
        <f t="shared" si="3"/>
        <v>1</v>
      </c>
      <c r="AB35" s="1809">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5"/>
      <c r="Q36" s="1808" t="str">
        <f t="shared" si="11"/>
        <v>公共部分装修</v>
      </c>
      <c r="R36" s="774" t="s">
        <v>17</v>
      </c>
      <c r="S36" s="775">
        <f t="shared" si="12"/>
        <v>100</v>
      </c>
      <c r="T36" s="774" t="s">
        <v>17</v>
      </c>
      <c r="U36" s="775">
        <f t="shared" si="13"/>
        <v>100</v>
      </c>
      <c r="V36" s="774" t="s">
        <v>17</v>
      </c>
      <c r="W36" s="775">
        <f t="shared" si="14"/>
        <v>100</v>
      </c>
      <c r="X36" s="1811"/>
      <c r="Y36" s="3177"/>
      <c r="Z36" s="1812" t="str">
        <f t="shared" si="15"/>
        <v>公共部分装修</v>
      </c>
      <c r="AA36" s="1809">
        <f t="shared" si="3"/>
        <v>1</v>
      </c>
      <c r="AB36" s="1809">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5"/>
      <c r="Q37" s="1808" t="str">
        <f t="shared" si="11"/>
        <v>成新度</v>
      </c>
      <c r="R37" s="774" t="s">
        <v>17</v>
      </c>
      <c r="S37" s="775" t="e">
        <f t="shared" si="12"/>
        <v>#N/A</v>
      </c>
      <c r="T37" s="774" t="s">
        <v>17</v>
      </c>
      <c r="U37" s="775" t="e">
        <f t="shared" si="13"/>
        <v>#N/A</v>
      </c>
      <c r="V37" s="774" t="s">
        <v>17</v>
      </c>
      <c r="W37" s="775" t="e">
        <f t="shared" si="14"/>
        <v>#N/A</v>
      </c>
      <c r="X37" s="1811"/>
      <c r="Y37" s="3177"/>
      <c r="Z37" s="1812" t="str">
        <f t="shared" si="15"/>
        <v>成新度</v>
      </c>
      <c r="AA37" s="1809" t="e">
        <f t="shared" si="3"/>
        <v>#N/A</v>
      </c>
      <c r="AB37" s="1809"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5"/>
      <c r="Q38" s="1793"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5" t="s">
        <v>2563</v>
      </c>
      <c r="Q39" s="1808" t="str">
        <f t="shared" si="11"/>
        <v>物业管理</v>
      </c>
      <c r="R39" s="774" t="s">
        <v>17</v>
      </c>
      <c r="S39" s="775">
        <f t="shared" si="12"/>
        <v>100</v>
      </c>
      <c r="T39" s="774" t="s">
        <v>17</v>
      </c>
      <c r="U39" s="775">
        <f t="shared" si="13"/>
        <v>100</v>
      </c>
      <c r="V39" s="774" t="s">
        <v>17</v>
      </c>
      <c r="W39" s="775">
        <f t="shared" si="14"/>
        <v>100</v>
      </c>
      <c r="X39" s="1811"/>
      <c r="Y39" s="3177" t="s">
        <v>2563</v>
      </c>
      <c r="Z39" s="1812" t="str">
        <f t="shared" si="15"/>
        <v>物业管理</v>
      </c>
      <c r="AA39" s="1809">
        <f t="shared" si="3"/>
        <v>1</v>
      </c>
      <c r="AB39" s="1809">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5"/>
      <c r="Q40" s="1808" t="str">
        <f t="shared" si="11"/>
        <v>市政基础设施</v>
      </c>
      <c r="R40" s="774" t="s">
        <v>17</v>
      </c>
      <c r="S40" s="775">
        <f t="shared" si="12"/>
        <v>100</v>
      </c>
      <c r="T40" s="774" t="s">
        <v>17</v>
      </c>
      <c r="U40" s="775">
        <f t="shared" si="13"/>
        <v>100</v>
      </c>
      <c r="V40" s="774" t="s">
        <v>17</v>
      </c>
      <c r="W40" s="775">
        <f t="shared" si="14"/>
        <v>100</v>
      </c>
      <c r="X40" s="1811"/>
      <c r="Y40" s="3177"/>
      <c r="Z40" s="1812" t="str">
        <f t="shared" si="15"/>
        <v>市政基础设施</v>
      </c>
      <c r="AA40" s="1809">
        <f t="shared" si="3"/>
        <v>1</v>
      </c>
      <c r="AB40" s="1809">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5"/>
      <c r="Q41" s="1808" t="str">
        <f t="shared" si="11"/>
        <v>层高</v>
      </c>
      <c r="R41" s="774" t="s">
        <v>17</v>
      </c>
      <c r="S41" s="775">
        <f t="shared" si="12"/>
        <v>100</v>
      </c>
      <c r="T41" s="774" t="s">
        <v>17</v>
      </c>
      <c r="U41" s="775">
        <f t="shared" si="13"/>
        <v>100</v>
      </c>
      <c r="V41" s="774" t="s">
        <v>17</v>
      </c>
      <c r="W41" s="775">
        <f t="shared" si="14"/>
        <v>100</v>
      </c>
      <c r="X41" s="1811"/>
      <c r="Y41" s="3177"/>
      <c r="Z41" s="1812" t="str">
        <f t="shared" si="15"/>
        <v>层高</v>
      </c>
      <c r="AA41" s="1809">
        <f t="shared" si="3"/>
        <v>1</v>
      </c>
      <c r="AB41" s="1809">
        <f t="shared" si="4"/>
        <v>1</v>
      </c>
      <c r="AC41" s="2672">
        <f t="shared" si="5"/>
        <v>1</v>
      </c>
    </row>
    <row r="42" spans="1:29" s="471" customFormat="1" ht="15">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5"/>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09">
        <f t="shared" si="3"/>
        <v>1</v>
      </c>
      <c r="AB42" s="1809">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5"/>
      <c r="Q43" s="1808" t="str">
        <f t="shared" si="11"/>
        <v>内部装修</v>
      </c>
      <c r="R43" s="774" t="s">
        <v>17</v>
      </c>
      <c r="S43" s="775">
        <f t="shared" si="12"/>
        <v>100</v>
      </c>
      <c r="T43" s="774" t="s">
        <v>17</v>
      </c>
      <c r="U43" s="775">
        <f t="shared" si="13"/>
        <v>100</v>
      </c>
      <c r="V43" s="774" t="s">
        <v>17</v>
      </c>
      <c r="W43" s="775">
        <f t="shared" si="14"/>
        <v>100</v>
      </c>
      <c r="X43" s="1811"/>
      <c r="Y43" s="3177"/>
      <c r="Z43" s="1812" t="str">
        <f t="shared" si="15"/>
        <v>内部装修</v>
      </c>
      <c r="AA43" s="1809">
        <f t="shared" si="3"/>
        <v>1</v>
      </c>
      <c r="AB43" s="1809">
        <f t="shared" si="4"/>
        <v>1</v>
      </c>
      <c r="AC43" s="2672">
        <f t="shared" si="5"/>
        <v>1</v>
      </c>
    </row>
    <row r="44" spans="1:29" ht="28.8">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75"/>
      <c r="Q44" s="1808" t="str">
        <f t="shared" si="11"/>
        <v>内部装修维护情况</v>
      </c>
      <c r="R44" s="774" t="s">
        <v>17</v>
      </c>
      <c r="S44" s="775">
        <f t="shared" si="12"/>
        <v>100</v>
      </c>
      <c r="T44" s="774" t="s">
        <v>17</v>
      </c>
      <c r="U44" s="775">
        <f t="shared" si="13"/>
        <v>100</v>
      </c>
      <c r="V44" s="774" t="s">
        <v>17</v>
      </c>
      <c r="W44" s="775">
        <f t="shared" si="14"/>
        <v>100</v>
      </c>
      <c r="X44" s="1811"/>
      <c r="Y44" s="3177"/>
      <c r="Z44" s="1812" t="str">
        <f t="shared" si="15"/>
        <v>内部装修维护情况</v>
      </c>
      <c r="AA44" s="1809">
        <f t="shared" si="3"/>
        <v>1</v>
      </c>
      <c r="AB44" s="1809">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5"/>
      <c r="Q45" s="1793">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5"/>
      <c r="Q46" s="1808">
        <f t="shared" si="11"/>
        <v>111</v>
      </c>
      <c r="R46" s="774" t="s">
        <v>17</v>
      </c>
      <c r="S46" s="775">
        <f t="shared" si="12"/>
        <v>100</v>
      </c>
      <c r="T46" s="774" t="s">
        <v>17</v>
      </c>
      <c r="U46" s="775">
        <f t="shared" si="13"/>
        <v>100</v>
      </c>
      <c r="V46" s="774" t="s">
        <v>17</v>
      </c>
      <c r="W46" s="775">
        <f t="shared" si="14"/>
        <v>100</v>
      </c>
      <c r="X46" s="1811"/>
      <c r="Y46" s="3177"/>
      <c r="Z46" s="1812">
        <f t="shared" si="15"/>
        <v>111</v>
      </c>
      <c r="AA46" s="1809">
        <f t="shared" si="3"/>
        <v>1</v>
      </c>
      <c r="AB46" s="1809">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6"/>
      <c r="Q47" s="1808">
        <f t="shared" si="11"/>
        <v>111</v>
      </c>
      <c r="R47" s="774" t="s">
        <v>17</v>
      </c>
      <c r="S47" s="775">
        <f t="shared" si="12"/>
        <v>100</v>
      </c>
      <c r="T47" s="774" t="s">
        <v>17</v>
      </c>
      <c r="U47" s="775">
        <f t="shared" si="13"/>
        <v>100</v>
      </c>
      <c r="V47" s="774" t="s">
        <v>17</v>
      </c>
      <c r="W47" s="775">
        <f t="shared" si="14"/>
        <v>100</v>
      </c>
      <c r="X47" s="1811"/>
      <c r="Y47" s="3178"/>
      <c r="Z47" s="1812">
        <f t="shared" si="15"/>
        <v>111</v>
      </c>
      <c r="AA47" s="1809">
        <f t="shared" si="3"/>
        <v>1</v>
      </c>
      <c r="AB47" s="1809">
        <f t="shared" si="4"/>
        <v>1</v>
      </c>
      <c r="AC47" s="2672">
        <f t="shared" si="5"/>
        <v>1</v>
      </c>
    </row>
    <row r="48" spans="1:29" ht="14.4">
      <c r="A48" s="479" t="s">
        <v>2575</v>
      </c>
      <c r="B48" s="480"/>
      <c r="C48" s="1406" t="s">
        <v>1</v>
      </c>
      <c r="D48" s="1407"/>
      <c r="E48" s="1408"/>
      <c r="F48" s="1409"/>
      <c r="G48" s="1410"/>
      <c r="H48" s="1411"/>
      <c r="I48" s="1408"/>
      <c r="J48" s="485"/>
      <c r="K48" s="783"/>
      <c r="L48" s="1143"/>
      <c r="M48" s="1131"/>
      <c r="N48" s="1131"/>
      <c r="O48" s="1131"/>
      <c r="P48" s="3181" t="str">
        <f>A48</f>
        <v>成交单价（元/平方米）</v>
      </c>
      <c r="Q48" s="3170"/>
      <c r="R48" s="3171">
        <f>E48</f>
        <v>0</v>
      </c>
      <c r="S48" s="3171"/>
      <c r="T48" s="3171">
        <f>G48</f>
        <v>0</v>
      </c>
      <c r="U48" s="3171"/>
      <c r="V48" s="3171">
        <f>I48</f>
        <v>0</v>
      </c>
      <c r="W48" s="3171"/>
      <c r="X48" s="446"/>
      <c r="Y48" s="781"/>
      <c r="Z48" s="446"/>
      <c r="AA48" s="446"/>
      <c r="AB48" s="446"/>
      <c r="AC48" s="630"/>
    </row>
    <row r="49" spans="1:29" ht="15" thickBot="1">
      <c r="A49" s="486" t="s">
        <v>2667</v>
      </c>
      <c r="B49" s="487"/>
      <c r="C49" s="1412" t="e">
        <f>R50</f>
        <v>#DIV/0!</v>
      </c>
      <c r="D49" s="1413"/>
      <c r="E49" s="1414" t="e">
        <f>R49</f>
        <v>#DIV/0!</v>
      </c>
      <c r="F49" s="1414"/>
      <c r="G49" s="1412" t="e">
        <f>T49</f>
        <v>#DIV/0!</v>
      </c>
      <c r="H49" s="1413"/>
      <c r="I49" s="1414" t="e">
        <f>V49</f>
        <v>#DIV/0!</v>
      </c>
      <c r="J49" s="489"/>
      <c r="K49" s="784"/>
      <c r="L49" s="1143"/>
      <c r="M49" s="1131"/>
      <c r="N49" s="1131"/>
      <c r="O49" s="1131"/>
      <c r="P49" s="3181"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6"/>
      <c r="Y49" s="446"/>
      <c r="Z49" s="446"/>
      <c r="AA49" s="446"/>
      <c r="AB49" s="446"/>
      <c r="AC49" s="630"/>
    </row>
    <row r="50" spans="1:29" ht="15" thickBot="1">
      <c r="A50" s="492" t="s">
        <v>2668</v>
      </c>
      <c r="B50" s="493"/>
      <c r="C50" s="1416" t="e">
        <f>R50</f>
        <v>#DIV/0!</v>
      </c>
      <c r="D50" s="1416"/>
      <c r="E50" s="1416"/>
      <c r="F50" s="1416"/>
      <c r="G50" s="1416"/>
      <c r="H50" s="1416"/>
      <c r="I50" s="1416"/>
      <c r="J50" s="494"/>
      <c r="K50" s="785"/>
      <c r="L50" s="1143"/>
      <c r="M50" s="1131"/>
      <c r="N50" s="1131"/>
      <c r="O50" s="1131"/>
      <c r="P50" s="3213" t="str">
        <f>A50</f>
        <v>估价对象XX用房的比较价值（楼面单价，元/平方米）</v>
      </c>
      <c r="Q50" s="3214"/>
      <c r="R50" s="3215" t="e">
        <f>IF(F1="售价",ROUND(AVERAGE(R49:V49),0),ROUND(AVERAGE(R49:V49),1))</f>
        <v>#DIV/0!</v>
      </c>
      <c r="S50" s="3215"/>
      <c r="T50" s="3215"/>
      <c r="U50" s="3215"/>
      <c r="V50" s="3215"/>
      <c r="W50" s="321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c r="E60" s="512"/>
      <c r="F60" s="512"/>
      <c r="G60" s="512"/>
      <c r="H60" s="512"/>
      <c r="I60" s="512"/>
      <c r="J60" s="512"/>
      <c r="K60" s="512"/>
      <c r="L60" s="512"/>
      <c r="M60" s="513"/>
      <c r="N60" s="512"/>
      <c r="O60" s="513"/>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2697</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 xml:space="preserve"> 北京东部绿城置业有限公司：</v>
      </c>
    </row>
    <row r="4" spans="1:1" ht="34.799999999999997">
      <c r="A4" s="1945" t="str">
        <f>"受贵公司委托，我公司对"&amp;项目基本情况!S1&amp;"进行了预评估。"</f>
        <v>受贵公司委托，我公司对北京市通州区新华东街289号院2号楼房地产抵押价值进行了预评估。</v>
      </c>
    </row>
    <row r="5" spans="1:1" ht="17.399999999999999">
      <c r="A5" s="1946" t="s">
        <v>1606</v>
      </c>
    </row>
    <row r="6" spans="1:1" ht="17.399999999999999">
      <c r="A6" s="1947" t="s">
        <v>1607</v>
      </c>
    </row>
    <row r="7" spans="1:1" ht="17.399999999999999">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估价对象为北京市通州区新华东街289号院2号楼房地产，为 北京东部绿城置业有限公司所有。根据《国有土地使用证》[]，估价对象（分摊）出让国有建设用地使用权面积为0平方米，建筑面积为48162.54平方米。</v>
      </c>
    </row>
    <row r="8" spans="1:1" ht="54.6">
      <c r="A8" s="1948" t="s">
        <v>1608</v>
      </c>
    </row>
    <row r="9" spans="1:1" ht="17.399999999999999">
      <c r="A9" s="1947" t="s">
        <v>1609</v>
      </c>
    </row>
    <row r="10" spans="1:1" ht="17.399999999999999">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为估价委托人在向建设银行北京城建支行办理贷款手续过程中，确定房地产抵押贷款额度提供参考依据而评估房地产抵押价值。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2020年3月28日（评估专业人员实地查勘之日）</v>
      </c>
    </row>
    <row r="16" spans="1:1" ht="17.399999999999999">
      <c r="A16" s="1950" t="s">
        <v>1613</v>
      </c>
    </row>
    <row r="17" spans="1:1" ht="69.599999999999994">
      <c r="A17" s="1945" t="s">
        <v>1614</v>
      </c>
    </row>
    <row r="18" spans="1:1" ht="52.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
      </c>
    </row>
    <row r="23" spans="1:1" ht="17.399999999999999">
      <c r="A23" s="1950" t="s">
        <v>1603</v>
      </c>
    </row>
    <row r="24" spans="1:1" ht="17.399999999999999">
      <c r="A24" s="1952" t="str">
        <f>"本次评估采用的主估价方法为"&amp;结果表!K4&amp;"和"&amp;结果表!L4&amp;"。"</f>
        <v>本次评估采用的主估价方法为成本法和收益法。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667" t="s">
        <v>2700</v>
      </c>
      <c r="C1" s="1618" t="s">
        <v>2528</v>
      </c>
      <c r="D1" s="1619"/>
      <c r="E1" s="1628"/>
      <c r="F1" s="2582"/>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7"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48162.54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183" t="s">
        <v>2646</v>
      </c>
      <c r="AC4" s="3182" t="s">
        <v>2647</v>
      </c>
    </row>
    <row r="5" spans="1:29">
      <c r="A5" s="404"/>
      <c r="B5" s="405"/>
      <c r="C5" s="3204" t="s">
        <v>2540</v>
      </c>
      <c r="D5" s="3205"/>
      <c r="E5" s="3211" t="s">
        <v>2541</v>
      </c>
      <c r="F5" s="3212"/>
      <c r="G5" s="3204" t="s">
        <v>2542</v>
      </c>
      <c r="H5" s="3205"/>
      <c r="I5" s="3204" t="s">
        <v>2543</v>
      </c>
      <c r="J5" s="3205"/>
      <c r="K5" s="610"/>
      <c r="L5" s="1130"/>
      <c r="M5" s="1131"/>
      <c r="N5" s="1131"/>
      <c r="O5" s="1131"/>
      <c r="P5" s="3191"/>
      <c r="Q5" s="3192"/>
      <c r="R5" s="3197"/>
      <c r="S5" s="3198"/>
      <c r="T5" s="3197"/>
      <c r="U5" s="3198"/>
      <c r="V5" s="3201"/>
      <c r="W5" s="3201"/>
      <c r="X5" s="1811"/>
      <c r="Y5" s="3197"/>
      <c r="Z5" s="3198"/>
      <c r="AA5" s="3183"/>
      <c r="AB5" s="3183"/>
      <c r="AC5" s="3183"/>
    </row>
    <row r="6" spans="1:29" ht="15" thickBot="1">
      <c r="A6" s="406"/>
      <c r="B6" s="407"/>
      <c r="C6" s="3202" t="s">
        <v>2544</v>
      </c>
      <c r="D6" s="3203"/>
      <c r="E6" s="3209" t="s">
        <v>2544</v>
      </c>
      <c r="F6" s="3210"/>
      <c r="G6" s="3202" t="s">
        <v>2544</v>
      </c>
      <c r="H6" s="3203"/>
      <c r="I6" s="3202" t="s">
        <v>2544</v>
      </c>
      <c r="J6" s="3203"/>
      <c r="K6" s="610" t="s">
        <v>2545</v>
      </c>
      <c r="L6" s="1130"/>
      <c r="M6" s="1131"/>
      <c r="N6" s="1131"/>
      <c r="O6" s="1131"/>
      <c r="P6" s="3193"/>
      <c r="Q6" s="3194"/>
      <c r="R6" s="3197"/>
      <c r="S6" s="3198"/>
      <c r="T6" s="3199"/>
      <c r="U6" s="3200"/>
      <c r="V6" s="3201"/>
      <c r="W6" s="3201"/>
      <c r="X6" s="1811"/>
      <c r="Y6" s="3199"/>
      <c r="Z6" s="3200"/>
      <c r="AA6" s="3184"/>
      <c r="AB6" s="3184"/>
      <c r="AC6" s="3184"/>
    </row>
    <row r="7" spans="1:29" s="117" customFormat="1" ht="15" thickBot="1">
      <c r="A7" s="408" t="s">
        <v>2546</v>
      </c>
      <c r="B7" s="409"/>
      <c r="C7" s="410">
        <f>'数据-取费表'!B2</f>
        <v>43918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2547</v>
      </c>
      <c r="Q7" s="3208"/>
      <c r="R7" s="770" t="s">
        <v>17</v>
      </c>
      <c r="S7" s="771">
        <f t="shared" ref="S7:S15" si="0">F7</f>
        <v>0</v>
      </c>
      <c r="T7" s="770" t="s">
        <v>17</v>
      </c>
      <c r="U7" s="771">
        <f t="shared" ref="U7:U15" si="1">H7</f>
        <v>0</v>
      </c>
      <c r="V7" s="770" t="s">
        <v>17</v>
      </c>
      <c r="W7" s="771">
        <f t="shared" ref="W7:W15" si="2">J7</f>
        <v>0</v>
      </c>
      <c r="X7" s="772"/>
      <c r="Y7" s="3206" t="s">
        <v>2547</v>
      </c>
      <c r="Z7" s="3207"/>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2550</v>
      </c>
      <c r="Q8" s="3207"/>
      <c r="R8" s="770" t="s">
        <v>17</v>
      </c>
      <c r="S8" s="771">
        <f t="shared" si="0"/>
        <v>0</v>
      </c>
      <c r="T8" s="770" t="s">
        <v>17</v>
      </c>
      <c r="U8" s="771">
        <f t="shared" si="1"/>
        <v>0</v>
      </c>
      <c r="V8" s="770" t="s">
        <v>17</v>
      </c>
      <c r="W8" s="771">
        <f t="shared" si="2"/>
        <v>0</v>
      </c>
      <c r="X8" s="772"/>
      <c r="Y8" s="3206" t="s">
        <v>2550</v>
      </c>
      <c r="Z8" s="3207"/>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0" t="s">
        <v>2553</v>
      </c>
      <c r="Q9" s="1793" t="str">
        <f t="shared" ref="Q9:Q15" si="6">B9</f>
        <v>用途</v>
      </c>
      <c r="R9" s="770" t="s">
        <v>17</v>
      </c>
      <c r="S9" s="771">
        <f t="shared" si="0"/>
        <v>100</v>
      </c>
      <c r="T9" s="770" t="s">
        <v>17</v>
      </c>
      <c r="U9" s="771">
        <f t="shared" si="1"/>
        <v>100</v>
      </c>
      <c r="V9" s="770" t="s">
        <v>17</v>
      </c>
      <c r="W9" s="771">
        <f t="shared" si="2"/>
        <v>100</v>
      </c>
      <c r="X9" s="772"/>
      <c r="Y9" s="299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0"/>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0"/>
      <c r="Q11" s="1793"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0"/>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0"/>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0"/>
      <c r="Q14" s="1793">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2" t="s">
        <v>2558</v>
      </c>
      <c r="Q15" s="1808" t="str">
        <f t="shared" si="6"/>
        <v>产业集聚程度</v>
      </c>
      <c r="R15" s="774" t="s">
        <v>17</v>
      </c>
      <c r="S15" s="775">
        <f t="shared" si="0"/>
        <v>100</v>
      </c>
      <c r="T15" s="774" t="s">
        <v>17</v>
      </c>
      <c r="U15" s="775">
        <f t="shared" si="1"/>
        <v>100</v>
      </c>
      <c r="V15" s="774" t="s">
        <v>17</v>
      </c>
      <c r="W15" s="775">
        <f t="shared" si="2"/>
        <v>100</v>
      </c>
      <c r="X15" s="1811"/>
      <c r="Y15" s="3172"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73"/>
      <c r="Q16" s="1808"/>
      <c r="R16" s="774"/>
      <c r="S16" s="775"/>
      <c r="T16" s="774"/>
      <c r="U16" s="775"/>
      <c r="V16" s="774"/>
      <c r="W16" s="775"/>
      <c r="X16" s="1811"/>
      <c r="Y16" s="3173"/>
      <c r="Z16" s="1812"/>
      <c r="AA16" s="1809">
        <v>1</v>
      </c>
      <c r="AB16" s="1809">
        <v>1</v>
      </c>
      <c r="AC16" s="1809">
        <v>1</v>
      </c>
    </row>
    <row r="17" spans="1:29" ht="96.6">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3"/>
      <c r="Q17" s="1808" t="str">
        <f>B17</f>
        <v>交通便捷度</v>
      </c>
      <c r="R17" s="774" t="s">
        <v>17</v>
      </c>
      <c r="S17" s="775">
        <f>F17</f>
        <v>100</v>
      </c>
      <c r="T17" s="774" t="s">
        <v>17</v>
      </c>
      <c r="U17" s="775">
        <f>H17</f>
        <v>100</v>
      </c>
      <c r="V17" s="774" t="s">
        <v>17</v>
      </c>
      <c r="W17" s="775">
        <f>J17</f>
        <v>100</v>
      </c>
      <c r="X17" s="1811"/>
      <c r="Y17" s="3173"/>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9"/>
      <c r="P18" s="3173"/>
      <c r="Q18" s="1808"/>
      <c r="R18" s="774"/>
      <c r="S18" s="775"/>
      <c r="T18" s="774"/>
      <c r="U18" s="775"/>
      <c r="V18" s="774"/>
      <c r="W18" s="775"/>
      <c r="X18" s="1811"/>
      <c r="Y18" s="3173"/>
      <c r="Z18" s="1812"/>
      <c r="AA18" s="1809">
        <v>1</v>
      </c>
      <c r="AB18" s="1809">
        <v>1</v>
      </c>
      <c r="AC18" s="1809">
        <v>1</v>
      </c>
    </row>
    <row r="19" spans="1:29" ht="41.4">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3"/>
      <c r="Q19" s="1808" t="str">
        <f>B19</f>
        <v>公共配套设施</v>
      </c>
      <c r="R19" s="774" t="s">
        <v>17</v>
      </c>
      <c r="S19" s="775">
        <f>F19</f>
        <v>100</v>
      </c>
      <c r="T19" s="774" t="s">
        <v>17</v>
      </c>
      <c r="U19" s="775">
        <f>H19</f>
        <v>100</v>
      </c>
      <c r="V19" s="774" t="s">
        <v>17</v>
      </c>
      <c r="W19" s="775">
        <f>J19</f>
        <v>100</v>
      </c>
      <c r="X19" s="1811"/>
      <c r="Y19" s="3173"/>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9"/>
      <c r="P20" s="3173"/>
      <c r="Q20" s="1808"/>
      <c r="R20" s="774"/>
      <c r="S20" s="775"/>
      <c r="T20" s="774"/>
      <c r="U20" s="775"/>
      <c r="V20" s="774"/>
      <c r="W20" s="775"/>
      <c r="X20" s="1811"/>
      <c r="Y20" s="3173"/>
      <c r="Z20" s="1812"/>
      <c r="AA20" s="1809">
        <v>1</v>
      </c>
      <c r="AB20" s="1809">
        <v>1</v>
      </c>
      <c r="AC20" s="1809">
        <v>1</v>
      </c>
    </row>
    <row r="21" spans="1:29" ht="41.4">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3"/>
      <c r="Q21" s="1808" t="str">
        <f>B21</f>
        <v>基础设施水平</v>
      </c>
      <c r="R21" s="774" t="s">
        <v>17</v>
      </c>
      <c r="S21" s="775">
        <f>F21</f>
        <v>100</v>
      </c>
      <c r="T21" s="774" t="s">
        <v>17</v>
      </c>
      <c r="U21" s="775">
        <f>H21</f>
        <v>100</v>
      </c>
      <c r="V21" s="774" t="s">
        <v>17</v>
      </c>
      <c r="W21" s="775">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9"/>
      <c r="P22" s="3173"/>
      <c r="Q22" s="1808"/>
      <c r="R22" s="774"/>
      <c r="S22" s="775"/>
      <c r="T22" s="774"/>
      <c r="U22" s="775"/>
      <c r="V22" s="774"/>
      <c r="W22" s="775"/>
      <c r="X22" s="1811"/>
      <c r="Y22" s="3173"/>
      <c r="Z22" s="1812"/>
      <c r="AA22" s="1809">
        <v>1</v>
      </c>
      <c r="AB22" s="1809">
        <v>1</v>
      </c>
      <c r="AC22" s="1809">
        <v>1</v>
      </c>
    </row>
    <row r="23" spans="1:29" ht="82.8">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3"/>
      <c r="Q23" s="1808" t="str">
        <f>B23</f>
        <v>环境质量</v>
      </c>
      <c r="R23" s="774" t="s">
        <v>17</v>
      </c>
      <c r="S23" s="775">
        <f>F23</f>
        <v>100</v>
      </c>
      <c r="T23" s="774" t="s">
        <v>17</v>
      </c>
      <c r="U23" s="775">
        <f>H23</f>
        <v>100</v>
      </c>
      <c r="V23" s="774" t="s">
        <v>17</v>
      </c>
      <c r="W23" s="775">
        <f>J23</f>
        <v>100</v>
      </c>
      <c r="X23" s="1811"/>
      <c r="Y23" s="3173"/>
      <c r="Z23" s="1812" t="str">
        <f>Q23</f>
        <v>环境质量</v>
      </c>
      <c r="AA23" s="1809">
        <f t="shared" si="3"/>
        <v>1</v>
      </c>
      <c r="AB23" s="1809">
        <f t="shared" si="4"/>
        <v>1</v>
      </c>
      <c r="AC23" s="1809">
        <f t="shared" si="5"/>
        <v>1</v>
      </c>
    </row>
    <row r="24" spans="1:29" ht="15">
      <c r="A24" s="428"/>
      <c r="B24" s="1384"/>
      <c r="C24" s="447"/>
      <c r="D24" s="448"/>
      <c r="E24" s="2603"/>
      <c r="F24" s="449"/>
      <c r="G24" s="2602"/>
      <c r="H24" s="448"/>
      <c r="I24" s="2603"/>
      <c r="J24" s="448"/>
      <c r="K24" s="615"/>
      <c r="L24" s="1140"/>
      <c r="M24" s="1131"/>
      <c r="N24" s="1131"/>
      <c r="O24" s="1139"/>
      <c r="P24" s="3173"/>
      <c r="Q24" s="1808"/>
      <c r="R24" s="774"/>
      <c r="S24" s="775"/>
      <c r="T24" s="774"/>
      <c r="U24" s="775"/>
      <c r="V24" s="774"/>
      <c r="W24" s="775"/>
      <c r="X24" s="1811"/>
      <c r="Y24" s="3173"/>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3"/>
      <c r="Q25" s="1808">
        <f>B25</f>
        <v>111</v>
      </c>
      <c r="R25" s="774" t="s">
        <v>17</v>
      </c>
      <c r="S25" s="775">
        <f>F25</f>
        <v>100</v>
      </c>
      <c r="T25" s="774" t="s">
        <v>17</v>
      </c>
      <c r="U25" s="775">
        <f>H25</f>
        <v>100</v>
      </c>
      <c r="V25" s="774" t="s">
        <v>17</v>
      </c>
      <c r="W25" s="775">
        <f>J25</f>
        <v>100</v>
      </c>
      <c r="X25" s="1811"/>
      <c r="Y25" s="3173"/>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3"/>
      <c r="Q26" s="1808">
        <f t="shared" ref="Q26:Q40" si="11">B26</f>
        <v>111</v>
      </c>
      <c r="R26" s="774" t="s">
        <v>17</v>
      </c>
      <c r="S26" s="775">
        <f>F26</f>
        <v>100</v>
      </c>
      <c r="T26" s="774" t="s">
        <v>17</v>
      </c>
      <c r="U26" s="775">
        <f>H26</f>
        <v>100</v>
      </c>
      <c r="V26" s="774" t="s">
        <v>17</v>
      </c>
      <c r="W26" s="775">
        <f>J26</f>
        <v>100</v>
      </c>
      <c r="X26" s="1811"/>
      <c r="Y26" s="3173"/>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3"/>
      <c r="Q27" s="1793">
        <f t="shared" si="11"/>
        <v>111</v>
      </c>
      <c r="R27" s="770" t="s">
        <v>17</v>
      </c>
      <c r="S27" s="771">
        <f>F27</f>
        <v>100</v>
      </c>
      <c r="T27" s="770" t="s">
        <v>17</v>
      </c>
      <c r="U27" s="771">
        <f>H27</f>
        <v>100</v>
      </c>
      <c r="V27" s="770" t="s">
        <v>17</v>
      </c>
      <c r="W27" s="771">
        <f>J27</f>
        <v>100</v>
      </c>
      <c r="X27" s="772"/>
      <c r="Y27" s="3173"/>
      <c r="Z27" s="55">
        <f>Q27</f>
        <v>111</v>
      </c>
      <c r="AA27" s="1809">
        <f>D27/F27</f>
        <v>1</v>
      </c>
      <c r="AB27" s="1809">
        <f>D27/H27</f>
        <v>1</v>
      </c>
      <c r="AC27" s="1809">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3"/>
      <c r="Q28" s="1808">
        <f t="shared" si="11"/>
        <v>111</v>
      </c>
      <c r="R28" s="774" t="s">
        <v>17</v>
      </c>
      <c r="S28" s="775">
        <f t="shared" ref="S28:S40" si="12">F28</f>
        <v>100</v>
      </c>
      <c r="T28" s="774" t="s">
        <v>17</v>
      </c>
      <c r="U28" s="775">
        <f t="shared" ref="U28:U40" si="13">H28</f>
        <v>100</v>
      </c>
      <c r="V28" s="774" t="s">
        <v>17</v>
      </c>
      <c r="W28" s="775">
        <f t="shared" ref="W28:W40" si="14">J28</f>
        <v>100</v>
      </c>
      <c r="X28" s="1811"/>
      <c r="Y28" s="3173"/>
      <c r="Z28" s="1812">
        <f t="shared" ref="Z28:Z40" si="15">Q28</f>
        <v>111</v>
      </c>
      <c r="AA28" s="1809">
        <f t="shared" si="3"/>
        <v>1</v>
      </c>
      <c r="AB28" s="1809">
        <f t="shared" si="4"/>
        <v>1</v>
      </c>
      <c r="AC28" s="1809">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28" t="s">
        <v>2563</v>
      </c>
      <c r="Q29" s="1808" t="str">
        <f t="shared" si="11"/>
        <v>建筑类型</v>
      </c>
      <c r="R29" s="774" t="s">
        <v>17</v>
      </c>
      <c r="S29" s="775">
        <f t="shared" si="12"/>
        <v>100</v>
      </c>
      <c r="T29" s="774" t="s">
        <v>17</v>
      </c>
      <c r="U29" s="775">
        <f t="shared" si="13"/>
        <v>100</v>
      </c>
      <c r="V29" s="774" t="s">
        <v>17</v>
      </c>
      <c r="W29" s="775">
        <f t="shared" si="14"/>
        <v>100</v>
      </c>
      <c r="X29" s="1811"/>
      <c r="Y29" s="3177"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7"/>
      <c r="Q31" s="1808" t="str">
        <f t="shared" si="11"/>
        <v>建筑结构</v>
      </c>
      <c r="R31" s="774" t="s">
        <v>17</v>
      </c>
      <c r="S31" s="775">
        <f t="shared" si="12"/>
        <v>100</v>
      </c>
      <c r="T31" s="774" t="s">
        <v>17</v>
      </c>
      <c r="U31" s="775">
        <f t="shared" si="13"/>
        <v>100</v>
      </c>
      <c r="V31" s="774" t="s">
        <v>17</v>
      </c>
      <c r="W31" s="775">
        <f t="shared" si="14"/>
        <v>100</v>
      </c>
      <c r="X31" s="1811"/>
      <c r="Y31" s="3177"/>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7"/>
      <c r="Q32" s="1808" t="str">
        <f t="shared" si="11"/>
        <v>公共部分装修</v>
      </c>
      <c r="R32" s="774" t="s">
        <v>17</v>
      </c>
      <c r="S32" s="775">
        <f t="shared" si="12"/>
        <v>100</v>
      </c>
      <c r="T32" s="774" t="s">
        <v>17</v>
      </c>
      <c r="U32" s="775">
        <f t="shared" si="13"/>
        <v>100</v>
      </c>
      <c r="V32" s="774" t="s">
        <v>17</v>
      </c>
      <c r="W32" s="775">
        <f t="shared" si="14"/>
        <v>100</v>
      </c>
      <c r="X32" s="1811"/>
      <c r="Y32" s="3177"/>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7"/>
      <c r="Q33" s="1808" t="str">
        <f t="shared" si="11"/>
        <v>成新度</v>
      </c>
      <c r="R33" s="774" t="s">
        <v>17</v>
      </c>
      <c r="S33" s="775" t="e">
        <f t="shared" si="12"/>
        <v>#N/A</v>
      </c>
      <c r="T33" s="774" t="s">
        <v>17</v>
      </c>
      <c r="U33" s="775" t="e">
        <f t="shared" si="13"/>
        <v>#N/A</v>
      </c>
      <c r="V33" s="774" t="s">
        <v>17</v>
      </c>
      <c r="W33" s="775" t="e">
        <f t="shared" si="14"/>
        <v>#N/A</v>
      </c>
      <c r="X33" s="1811"/>
      <c r="Y33" s="3177"/>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7"/>
      <c r="Q34" s="1793"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7" t="s">
        <v>2563</v>
      </c>
      <c r="Q35" s="1808" t="str">
        <f t="shared" si="11"/>
        <v>市政基础设施</v>
      </c>
      <c r="R35" s="774" t="s">
        <v>17</v>
      </c>
      <c r="S35" s="775">
        <f t="shared" si="12"/>
        <v>100</v>
      </c>
      <c r="T35" s="774" t="s">
        <v>17</v>
      </c>
      <c r="U35" s="775">
        <f t="shared" si="13"/>
        <v>100</v>
      </c>
      <c r="V35" s="774" t="s">
        <v>17</v>
      </c>
      <c r="W35" s="775">
        <f t="shared" si="14"/>
        <v>100</v>
      </c>
      <c r="X35" s="1811"/>
      <c r="Y35" s="3177"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7"/>
      <c r="Q36" s="1808" t="str">
        <f t="shared" si="11"/>
        <v>内部装修</v>
      </c>
      <c r="R36" s="774" t="s">
        <v>17</v>
      </c>
      <c r="S36" s="775">
        <f t="shared" si="12"/>
        <v>100</v>
      </c>
      <c r="T36" s="774" t="s">
        <v>17</v>
      </c>
      <c r="U36" s="775">
        <f t="shared" si="13"/>
        <v>100</v>
      </c>
      <c r="V36" s="774" t="s">
        <v>17</v>
      </c>
      <c r="W36" s="775">
        <f t="shared" si="14"/>
        <v>100</v>
      </c>
      <c r="X36" s="1811"/>
      <c r="Y36" s="3177"/>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7"/>
      <c r="Q37" s="1808" t="str">
        <f t="shared" si="11"/>
        <v>内部装修状况</v>
      </c>
      <c r="R37" s="774" t="s">
        <v>17</v>
      </c>
      <c r="S37" s="775">
        <f t="shared" si="12"/>
        <v>100</v>
      </c>
      <c r="T37" s="774" t="s">
        <v>17</v>
      </c>
      <c r="U37" s="775">
        <f t="shared" si="13"/>
        <v>100</v>
      </c>
      <c r="V37" s="774" t="s">
        <v>17</v>
      </c>
      <c r="W37" s="775">
        <f t="shared" si="14"/>
        <v>100</v>
      </c>
      <c r="X37" s="1811"/>
      <c r="Y37" s="3177"/>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7"/>
      <c r="Q39" s="1808">
        <f t="shared" si="11"/>
        <v>111</v>
      </c>
      <c r="R39" s="774" t="s">
        <v>17</v>
      </c>
      <c r="S39" s="775">
        <f t="shared" si="12"/>
        <v>100</v>
      </c>
      <c r="T39" s="774" t="s">
        <v>17</v>
      </c>
      <c r="U39" s="775">
        <f t="shared" si="13"/>
        <v>100</v>
      </c>
      <c r="V39" s="774" t="s">
        <v>17</v>
      </c>
      <c r="W39" s="775">
        <f t="shared" si="14"/>
        <v>100</v>
      </c>
      <c r="X39" s="1811"/>
      <c r="Y39" s="3177"/>
      <c r="Z39" s="1812">
        <f t="shared" si="15"/>
        <v>111</v>
      </c>
      <c r="AA39" s="1809">
        <f t="shared" si="3"/>
        <v>1</v>
      </c>
      <c r="AB39" s="1809">
        <f t="shared" si="4"/>
        <v>1</v>
      </c>
      <c r="AC39" s="1809">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8"/>
      <c r="Q40" s="1808">
        <f t="shared" si="11"/>
        <v>111</v>
      </c>
      <c r="R40" s="774" t="s">
        <v>17</v>
      </c>
      <c r="S40" s="775">
        <f t="shared" si="12"/>
        <v>100</v>
      </c>
      <c r="T40" s="774" t="s">
        <v>17</v>
      </c>
      <c r="U40" s="775">
        <f t="shared" si="13"/>
        <v>100</v>
      </c>
      <c r="V40" s="774" t="s">
        <v>17</v>
      </c>
      <c r="W40" s="775">
        <f t="shared" si="14"/>
        <v>100</v>
      </c>
      <c r="X40" s="1811"/>
      <c r="Y40" s="3178"/>
      <c r="Z40" s="1812">
        <f t="shared" si="15"/>
        <v>111</v>
      </c>
      <c r="AA40" s="1809">
        <f t="shared" si="3"/>
        <v>1</v>
      </c>
      <c r="AB40" s="1809">
        <f t="shared" si="4"/>
        <v>1</v>
      </c>
      <c r="AC40" s="1809">
        <f t="shared" si="5"/>
        <v>1</v>
      </c>
    </row>
    <row r="41" spans="1:29" ht="14.4">
      <c r="A41" s="479" t="s">
        <v>2575</v>
      </c>
      <c r="B41" s="480"/>
      <c r="C41" s="1406" t="s">
        <v>1</v>
      </c>
      <c r="D41" s="1407"/>
      <c r="E41" s="1408"/>
      <c r="F41" s="1409"/>
      <c r="G41" s="1410"/>
      <c r="H41" s="1411"/>
      <c r="I41" s="1408"/>
      <c r="J41" s="1411"/>
      <c r="K41" s="783"/>
      <c r="L41" s="1143"/>
      <c r="M41" s="1144"/>
      <c r="N41" s="1131"/>
      <c r="O41" s="1144"/>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 thickBot="1">
      <c r="A42" s="486" t="s">
        <v>2667</v>
      </c>
      <c r="B42" s="487"/>
      <c r="C42" s="1412" t="e">
        <f>R43</f>
        <v>#DIV/0!</v>
      </c>
      <c r="D42" s="1413"/>
      <c r="E42" s="1414" t="e">
        <f>R42</f>
        <v>#DIV/0!</v>
      </c>
      <c r="F42" s="1414"/>
      <c r="G42" s="1412" t="e">
        <f>T42</f>
        <v>#DIV/0!</v>
      </c>
      <c r="H42" s="1413"/>
      <c r="I42" s="1414" t="e">
        <f>V42</f>
        <v>#DIV/0!</v>
      </c>
      <c r="J42" s="1413"/>
      <c r="K42" s="784"/>
      <c r="L42" s="1143"/>
      <c r="M42" s="1144"/>
      <c r="N42" s="1131"/>
      <c r="O42" s="1144"/>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 thickBot="1">
      <c r="A43" s="492" t="s">
        <v>2668</v>
      </c>
      <c r="B43" s="493"/>
      <c r="C43" s="1416" t="e">
        <f>R43</f>
        <v>#DIV/0!</v>
      </c>
      <c r="D43" s="1416"/>
      <c r="E43" s="1416"/>
      <c r="F43" s="1416"/>
      <c r="G43" s="1416"/>
      <c r="H43" s="1416"/>
      <c r="I43" s="1416"/>
      <c r="J43" s="1416"/>
      <c r="K43" s="785"/>
      <c r="L43" s="1143"/>
      <c r="M43" s="1144"/>
      <c r="N43" s="1144"/>
      <c r="O43" s="1144"/>
      <c r="P43" s="3167" t="str">
        <f>A43</f>
        <v>估价对象XX用房的比较价值（楼面单价，元/平方米）</v>
      </c>
      <c r="Q43" s="3168"/>
      <c r="R43" s="3169" t="e">
        <f>IF(F1="售价",ROUND(AVERAGE(R42:V42),0),ROUND(AVERAGE(R42:V42),1))</f>
        <v>#DIV/0!</v>
      </c>
      <c r="S43" s="3169"/>
      <c r="T43" s="3169"/>
      <c r="U43" s="3169"/>
      <c r="V43" s="3169"/>
      <c r="W43" s="316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2705</v>
      </c>
      <c r="B1" s="1617"/>
      <c r="C1" s="1618" t="s">
        <v>2528</v>
      </c>
      <c r="D1" s="1619"/>
      <c r="E1" s="1620"/>
      <c r="F1" s="2582"/>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7"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183" t="s">
        <v>2646</v>
      </c>
      <c r="AC4" s="3182" t="s">
        <v>2647</v>
      </c>
    </row>
    <row r="5" spans="1:29">
      <c r="A5" s="404"/>
      <c r="B5" s="405"/>
      <c r="C5" s="3204" t="s">
        <v>2540</v>
      </c>
      <c r="D5" s="3205"/>
      <c r="E5" s="3211" t="s">
        <v>2541</v>
      </c>
      <c r="F5" s="3212"/>
      <c r="G5" s="3204" t="s">
        <v>2542</v>
      </c>
      <c r="H5" s="3205"/>
      <c r="I5" s="3204" t="s">
        <v>2543</v>
      </c>
      <c r="J5" s="3205"/>
      <c r="K5" s="610"/>
      <c r="L5" s="1130"/>
      <c r="M5" s="1131"/>
      <c r="N5" s="1131"/>
      <c r="O5" s="1131"/>
      <c r="P5" s="3191"/>
      <c r="Q5" s="3192"/>
      <c r="R5" s="3197"/>
      <c r="S5" s="3198"/>
      <c r="T5" s="3197"/>
      <c r="U5" s="3198"/>
      <c r="V5" s="3201"/>
      <c r="W5" s="3201"/>
      <c r="X5" s="1811"/>
      <c r="Y5" s="3197"/>
      <c r="Z5" s="3198"/>
      <c r="AA5" s="3183"/>
      <c r="AB5" s="3183"/>
      <c r="AC5" s="3183"/>
    </row>
    <row r="6" spans="1:29" ht="15" thickBot="1">
      <c r="A6" s="406"/>
      <c r="B6" s="407"/>
      <c r="C6" s="3202" t="s">
        <v>2544</v>
      </c>
      <c r="D6" s="3203"/>
      <c r="E6" s="3209" t="s">
        <v>2544</v>
      </c>
      <c r="F6" s="3210"/>
      <c r="G6" s="3202" t="s">
        <v>2544</v>
      </c>
      <c r="H6" s="3203"/>
      <c r="I6" s="3202" t="s">
        <v>2544</v>
      </c>
      <c r="J6" s="3203"/>
      <c r="K6" s="610" t="s">
        <v>2545</v>
      </c>
      <c r="L6" s="1130"/>
      <c r="M6" s="1131"/>
      <c r="N6" s="1131"/>
      <c r="O6" s="1131"/>
      <c r="P6" s="3193"/>
      <c r="Q6" s="3194"/>
      <c r="R6" s="3197"/>
      <c r="S6" s="3198"/>
      <c r="T6" s="3199"/>
      <c r="U6" s="3200"/>
      <c r="V6" s="3201"/>
      <c r="W6" s="3201"/>
      <c r="X6" s="1811"/>
      <c r="Y6" s="3199"/>
      <c r="Z6" s="3200"/>
      <c r="AA6" s="3184"/>
      <c r="AB6" s="3184"/>
      <c r="AC6" s="3184"/>
    </row>
    <row r="7" spans="1:29" s="117" customFormat="1" ht="15" thickBot="1">
      <c r="A7" s="408" t="s">
        <v>2546</v>
      </c>
      <c r="B7" s="409"/>
      <c r="C7" s="410">
        <f>'数据-取费表'!B2</f>
        <v>43918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2547</v>
      </c>
      <c r="Q7" s="3208"/>
      <c r="R7" s="770" t="s">
        <v>17</v>
      </c>
      <c r="S7" s="771">
        <f t="shared" ref="S7:S14" si="0">F7</f>
        <v>0</v>
      </c>
      <c r="T7" s="770" t="s">
        <v>17</v>
      </c>
      <c r="U7" s="771">
        <f t="shared" ref="U7:U14" si="1">H7</f>
        <v>0</v>
      </c>
      <c r="V7" s="770" t="s">
        <v>17</v>
      </c>
      <c r="W7" s="771">
        <f t="shared" ref="W7:W14" si="2">J7</f>
        <v>0</v>
      </c>
      <c r="X7" s="772"/>
      <c r="Y7" s="3206" t="s">
        <v>2547</v>
      </c>
      <c r="Z7" s="3207"/>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2550</v>
      </c>
      <c r="Q8" s="3207"/>
      <c r="R8" s="770" t="s">
        <v>17</v>
      </c>
      <c r="S8" s="771">
        <f t="shared" si="0"/>
        <v>0</v>
      </c>
      <c r="T8" s="770" t="s">
        <v>17</v>
      </c>
      <c r="U8" s="771">
        <f t="shared" si="1"/>
        <v>0</v>
      </c>
      <c r="V8" s="770" t="s">
        <v>17</v>
      </c>
      <c r="W8" s="771">
        <f t="shared" si="2"/>
        <v>0</v>
      </c>
      <c r="X8" s="772"/>
      <c r="Y8" s="3206" t="s">
        <v>2550</v>
      </c>
      <c r="Z8" s="3207"/>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0" t="s">
        <v>2553</v>
      </c>
      <c r="Q9" s="1793" t="str">
        <f t="shared" ref="Q9:Q14" si="6">B9</f>
        <v>用途</v>
      </c>
      <c r="R9" s="770" t="s">
        <v>17</v>
      </c>
      <c r="S9" s="771">
        <f t="shared" si="0"/>
        <v>100</v>
      </c>
      <c r="T9" s="770" t="s">
        <v>17</v>
      </c>
      <c r="U9" s="771">
        <f t="shared" si="1"/>
        <v>100</v>
      </c>
      <c r="V9" s="770" t="s">
        <v>17</v>
      </c>
      <c r="W9" s="771">
        <f t="shared" si="2"/>
        <v>100</v>
      </c>
      <c r="X9" s="772"/>
      <c r="Y9" s="2995"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0"/>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0"/>
      <c r="Q11" s="1793">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0"/>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0"/>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2" t="s">
        <v>2558</v>
      </c>
      <c r="Q14" s="1808" t="str">
        <f t="shared" si="6"/>
        <v>交通便捷度</v>
      </c>
      <c r="R14" s="774" t="s">
        <v>17</v>
      </c>
      <c r="S14" s="775">
        <f t="shared" si="0"/>
        <v>100</v>
      </c>
      <c r="T14" s="774" t="s">
        <v>17</v>
      </c>
      <c r="U14" s="775">
        <f t="shared" si="1"/>
        <v>100</v>
      </c>
      <c r="V14" s="774" t="s">
        <v>17</v>
      </c>
      <c r="W14" s="775">
        <f t="shared" si="2"/>
        <v>100</v>
      </c>
      <c r="X14" s="1811"/>
      <c r="Y14" s="3172"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73"/>
      <c r="Q15" s="1808"/>
      <c r="R15" s="774"/>
      <c r="S15" s="775"/>
      <c r="T15" s="774"/>
      <c r="U15" s="775"/>
      <c r="V15" s="774"/>
      <c r="W15" s="775"/>
      <c r="X15" s="1811"/>
      <c r="Y15" s="3173"/>
      <c r="Z15" s="1812"/>
      <c r="AA15" s="1809">
        <v>1</v>
      </c>
      <c r="AB15" s="1809">
        <v>1</v>
      </c>
      <c r="AC15" s="1809">
        <v>1</v>
      </c>
    </row>
    <row r="16" spans="1:29" ht="41.4">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3"/>
      <c r="Q16" s="1808" t="str">
        <f>B16</f>
        <v>公共配套设施</v>
      </c>
      <c r="R16" s="774" t="s">
        <v>17</v>
      </c>
      <c r="S16" s="775">
        <f>F16</f>
        <v>100</v>
      </c>
      <c r="T16" s="774" t="s">
        <v>17</v>
      </c>
      <c r="U16" s="775">
        <f>H16</f>
        <v>100</v>
      </c>
      <c r="V16" s="774" t="s">
        <v>17</v>
      </c>
      <c r="W16" s="775">
        <f>J16</f>
        <v>100</v>
      </c>
      <c r="X16" s="1811"/>
      <c r="Y16" s="3173"/>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40"/>
      <c r="M17" s="1131"/>
      <c r="N17" s="1131"/>
      <c r="O17" s="1131"/>
      <c r="P17" s="3173"/>
      <c r="Q17" s="1808"/>
      <c r="R17" s="774"/>
      <c r="S17" s="775"/>
      <c r="T17" s="774"/>
      <c r="U17" s="775"/>
      <c r="V17" s="774"/>
      <c r="W17" s="775"/>
      <c r="X17" s="1811"/>
      <c r="Y17" s="3173"/>
      <c r="Z17" s="1812"/>
      <c r="AA17" s="1809">
        <v>1</v>
      </c>
      <c r="AB17" s="1809">
        <v>1</v>
      </c>
      <c r="AC17" s="1809">
        <v>1</v>
      </c>
    </row>
    <row r="18" spans="1:29" ht="41.4">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3"/>
      <c r="Q18" s="1808" t="str">
        <f>B18</f>
        <v>基础设施水平</v>
      </c>
      <c r="R18" s="774" t="s">
        <v>17</v>
      </c>
      <c r="S18" s="775">
        <f>F18</f>
        <v>100</v>
      </c>
      <c r="T18" s="774" t="s">
        <v>17</v>
      </c>
      <c r="U18" s="775">
        <f>H18</f>
        <v>100</v>
      </c>
      <c r="V18" s="774" t="s">
        <v>17</v>
      </c>
      <c r="W18" s="775">
        <f>J18</f>
        <v>100</v>
      </c>
      <c r="X18" s="1811"/>
      <c r="Y18" s="3173"/>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3"/>
      <c r="L19" s="1140"/>
      <c r="M19" s="1131"/>
      <c r="N19" s="1131"/>
      <c r="O19" s="1131"/>
      <c r="P19" s="3173"/>
      <c r="Q19" s="1808"/>
      <c r="R19" s="774"/>
      <c r="S19" s="775"/>
      <c r="T19" s="774"/>
      <c r="U19" s="775"/>
      <c r="V19" s="774"/>
      <c r="W19" s="775"/>
      <c r="X19" s="1811"/>
      <c r="Y19" s="3173"/>
      <c r="Z19" s="1812"/>
      <c r="AA19" s="1809">
        <v>1</v>
      </c>
      <c r="AB19" s="1809">
        <v>1</v>
      </c>
      <c r="AC19" s="1809">
        <v>1</v>
      </c>
    </row>
    <row r="20" spans="1:29" ht="55.2">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3"/>
      <c r="Q20" s="1808" t="str">
        <f>B20</f>
        <v>自然及人文环境</v>
      </c>
      <c r="R20" s="774" t="s">
        <v>17</v>
      </c>
      <c r="S20" s="775">
        <f>F20</f>
        <v>100</v>
      </c>
      <c r="T20" s="774" t="s">
        <v>17</v>
      </c>
      <c r="U20" s="775">
        <f>H20</f>
        <v>100</v>
      </c>
      <c r="V20" s="774" t="s">
        <v>17</v>
      </c>
      <c r="W20" s="775">
        <f>J20</f>
        <v>100</v>
      </c>
      <c r="X20" s="1811"/>
      <c r="Y20" s="317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73"/>
      <c r="Q21" s="1808"/>
      <c r="R21" s="774"/>
      <c r="S21" s="775"/>
      <c r="T21" s="774"/>
      <c r="U21" s="775"/>
      <c r="V21" s="774"/>
      <c r="W21" s="775"/>
      <c r="X21" s="1811"/>
      <c r="Y21" s="3173"/>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3"/>
      <c r="Q22" s="1808" t="str">
        <f>B22</f>
        <v>楼层</v>
      </c>
      <c r="R22" s="774" t="s">
        <v>17</v>
      </c>
      <c r="S22" s="775">
        <f>F22</f>
        <v>100</v>
      </c>
      <c r="T22" s="774" t="s">
        <v>17</v>
      </c>
      <c r="U22" s="775">
        <f>H22</f>
        <v>100</v>
      </c>
      <c r="V22" s="774" t="s">
        <v>17</v>
      </c>
      <c r="W22" s="775">
        <f>J22</f>
        <v>100</v>
      </c>
      <c r="X22" s="1811"/>
      <c r="Y22" s="317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3"/>
      <c r="Q23" s="1808">
        <f>B23</f>
        <v>111</v>
      </c>
      <c r="R23" s="774" t="s">
        <v>17</v>
      </c>
      <c r="S23" s="775">
        <f>F23</f>
        <v>100</v>
      </c>
      <c r="T23" s="774" t="s">
        <v>17</v>
      </c>
      <c r="U23" s="775">
        <f>H23</f>
        <v>100</v>
      </c>
      <c r="V23" s="774" t="s">
        <v>17</v>
      </c>
      <c r="W23" s="775">
        <f>J23</f>
        <v>100</v>
      </c>
      <c r="X23" s="1811"/>
      <c r="Y23" s="317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3"/>
      <c r="Q24" s="1808">
        <f t="shared" ref="Q24:Q36" si="11">B24</f>
        <v>111</v>
      </c>
      <c r="R24" s="774" t="s">
        <v>17</v>
      </c>
      <c r="S24" s="775">
        <f>F24</f>
        <v>100</v>
      </c>
      <c r="T24" s="774" t="s">
        <v>17</v>
      </c>
      <c r="U24" s="775">
        <f>H24</f>
        <v>100</v>
      </c>
      <c r="V24" s="774" t="s">
        <v>17</v>
      </c>
      <c r="W24" s="775">
        <f>J24</f>
        <v>100</v>
      </c>
      <c r="X24" s="1811"/>
      <c r="Y24" s="3173"/>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3"/>
      <c r="Q25" s="1793">
        <f t="shared" si="11"/>
        <v>111</v>
      </c>
      <c r="R25" s="770" t="s">
        <v>17</v>
      </c>
      <c r="S25" s="771">
        <f>F25</f>
        <v>100</v>
      </c>
      <c r="T25" s="770" t="s">
        <v>17</v>
      </c>
      <c r="U25" s="771">
        <f>H25</f>
        <v>100</v>
      </c>
      <c r="V25" s="770" t="s">
        <v>17</v>
      </c>
      <c r="W25" s="771">
        <f>J25</f>
        <v>100</v>
      </c>
      <c r="X25" s="772"/>
      <c r="Y25" s="3173"/>
      <c r="Z25" s="55">
        <f>Q25</f>
        <v>111</v>
      </c>
      <c r="AA25" s="1809">
        <f>D25/F25</f>
        <v>1</v>
      </c>
      <c r="AB25" s="1809">
        <f>D25/H25</f>
        <v>1</v>
      </c>
      <c r="AC25" s="1809">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8" t="s">
        <v>2563</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77"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7"/>
      <c r="Q28" s="1808" t="str">
        <f t="shared" si="11"/>
        <v>公共部分装修</v>
      </c>
      <c r="R28" s="774" t="s">
        <v>17</v>
      </c>
      <c r="S28" s="775">
        <f t="shared" si="12"/>
        <v>100</v>
      </c>
      <c r="T28" s="774" t="s">
        <v>17</v>
      </c>
      <c r="U28" s="775">
        <f t="shared" si="13"/>
        <v>100</v>
      </c>
      <c r="V28" s="774" t="s">
        <v>17</v>
      </c>
      <c r="W28" s="775">
        <f t="shared" si="14"/>
        <v>100</v>
      </c>
      <c r="X28" s="1811"/>
      <c r="Y28" s="3177"/>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7"/>
      <c r="Q29" s="1808" t="str">
        <f t="shared" si="11"/>
        <v>成新率</v>
      </c>
      <c r="R29" s="774" t="s">
        <v>17</v>
      </c>
      <c r="S29" s="775" t="e">
        <f t="shared" si="12"/>
        <v>#N/A</v>
      </c>
      <c r="T29" s="774" t="s">
        <v>17</v>
      </c>
      <c r="U29" s="775" t="e">
        <f t="shared" si="13"/>
        <v>#N/A</v>
      </c>
      <c r="V29" s="774" t="s">
        <v>17</v>
      </c>
      <c r="W29" s="775" t="e">
        <f t="shared" si="14"/>
        <v>#N/A</v>
      </c>
      <c r="X29" s="1811"/>
      <c r="Y29" s="3177"/>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7"/>
      <c r="Q30" s="1808" t="str">
        <f t="shared" si="11"/>
        <v>物业等级</v>
      </c>
      <c r="R30" s="774" t="s">
        <v>17</v>
      </c>
      <c r="S30" s="775">
        <f t="shared" si="12"/>
        <v>100</v>
      </c>
      <c r="T30" s="774" t="s">
        <v>17</v>
      </c>
      <c r="U30" s="775">
        <f t="shared" si="13"/>
        <v>100</v>
      </c>
      <c r="V30" s="774" t="s">
        <v>17</v>
      </c>
      <c r="W30" s="775">
        <f t="shared" si="14"/>
        <v>100</v>
      </c>
      <c r="X30" s="1811"/>
      <c r="Y30" s="3177"/>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7"/>
      <c r="Q31" s="1793"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7" t="s">
        <v>2563</v>
      </c>
      <c r="Q32" s="1808" t="str">
        <f t="shared" si="11"/>
        <v>车位类型</v>
      </c>
      <c r="R32" s="774" t="s">
        <v>17</v>
      </c>
      <c r="S32" s="775">
        <f t="shared" si="12"/>
        <v>100</v>
      </c>
      <c r="T32" s="774" t="s">
        <v>17</v>
      </c>
      <c r="U32" s="775">
        <f t="shared" si="13"/>
        <v>100</v>
      </c>
      <c r="V32" s="774" t="s">
        <v>17</v>
      </c>
      <c r="W32" s="775">
        <f t="shared" si="14"/>
        <v>100</v>
      </c>
      <c r="X32" s="1811"/>
      <c r="Y32" s="3177"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7"/>
      <c r="Q33" s="1808" t="str">
        <f t="shared" si="11"/>
        <v>是否直接入户</v>
      </c>
      <c r="R33" s="774" t="s">
        <v>17</v>
      </c>
      <c r="S33" s="775">
        <f t="shared" si="12"/>
        <v>100</v>
      </c>
      <c r="T33" s="774" t="s">
        <v>17</v>
      </c>
      <c r="U33" s="775">
        <f t="shared" si="13"/>
        <v>100</v>
      </c>
      <c r="V33" s="774" t="s">
        <v>17</v>
      </c>
      <c r="W33" s="775">
        <f t="shared" si="14"/>
        <v>100</v>
      </c>
      <c r="X33" s="1811"/>
      <c r="Y33" s="317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7"/>
      <c r="Q34" s="1808">
        <f t="shared" si="11"/>
        <v>111</v>
      </c>
      <c r="R34" s="774" t="s">
        <v>17</v>
      </c>
      <c r="S34" s="775">
        <f t="shared" si="12"/>
        <v>100</v>
      </c>
      <c r="T34" s="774" t="s">
        <v>17</v>
      </c>
      <c r="U34" s="775">
        <f t="shared" si="13"/>
        <v>100</v>
      </c>
      <c r="V34" s="774" t="s">
        <v>17</v>
      </c>
      <c r="W34" s="775">
        <f t="shared" si="14"/>
        <v>100</v>
      </c>
      <c r="X34" s="1811"/>
      <c r="Y34" s="317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7"/>
      <c r="Q36" s="1808">
        <f t="shared" si="11"/>
        <v>111</v>
      </c>
      <c r="R36" s="774" t="s">
        <v>17</v>
      </c>
      <c r="S36" s="775">
        <f t="shared" si="12"/>
        <v>100</v>
      </c>
      <c r="T36" s="774" t="s">
        <v>17</v>
      </c>
      <c r="U36" s="775">
        <f t="shared" si="13"/>
        <v>100</v>
      </c>
      <c r="V36" s="774" t="s">
        <v>17</v>
      </c>
      <c r="W36" s="775">
        <f t="shared" si="14"/>
        <v>100</v>
      </c>
      <c r="X36" s="1811"/>
      <c r="Y36" s="3177"/>
      <c r="Z36" s="1812">
        <f t="shared" si="15"/>
        <v>111</v>
      </c>
      <c r="AA36" s="1809">
        <f t="shared" si="3"/>
        <v>1</v>
      </c>
      <c r="AB36" s="1809">
        <f t="shared" si="4"/>
        <v>1</v>
      </c>
      <c r="AC36" s="1809">
        <f t="shared" si="5"/>
        <v>1</v>
      </c>
    </row>
    <row r="37" spans="1:29" ht="14.4">
      <c r="A37" s="479" t="s">
        <v>2718</v>
      </c>
      <c r="B37" s="2693" t="s">
        <v>2719</v>
      </c>
      <c r="C37" s="1406" t="s">
        <v>1</v>
      </c>
      <c r="D37" s="1407"/>
      <c r="E37" s="1408"/>
      <c r="F37" s="1409"/>
      <c r="G37" s="1410"/>
      <c r="H37" s="1411"/>
      <c r="I37" s="1408"/>
      <c r="J37" s="1411"/>
      <c r="K37" s="619"/>
      <c r="L37" s="1143"/>
      <c r="M37" s="1144"/>
      <c r="N37" s="1131"/>
      <c r="O37" s="1144"/>
      <c r="P37" s="3170" t="str">
        <f>A37</f>
        <v>成交单价</v>
      </c>
      <c r="Q37" s="3170"/>
      <c r="R37" s="3171">
        <f>E37</f>
        <v>0</v>
      </c>
      <c r="S37" s="3171"/>
      <c r="T37" s="3171">
        <f>G37</f>
        <v>0</v>
      </c>
      <c r="U37" s="3171"/>
      <c r="V37" s="3171">
        <f>I37</f>
        <v>0</v>
      </c>
      <c r="W37" s="3171"/>
      <c r="X37" s="759"/>
      <c r="Y37" s="781"/>
      <c r="Z37" s="759"/>
      <c r="AA37" s="759"/>
      <c r="AB37" s="759"/>
      <c r="AC37" s="759"/>
    </row>
    <row r="38" spans="1:29" ht="15" thickBot="1">
      <c r="A38" s="486" t="s">
        <v>2720</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 thickBot="1">
      <c r="A39" s="492" t="s">
        <v>2721</v>
      </c>
      <c r="B39" s="493"/>
      <c r="C39" s="1416" t="e">
        <f>R39</f>
        <v>#DIV/0!</v>
      </c>
      <c r="D39" s="1416"/>
      <c r="E39" s="1416"/>
      <c r="F39" s="1416"/>
      <c r="G39" s="1416"/>
      <c r="H39" s="1416"/>
      <c r="I39" s="1416"/>
      <c r="J39" s="1416"/>
      <c r="K39" s="621"/>
      <c r="L39" s="1143"/>
      <c r="M39" s="1144"/>
      <c r="N39" s="1144"/>
      <c r="O39" s="1144"/>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2725</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2726</v>
      </c>
      <c r="B48" s="506"/>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2548</v>
      </c>
      <c r="B51" s="510"/>
      <c r="C51" s="522" t="s">
        <v>2650</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2586</v>
      </c>
      <c r="B53" s="528" t="s">
        <v>2552</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2561</v>
      </c>
      <c r="B79" s="528" t="s">
        <v>2728</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2614</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2733</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2705</v>
      </c>
      <c r="B1" s="1617"/>
      <c r="C1" s="1618" t="s">
        <v>2528</v>
      </c>
      <c r="D1" s="1619"/>
      <c r="E1" s="1628"/>
      <c r="F1" s="2582"/>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7"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183" t="s">
        <v>2646</v>
      </c>
      <c r="AC4" s="3182" t="s">
        <v>2647</v>
      </c>
    </row>
    <row r="5" spans="1:29">
      <c r="A5" s="404"/>
      <c r="B5" s="405"/>
      <c r="C5" s="3204" t="s">
        <v>2540</v>
      </c>
      <c r="D5" s="3205"/>
      <c r="E5" s="3211" t="s">
        <v>2541</v>
      </c>
      <c r="F5" s="3212"/>
      <c r="G5" s="3204" t="s">
        <v>2542</v>
      </c>
      <c r="H5" s="3205"/>
      <c r="I5" s="3204" t="s">
        <v>2543</v>
      </c>
      <c r="J5" s="3205"/>
      <c r="K5" s="610"/>
      <c r="L5" s="1130"/>
      <c r="M5" s="1131"/>
      <c r="N5" s="1131"/>
      <c r="O5" s="1131"/>
      <c r="P5" s="3191"/>
      <c r="Q5" s="3192"/>
      <c r="R5" s="3197"/>
      <c r="S5" s="3198"/>
      <c r="T5" s="3197"/>
      <c r="U5" s="3198"/>
      <c r="V5" s="3201"/>
      <c r="W5" s="3201"/>
      <c r="X5" s="1811"/>
      <c r="Y5" s="3197"/>
      <c r="Z5" s="3198"/>
      <c r="AA5" s="3183"/>
      <c r="AB5" s="3183"/>
      <c r="AC5" s="3183"/>
    </row>
    <row r="6" spans="1:29" ht="15" thickBot="1">
      <c r="A6" s="406"/>
      <c r="B6" s="407"/>
      <c r="C6" s="3202" t="s">
        <v>2544</v>
      </c>
      <c r="D6" s="3203"/>
      <c r="E6" s="3209" t="s">
        <v>2544</v>
      </c>
      <c r="F6" s="3210"/>
      <c r="G6" s="3202" t="s">
        <v>2544</v>
      </c>
      <c r="H6" s="3203"/>
      <c r="I6" s="3202" t="s">
        <v>2544</v>
      </c>
      <c r="J6" s="3203"/>
      <c r="K6" s="610" t="s">
        <v>2545</v>
      </c>
      <c r="L6" s="1130"/>
      <c r="M6" s="1131"/>
      <c r="N6" s="1131"/>
      <c r="O6" s="1131"/>
      <c r="P6" s="3193"/>
      <c r="Q6" s="3194"/>
      <c r="R6" s="3197"/>
      <c r="S6" s="3198"/>
      <c r="T6" s="3199"/>
      <c r="U6" s="3200"/>
      <c r="V6" s="3201"/>
      <c r="W6" s="3201"/>
      <c r="X6" s="1811"/>
      <c r="Y6" s="3199"/>
      <c r="Z6" s="3200"/>
      <c r="AA6" s="3184"/>
      <c r="AB6" s="3184"/>
      <c r="AC6" s="3184"/>
    </row>
    <row r="7" spans="1:29" s="117" customFormat="1" ht="15" thickBot="1">
      <c r="A7" s="408" t="s">
        <v>2546</v>
      </c>
      <c r="B7" s="409"/>
      <c r="C7" s="410">
        <f>'数据-取费表'!B2</f>
        <v>43918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6" t="s">
        <v>2547</v>
      </c>
      <c r="Q7" s="3208"/>
      <c r="R7" s="770" t="s">
        <v>17</v>
      </c>
      <c r="S7" s="771">
        <f t="shared" ref="S7:S14" si="0">F7</f>
        <v>0</v>
      </c>
      <c r="T7" s="770" t="s">
        <v>17</v>
      </c>
      <c r="U7" s="771">
        <f t="shared" ref="U7:U14" si="1">H7</f>
        <v>0</v>
      </c>
      <c r="V7" s="770" t="s">
        <v>17</v>
      </c>
      <c r="W7" s="771">
        <f t="shared" ref="W7:W14" si="2">J7</f>
        <v>0</v>
      </c>
      <c r="X7" s="772"/>
      <c r="Y7" s="3206" t="s">
        <v>2547</v>
      </c>
      <c r="Z7" s="3207"/>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2550</v>
      </c>
      <c r="Q8" s="3207"/>
      <c r="R8" s="770" t="s">
        <v>17</v>
      </c>
      <c r="S8" s="771">
        <f t="shared" si="0"/>
        <v>0</v>
      </c>
      <c r="T8" s="770" t="s">
        <v>17</v>
      </c>
      <c r="U8" s="771">
        <f t="shared" si="1"/>
        <v>0</v>
      </c>
      <c r="V8" s="770" t="s">
        <v>17</v>
      </c>
      <c r="W8" s="771">
        <f t="shared" si="2"/>
        <v>0</v>
      </c>
      <c r="X8" s="772"/>
      <c r="Y8" s="3206" t="s">
        <v>2550</v>
      </c>
      <c r="Z8" s="3207"/>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0" t="s">
        <v>2553</v>
      </c>
      <c r="Q9" s="1793" t="str">
        <f t="shared" ref="Q9:Q14" si="6">B9</f>
        <v>用途</v>
      </c>
      <c r="R9" s="770" t="s">
        <v>17</v>
      </c>
      <c r="S9" s="771">
        <f t="shared" si="0"/>
        <v>100</v>
      </c>
      <c r="T9" s="770" t="s">
        <v>17</v>
      </c>
      <c r="U9" s="771">
        <f t="shared" si="1"/>
        <v>100</v>
      </c>
      <c r="V9" s="770" t="s">
        <v>17</v>
      </c>
      <c r="W9" s="771">
        <f t="shared" si="2"/>
        <v>100</v>
      </c>
      <c r="X9" s="772"/>
      <c r="Y9" s="2995"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0"/>
      <c r="Q10" s="1793"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0"/>
      <c r="Q11" s="1793">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0"/>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0"/>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2" t="s">
        <v>2558</v>
      </c>
      <c r="Q14" s="1808" t="str">
        <f t="shared" si="6"/>
        <v>交通便捷度</v>
      </c>
      <c r="R14" s="774" t="s">
        <v>17</v>
      </c>
      <c r="S14" s="775">
        <f t="shared" si="0"/>
        <v>100</v>
      </c>
      <c r="T14" s="774" t="s">
        <v>17</v>
      </c>
      <c r="U14" s="775">
        <f t="shared" si="1"/>
        <v>100</v>
      </c>
      <c r="V14" s="774" t="s">
        <v>17</v>
      </c>
      <c r="W14" s="775">
        <f t="shared" si="2"/>
        <v>100</v>
      </c>
      <c r="X14" s="1811"/>
      <c r="Y14" s="3172"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73"/>
      <c r="Q15" s="1808"/>
      <c r="R15" s="774"/>
      <c r="S15" s="775"/>
      <c r="T15" s="774"/>
      <c r="U15" s="775"/>
      <c r="V15" s="774"/>
      <c r="W15" s="775"/>
      <c r="X15" s="1811"/>
      <c r="Y15" s="3173"/>
      <c r="Z15" s="1812"/>
      <c r="AA15" s="1809">
        <v>1</v>
      </c>
      <c r="AB15" s="1809">
        <v>1</v>
      </c>
      <c r="AC15" s="1809">
        <v>1</v>
      </c>
    </row>
    <row r="16" spans="1:29" ht="41.4">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3"/>
      <c r="Q16" s="1808" t="str">
        <f>B16</f>
        <v>公共配套设施</v>
      </c>
      <c r="R16" s="774" t="s">
        <v>17</v>
      </c>
      <c r="S16" s="775">
        <f>F16</f>
        <v>100</v>
      </c>
      <c r="T16" s="774" t="s">
        <v>17</v>
      </c>
      <c r="U16" s="775">
        <f>H16</f>
        <v>100</v>
      </c>
      <c r="V16" s="774" t="s">
        <v>17</v>
      </c>
      <c r="W16" s="775">
        <f>J16</f>
        <v>100</v>
      </c>
      <c r="X16" s="1811"/>
      <c r="Y16" s="3173"/>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40"/>
      <c r="M17" s="1131"/>
      <c r="N17" s="1131"/>
      <c r="O17" s="1139"/>
      <c r="P17" s="3173"/>
      <c r="Q17" s="1808"/>
      <c r="R17" s="774"/>
      <c r="S17" s="775"/>
      <c r="T17" s="774"/>
      <c r="U17" s="775"/>
      <c r="V17" s="774"/>
      <c r="W17" s="775"/>
      <c r="X17" s="1811"/>
      <c r="Y17" s="3173"/>
      <c r="Z17" s="1812"/>
      <c r="AA17" s="1809">
        <v>1</v>
      </c>
      <c r="AB17" s="1809">
        <v>1</v>
      </c>
      <c r="AC17" s="1809">
        <v>1</v>
      </c>
    </row>
    <row r="18" spans="1:29" ht="41.4">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3"/>
      <c r="Q18" s="1808" t="str">
        <f>B18</f>
        <v>基础设施水平</v>
      </c>
      <c r="R18" s="774" t="s">
        <v>17</v>
      </c>
      <c r="S18" s="775">
        <f>F18</f>
        <v>100</v>
      </c>
      <c r="T18" s="774" t="s">
        <v>17</v>
      </c>
      <c r="U18" s="775">
        <f>H18</f>
        <v>100</v>
      </c>
      <c r="V18" s="774" t="s">
        <v>17</v>
      </c>
      <c r="W18" s="775">
        <f>J18</f>
        <v>100</v>
      </c>
      <c r="X18" s="1811"/>
      <c r="Y18" s="3173"/>
      <c r="Z18" s="1812" t="str">
        <f>Q18</f>
        <v>基础设施水平</v>
      </c>
      <c r="AA18" s="1809">
        <f t="shared" ref="AA18" si="8">D18/F18</f>
        <v>1</v>
      </c>
      <c r="AB18" s="1809">
        <f t="shared" ref="AB18" si="9">D18/H18</f>
        <v>1</v>
      </c>
      <c r="AC18" s="1809">
        <f t="shared" ref="AC18" si="10">D18/J18</f>
        <v>1</v>
      </c>
    </row>
    <row r="19" spans="1:29" ht="15">
      <c r="A19" s="428"/>
      <c r="B19" s="1384"/>
      <c r="C19" s="2606"/>
      <c r="D19" s="450"/>
      <c r="E19" s="2606"/>
      <c r="F19" s="453"/>
      <c r="G19" s="2606"/>
      <c r="H19" s="448"/>
      <c r="I19" s="447"/>
      <c r="J19" s="448"/>
      <c r="K19" s="1383"/>
      <c r="L19" s="1140"/>
      <c r="M19" s="1131"/>
      <c r="N19" s="1131"/>
      <c r="O19" s="1139"/>
      <c r="P19" s="3173"/>
      <c r="Q19" s="1808"/>
      <c r="R19" s="774"/>
      <c r="S19" s="775"/>
      <c r="T19" s="774"/>
      <c r="U19" s="775"/>
      <c r="V19" s="774"/>
      <c r="W19" s="775"/>
      <c r="X19" s="1811"/>
      <c r="Y19" s="3173"/>
      <c r="Z19" s="1812"/>
      <c r="AA19" s="1809">
        <v>1</v>
      </c>
      <c r="AB19" s="1809">
        <v>1</v>
      </c>
      <c r="AC19" s="1809">
        <v>1</v>
      </c>
    </row>
    <row r="20" spans="1:29" ht="55.2">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3"/>
      <c r="Q20" s="1808" t="str">
        <f>B20</f>
        <v>自然及人文环境</v>
      </c>
      <c r="R20" s="774" t="s">
        <v>17</v>
      </c>
      <c r="S20" s="775">
        <f>F20</f>
        <v>100</v>
      </c>
      <c r="T20" s="774" t="s">
        <v>17</v>
      </c>
      <c r="U20" s="775">
        <f>H20</f>
        <v>100</v>
      </c>
      <c r="V20" s="774" t="s">
        <v>17</v>
      </c>
      <c r="W20" s="775">
        <f>J20</f>
        <v>100</v>
      </c>
      <c r="X20" s="1811"/>
      <c r="Y20" s="317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73"/>
      <c r="Q21" s="1808"/>
      <c r="R21" s="774"/>
      <c r="S21" s="775"/>
      <c r="T21" s="774"/>
      <c r="U21" s="775"/>
      <c r="V21" s="774"/>
      <c r="W21" s="775"/>
      <c r="X21" s="1811"/>
      <c r="Y21" s="3173"/>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3"/>
      <c r="Q22" s="1808" t="str">
        <f>B22</f>
        <v>楼层</v>
      </c>
      <c r="R22" s="774" t="s">
        <v>17</v>
      </c>
      <c r="S22" s="775">
        <f>F22</f>
        <v>100</v>
      </c>
      <c r="T22" s="774" t="s">
        <v>17</v>
      </c>
      <c r="U22" s="775">
        <f>H22</f>
        <v>100</v>
      </c>
      <c r="V22" s="774" t="s">
        <v>17</v>
      </c>
      <c r="W22" s="775">
        <f>J22</f>
        <v>100</v>
      </c>
      <c r="X22" s="1811"/>
      <c r="Y22" s="3173"/>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3"/>
      <c r="Q23" s="1808">
        <f>B23</f>
        <v>111</v>
      </c>
      <c r="R23" s="774" t="s">
        <v>17</v>
      </c>
      <c r="S23" s="775">
        <f>F23</f>
        <v>100</v>
      </c>
      <c r="T23" s="774" t="s">
        <v>17</v>
      </c>
      <c r="U23" s="775">
        <f>H23</f>
        <v>100</v>
      </c>
      <c r="V23" s="774" t="s">
        <v>17</v>
      </c>
      <c r="W23" s="775">
        <f>J23</f>
        <v>100</v>
      </c>
      <c r="X23" s="1811"/>
      <c r="Y23" s="3173"/>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3"/>
      <c r="Q24" s="1808">
        <f t="shared" ref="Q24:Q34" si="11">B24</f>
        <v>111</v>
      </c>
      <c r="R24" s="774" t="s">
        <v>17</v>
      </c>
      <c r="S24" s="775">
        <f>F24</f>
        <v>100</v>
      </c>
      <c r="T24" s="774" t="s">
        <v>17</v>
      </c>
      <c r="U24" s="775">
        <f>H24</f>
        <v>100</v>
      </c>
      <c r="V24" s="774" t="s">
        <v>17</v>
      </c>
      <c r="W24" s="775">
        <f>J24</f>
        <v>100</v>
      </c>
      <c r="X24" s="1811"/>
      <c r="Y24" s="3173"/>
      <c r="Z24" s="1812">
        <f>Q24</f>
        <v>111</v>
      </c>
      <c r="AA24" s="1809">
        <f t="shared" si="3"/>
        <v>1</v>
      </c>
      <c r="AB24" s="1809">
        <f t="shared" si="4"/>
        <v>1</v>
      </c>
      <c r="AC24" s="1809">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73"/>
      <c r="Q25" s="1793">
        <f t="shared" si="11"/>
        <v>111</v>
      </c>
      <c r="R25" s="770" t="s">
        <v>17</v>
      </c>
      <c r="S25" s="771">
        <f>F25</f>
        <v>100</v>
      </c>
      <c r="T25" s="770" t="s">
        <v>17</v>
      </c>
      <c r="U25" s="771">
        <f>H25</f>
        <v>100</v>
      </c>
      <c r="V25" s="770" t="s">
        <v>17</v>
      </c>
      <c r="W25" s="771">
        <f>J25</f>
        <v>100</v>
      </c>
      <c r="X25" s="772"/>
      <c r="Y25" s="3173"/>
      <c r="Z25" s="55">
        <f>Q25</f>
        <v>111</v>
      </c>
      <c r="AA25" s="1809">
        <f>D25/F25</f>
        <v>1</v>
      </c>
      <c r="AB25" s="1809">
        <f>D25/H25</f>
        <v>1</v>
      </c>
      <c r="AC25" s="1809">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28" t="s">
        <v>2563</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77"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7"/>
      <c r="Q28" s="1808" t="str">
        <f t="shared" si="11"/>
        <v>物业等级</v>
      </c>
      <c r="R28" s="774" t="s">
        <v>17</v>
      </c>
      <c r="S28" s="775">
        <f t="shared" si="12"/>
        <v>100</v>
      </c>
      <c r="T28" s="774" t="s">
        <v>17</v>
      </c>
      <c r="U28" s="775">
        <f t="shared" si="13"/>
        <v>100</v>
      </c>
      <c r="V28" s="774" t="s">
        <v>17</v>
      </c>
      <c r="W28" s="775">
        <f t="shared" si="14"/>
        <v>100</v>
      </c>
      <c r="X28" s="1811"/>
      <c r="Y28" s="3177"/>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7"/>
      <c r="Q29" s="1808" t="str">
        <f t="shared" si="11"/>
        <v>有无电梯</v>
      </c>
      <c r="R29" s="774" t="s">
        <v>17</v>
      </c>
      <c r="S29" s="775">
        <f t="shared" si="12"/>
        <v>100</v>
      </c>
      <c r="T29" s="774" t="s">
        <v>17</v>
      </c>
      <c r="U29" s="775">
        <f t="shared" si="13"/>
        <v>100</v>
      </c>
      <c r="V29" s="774" t="s">
        <v>17</v>
      </c>
      <c r="W29" s="775">
        <f t="shared" si="14"/>
        <v>100</v>
      </c>
      <c r="X29" s="1811"/>
      <c r="Y29" s="3177"/>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7"/>
      <c r="Q30" s="1808" t="str">
        <f t="shared" si="11"/>
        <v>建筑面积</v>
      </c>
      <c r="R30" s="774" t="s">
        <v>17</v>
      </c>
      <c r="S30" s="775" t="e">
        <f t="shared" si="12"/>
        <v>#N/A</v>
      </c>
      <c r="T30" s="774" t="s">
        <v>17</v>
      </c>
      <c r="U30" s="775" t="e">
        <f t="shared" si="13"/>
        <v>#N/A</v>
      </c>
      <c r="V30" s="774" t="s">
        <v>17</v>
      </c>
      <c r="W30" s="775" t="e">
        <f t="shared" si="14"/>
        <v>#N/A</v>
      </c>
      <c r="X30" s="1811"/>
      <c r="Y30" s="3177"/>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7"/>
      <c r="Q31" s="1793"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7" t="s">
        <v>2563</v>
      </c>
      <c r="Q32" s="1808">
        <f t="shared" si="11"/>
        <v>111</v>
      </c>
      <c r="R32" s="774" t="s">
        <v>17</v>
      </c>
      <c r="S32" s="775">
        <f t="shared" si="12"/>
        <v>100</v>
      </c>
      <c r="T32" s="774" t="s">
        <v>17</v>
      </c>
      <c r="U32" s="775">
        <f t="shared" si="13"/>
        <v>100</v>
      </c>
      <c r="V32" s="774" t="s">
        <v>17</v>
      </c>
      <c r="W32" s="775">
        <f t="shared" si="14"/>
        <v>100</v>
      </c>
      <c r="X32" s="1811"/>
      <c r="Y32" s="3177" t="s">
        <v>2563</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7"/>
      <c r="Q33" s="1808">
        <f t="shared" si="11"/>
        <v>111</v>
      </c>
      <c r="R33" s="774" t="s">
        <v>17</v>
      </c>
      <c r="S33" s="775">
        <f t="shared" si="12"/>
        <v>100</v>
      </c>
      <c r="T33" s="774" t="s">
        <v>17</v>
      </c>
      <c r="U33" s="775">
        <f t="shared" si="13"/>
        <v>100</v>
      </c>
      <c r="V33" s="774" t="s">
        <v>17</v>
      </c>
      <c r="W33" s="775">
        <f t="shared" si="14"/>
        <v>100</v>
      </c>
      <c r="X33" s="1811"/>
      <c r="Y33" s="3177"/>
      <c r="Z33" s="1812">
        <f t="shared" si="15"/>
        <v>111</v>
      </c>
      <c r="AA33" s="1809">
        <f t="shared" si="3"/>
        <v>1</v>
      </c>
      <c r="AB33" s="1809">
        <f t="shared" si="4"/>
        <v>1</v>
      </c>
      <c r="AC33" s="1809">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77"/>
      <c r="Q34" s="1808">
        <f t="shared" si="11"/>
        <v>111</v>
      </c>
      <c r="R34" s="774" t="s">
        <v>17</v>
      </c>
      <c r="S34" s="775">
        <f t="shared" si="12"/>
        <v>100</v>
      </c>
      <c r="T34" s="774" t="s">
        <v>17</v>
      </c>
      <c r="U34" s="775">
        <f t="shared" si="13"/>
        <v>100</v>
      </c>
      <c r="V34" s="774" t="s">
        <v>17</v>
      </c>
      <c r="W34" s="775">
        <f t="shared" si="14"/>
        <v>100</v>
      </c>
      <c r="X34" s="1811"/>
      <c r="Y34" s="3177"/>
      <c r="Z34" s="1812">
        <f t="shared" si="15"/>
        <v>111</v>
      </c>
      <c r="AA34" s="1809">
        <f t="shared" si="3"/>
        <v>1</v>
      </c>
      <c r="AB34" s="1809">
        <f t="shared" si="4"/>
        <v>1</v>
      </c>
      <c r="AC34" s="1809">
        <f t="shared" si="5"/>
        <v>1</v>
      </c>
    </row>
    <row r="35" spans="1:29" ht="14.4">
      <c r="A35" s="479" t="s">
        <v>2575</v>
      </c>
      <c r="B35" s="480"/>
      <c r="C35" s="1406" t="s">
        <v>1</v>
      </c>
      <c r="D35" s="1407"/>
      <c r="E35" s="1408"/>
      <c r="F35" s="1409"/>
      <c r="G35" s="1410"/>
      <c r="H35" s="1411"/>
      <c r="I35" s="1408"/>
      <c r="J35" s="1411"/>
      <c r="K35" s="783"/>
      <c r="L35" s="1143"/>
      <c r="M35" s="1144"/>
      <c r="N35" s="1131"/>
      <c r="O35" s="1144"/>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 thickBot="1">
      <c r="A36" s="486" t="s">
        <v>2667</v>
      </c>
      <c r="B36" s="487"/>
      <c r="C36" s="1412" t="e">
        <f>R37</f>
        <v>#DIV/0!</v>
      </c>
      <c r="D36" s="1413"/>
      <c r="E36" s="1414" t="e">
        <f>R36</f>
        <v>#DIV/0!</v>
      </c>
      <c r="F36" s="1414"/>
      <c r="G36" s="1412" t="e">
        <f>T36</f>
        <v>#DIV/0!</v>
      </c>
      <c r="H36" s="1413"/>
      <c r="I36" s="1414" t="e">
        <f>V36</f>
        <v>#DIV/0!</v>
      </c>
      <c r="J36" s="1413"/>
      <c r="K36" s="784"/>
      <c r="L36" s="1143"/>
      <c r="M36" s="1144"/>
      <c r="N36" s="1131"/>
      <c r="O36" s="1144"/>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 thickBot="1">
      <c r="A37" s="492" t="s">
        <v>2668</v>
      </c>
      <c r="B37" s="493"/>
      <c r="C37" s="1416" t="e">
        <f>R37</f>
        <v>#DIV/0!</v>
      </c>
      <c r="D37" s="1416"/>
      <c r="E37" s="1416"/>
      <c r="F37" s="1416"/>
      <c r="G37" s="1416"/>
      <c r="H37" s="1416"/>
      <c r="I37" s="1416"/>
      <c r="J37" s="1416"/>
      <c r="K37" s="785"/>
      <c r="L37" s="1143"/>
      <c r="M37" s="1144"/>
      <c r="N37" s="1144"/>
      <c r="O37" s="1144"/>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55" zoomScaleNormal="55" workbookViewId="0">
      <selection activeCell="E23" sqref="E23"/>
    </sheetView>
  </sheetViews>
  <sheetFormatPr defaultColWidth="9" defaultRowHeight="13.8"/>
  <cols>
    <col min="1" max="1" width="14.33203125" style="403" customWidth="1"/>
    <col min="2" max="2" width="15.77734375" style="403" customWidth="1"/>
    <col min="3" max="3" width="16.44140625" style="403" customWidth="1"/>
    <col min="4" max="4" width="14.109375" style="403" customWidth="1"/>
    <col min="5" max="5" width="17.5546875" style="403" customWidth="1"/>
    <col min="6" max="6" width="12.21875" style="403" customWidth="1"/>
    <col min="7" max="7" width="16.218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61350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12738</v>
      </c>
      <c r="C3" s="247" t="s">
        <v>2744</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183" t="s">
        <v>2646</v>
      </c>
      <c r="AC4" s="3182" t="s">
        <v>2647</v>
      </c>
    </row>
    <row r="5" spans="1:30">
      <c r="A5" s="404"/>
      <c r="B5" s="405"/>
      <c r="C5" s="3292" t="s">
        <v>3338</v>
      </c>
      <c r="D5" s="3205"/>
      <c r="E5" s="3211" t="str">
        <f>土地案例!A2</f>
        <v>北京市通州区潞城镇FZX-0901-0162地块F3其他类多功能用地</v>
      </c>
      <c r="F5" s="3212"/>
      <c r="G5" s="3204" t="str">
        <f>土地案例!A18</f>
        <v>朝阳区金盏乡楼梓庄村1113-602地块</v>
      </c>
      <c r="H5" s="3205"/>
      <c r="I5" s="3204" t="str">
        <f>土地案例!A20</f>
        <v>朝阳区金盏乡楼梓庄村1113-603地块</v>
      </c>
      <c r="J5" s="3205"/>
      <c r="K5" s="610"/>
      <c r="L5" s="1130"/>
      <c r="M5" s="1131"/>
      <c r="N5" s="1131"/>
      <c r="O5" s="1131"/>
      <c r="P5" s="3191"/>
      <c r="Q5" s="3192"/>
      <c r="R5" s="3197"/>
      <c r="S5" s="3198"/>
      <c r="T5" s="3197"/>
      <c r="U5" s="3198"/>
      <c r="V5" s="3201"/>
      <c r="W5" s="3201"/>
      <c r="X5" s="1811"/>
      <c r="Y5" s="3197"/>
      <c r="Z5" s="3198"/>
      <c r="AA5" s="3183"/>
      <c r="AB5" s="3183"/>
      <c r="AC5" s="3183"/>
    </row>
    <row r="6" spans="1:30" ht="15" thickBot="1">
      <c r="A6" s="406"/>
      <c r="B6" s="407"/>
      <c r="C6" s="3202" t="s">
        <v>2544</v>
      </c>
      <c r="D6" s="3203"/>
      <c r="E6" s="3293" t="s">
        <v>3339</v>
      </c>
      <c r="F6" s="3210"/>
      <c r="G6" s="3300" t="s">
        <v>3373</v>
      </c>
      <c r="H6" s="3203"/>
      <c r="I6" s="3300" t="s">
        <v>3373</v>
      </c>
      <c r="J6" s="3203"/>
      <c r="K6" s="610" t="s">
        <v>2545</v>
      </c>
      <c r="L6" s="1130"/>
      <c r="M6" s="1131"/>
      <c r="N6" s="1131"/>
      <c r="O6" s="1131"/>
      <c r="P6" s="3193"/>
      <c r="Q6" s="3194"/>
      <c r="R6" s="3197"/>
      <c r="S6" s="3198"/>
      <c r="T6" s="3199"/>
      <c r="U6" s="3200"/>
      <c r="V6" s="3201"/>
      <c r="W6" s="3201"/>
      <c r="X6" s="1811"/>
      <c r="Y6" s="3199"/>
      <c r="Z6" s="3200"/>
      <c r="AA6" s="3184"/>
      <c r="AB6" s="3184"/>
      <c r="AC6" s="3184"/>
    </row>
    <row r="7" spans="1:30" s="117" customFormat="1" ht="15" thickBot="1">
      <c r="A7" s="408" t="s">
        <v>2546</v>
      </c>
      <c r="B7" s="409"/>
      <c r="C7" s="410">
        <f>'数据-取费表'!B2</f>
        <v>43918</v>
      </c>
      <c r="D7" s="411">
        <v>100</v>
      </c>
      <c r="E7" s="412" t="str">
        <f>土地案例!AA2</f>
        <v>2019-10-17</v>
      </c>
      <c r="F7" s="413">
        <f>SUMIF(70:70,YEAR(E7)&amp;"-"&amp;INT((MONTH(E7)+2)/3),71:71)</f>
        <v>99.5</v>
      </c>
      <c r="G7" s="2694" t="str">
        <f>土地案例!AA18</f>
        <v>2017-04-14</v>
      </c>
      <c r="H7" s="411">
        <f>SUMIF(70:70,YEAR(G7)&amp;"-"&amp;INT((MONTH(G7)+2)/3),71:71)</f>
        <v>94.5</v>
      </c>
      <c r="I7" s="2694" t="str">
        <f>土地案例!AA20</f>
        <v>2017-03-30</v>
      </c>
      <c r="J7" s="411">
        <f>SUMIF(70:70,YEAR(I7)&amp;"-"&amp;INT((MONTH(I7)+2)/3),71:71)</f>
        <v>94</v>
      </c>
      <c r="K7" s="611"/>
      <c r="L7" s="1132"/>
      <c r="M7" s="1133"/>
      <c r="N7" s="1133"/>
      <c r="O7" s="1133"/>
      <c r="P7" s="3206" t="s">
        <v>2547</v>
      </c>
      <c r="Q7" s="3208"/>
      <c r="R7" s="770" t="s">
        <v>17</v>
      </c>
      <c r="S7" s="771">
        <f t="shared" ref="S7:S15" si="0">F7</f>
        <v>99.5</v>
      </c>
      <c r="T7" s="770" t="s">
        <v>17</v>
      </c>
      <c r="U7" s="771">
        <f t="shared" ref="U7:U15" si="1">H7</f>
        <v>94.5</v>
      </c>
      <c r="V7" s="770" t="s">
        <v>17</v>
      </c>
      <c r="W7" s="771">
        <f t="shared" ref="W7:W15" si="2">J7</f>
        <v>94</v>
      </c>
      <c r="X7" s="772"/>
      <c r="Y7" s="3206" t="s">
        <v>2547</v>
      </c>
      <c r="Z7" s="3207"/>
      <c r="AA7" s="773">
        <f>D7/F7</f>
        <v>1.0050251256281406</v>
      </c>
      <c r="AB7" s="773">
        <f>D7/H7</f>
        <v>1.0582010582010581</v>
      </c>
      <c r="AC7" s="773">
        <f>D7/J7</f>
        <v>1.0638297872340425</v>
      </c>
    </row>
    <row r="8" spans="1:30" s="117" customFormat="1" ht="15" thickBot="1">
      <c r="A8" s="408" t="s">
        <v>2548</v>
      </c>
      <c r="B8" s="409"/>
      <c r="C8" s="414" t="s">
        <v>2549</v>
      </c>
      <c r="D8" s="411">
        <v>100</v>
      </c>
      <c r="E8" s="414" t="s">
        <v>3340</v>
      </c>
      <c r="F8" s="413">
        <f>SUMIF(73:73,E8,74:74)-SUMIF(73:73,C8,74:74)+100</f>
        <v>100</v>
      </c>
      <c r="G8" s="414" t="s">
        <v>3340</v>
      </c>
      <c r="H8" s="411">
        <f>SUMIF(73:73,G8,74:74)-SUMIF(73:73,C8,74:74)+100</f>
        <v>100</v>
      </c>
      <c r="I8" s="414" t="s">
        <v>3340</v>
      </c>
      <c r="J8" s="411">
        <f>SUMIF(73:73,I8,74:74)-SUMIF(73:73,C8,74:74)+100</f>
        <v>100</v>
      </c>
      <c r="K8" s="611"/>
      <c r="L8" s="1132"/>
      <c r="M8" s="1133"/>
      <c r="N8" s="1133"/>
      <c r="O8" s="1133"/>
      <c r="P8" s="3206" t="s">
        <v>2550</v>
      </c>
      <c r="Q8" s="3207"/>
      <c r="R8" s="770" t="s">
        <v>17</v>
      </c>
      <c r="S8" s="771">
        <f t="shared" si="0"/>
        <v>100</v>
      </c>
      <c r="T8" s="770" t="s">
        <v>17</v>
      </c>
      <c r="U8" s="771">
        <f t="shared" si="1"/>
        <v>100</v>
      </c>
      <c r="V8" s="770" t="s">
        <v>17</v>
      </c>
      <c r="W8" s="771">
        <f t="shared" si="2"/>
        <v>100</v>
      </c>
      <c r="X8" s="772"/>
      <c r="Y8" s="3206" t="s">
        <v>2550</v>
      </c>
      <c r="Z8" s="3207"/>
      <c r="AA8" s="773">
        <f t="shared" ref="AA8:AA45" si="3">D8/F8</f>
        <v>1</v>
      </c>
      <c r="AB8" s="773">
        <f t="shared" ref="AB8:AB45" si="4">D8/H8</f>
        <v>1</v>
      </c>
      <c r="AC8" s="773">
        <f t="shared" ref="AC8:AC45" si="5">D8/J8</f>
        <v>1</v>
      </c>
    </row>
    <row r="9" spans="1:30" s="117" customFormat="1" ht="28.2" customHeight="1">
      <c r="A9" s="415" t="s">
        <v>2551</v>
      </c>
      <c r="B9" s="71" t="s">
        <v>2552</v>
      </c>
      <c r="C9" s="2697" t="s">
        <v>3341</v>
      </c>
      <c r="D9" s="135">
        <v>100</v>
      </c>
      <c r="E9" s="2697" t="s">
        <v>3344</v>
      </c>
      <c r="F9" s="135">
        <f>SUMIF(75:75,E9,76:76)-SUMIF(75:75,C9,76:76)+100</f>
        <v>97</v>
      </c>
      <c r="G9" s="2697" t="s">
        <v>3341</v>
      </c>
      <c r="H9" s="135">
        <f>SUMIF(75:75,G9,76:76)-SUMIF(75:75,C9,76:76)+100</f>
        <v>100</v>
      </c>
      <c r="I9" s="2697" t="s">
        <v>3344</v>
      </c>
      <c r="J9" s="135">
        <f>SUMIF(75:75,I9,76:76)-SUMIF(75:75,C9,76:76)+100</f>
        <v>97</v>
      </c>
      <c r="K9" s="611"/>
      <c r="L9" s="1132"/>
      <c r="M9" s="1133"/>
      <c r="N9" s="1133"/>
      <c r="O9" s="1134"/>
      <c r="P9" s="3170" t="s">
        <v>2553</v>
      </c>
      <c r="Q9" s="1793" t="str">
        <f t="shared" ref="Q9:Q15" si="6">B9</f>
        <v>用途</v>
      </c>
      <c r="R9" s="770" t="s">
        <v>17</v>
      </c>
      <c r="S9" s="771">
        <f t="shared" si="0"/>
        <v>97</v>
      </c>
      <c r="T9" s="770" t="s">
        <v>17</v>
      </c>
      <c r="U9" s="771">
        <f t="shared" si="1"/>
        <v>100</v>
      </c>
      <c r="V9" s="770" t="s">
        <v>17</v>
      </c>
      <c r="W9" s="771">
        <f t="shared" si="2"/>
        <v>97</v>
      </c>
      <c r="X9" s="772"/>
      <c r="Y9" s="2995" t="s">
        <v>2554</v>
      </c>
      <c r="Z9" s="55" t="str">
        <f t="shared" ref="Z9:Z15" si="7">Q9</f>
        <v>用途</v>
      </c>
      <c r="AA9" s="773">
        <f t="shared" si="3"/>
        <v>1.0309278350515463</v>
      </c>
      <c r="AB9" s="773">
        <f t="shared" si="4"/>
        <v>1</v>
      </c>
      <c r="AC9" s="773">
        <f t="shared" si="5"/>
        <v>1.0309278350515463</v>
      </c>
    </row>
    <row r="10" spans="1:30" s="427" customFormat="1" ht="28.8">
      <c r="A10" s="421"/>
      <c r="B10" s="422" t="s">
        <v>2555</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70"/>
      <c r="Q10" s="1793" t="str">
        <f t="shared" si="6"/>
        <v>土地使用年限（年）</v>
      </c>
      <c r="R10" s="770" t="s">
        <v>17</v>
      </c>
      <c r="S10" s="771">
        <f t="shared" si="0"/>
        <v>110</v>
      </c>
      <c r="T10" s="770" t="s">
        <v>17</v>
      </c>
      <c r="U10" s="771">
        <f t="shared" si="1"/>
        <v>110</v>
      </c>
      <c r="V10" s="770" t="s">
        <v>17</v>
      </c>
      <c r="W10" s="771">
        <f t="shared" si="2"/>
        <v>110</v>
      </c>
      <c r="X10" s="772"/>
      <c r="Y10" s="2995"/>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v>4.5</v>
      </c>
      <c r="D11" s="136">
        <v>100</v>
      </c>
      <c r="E11" s="429">
        <v>2.5</v>
      </c>
      <c r="F11" s="136">
        <f>LOOKUP(E11,80:80,81:81)-LOOKUP(C11,80:80,81:81)+100</f>
        <v>110</v>
      </c>
      <c r="G11" s="430">
        <v>3</v>
      </c>
      <c r="H11" s="136">
        <f>LOOKUP(G11,80:80,81:81)-LOOKUP(C11,80:80,81:81)+100</f>
        <v>105</v>
      </c>
      <c r="I11" s="429">
        <v>2</v>
      </c>
      <c r="J11" s="136">
        <f>LOOKUP(I11,80:80,81:81)-LOOKUP(C11,80:80,81:81)+100</f>
        <v>110</v>
      </c>
      <c r="K11" s="673">
        <v>5</v>
      </c>
      <c r="L11" s="1138"/>
      <c r="M11" s="1131"/>
      <c r="N11" s="1131"/>
      <c r="O11" s="1139"/>
      <c r="P11" s="3170"/>
      <c r="Q11" s="1793" t="str">
        <f t="shared" si="6"/>
        <v>容积率</v>
      </c>
      <c r="R11" s="770" t="s">
        <v>17</v>
      </c>
      <c r="S11" s="771">
        <f t="shared" si="0"/>
        <v>110</v>
      </c>
      <c r="T11" s="770" t="s">
        <v>17</v>
      </c>
      <c r="U11" s="771">
        <f t="shared" si="1"/>
        <v>105</v>
      </c>
      <c r="V11" s="770" t="s">
        <v>17</v>
      </c>
      <c r="W11" s="771">
        <f t="shared" si="2"/>
        <v>110</v>
      </c>
      <c r="X11" s="772"/>
      <c r="Y11" s="2995"/>
      <c r="Z11" s="55" t="str">
        <f t="shared" si="7"/>
        <v>容积率</v>
      </c>
      <c r="AA11" s="773">
        <f t="shared" si="3"/>
        <v>0.90909090909090906</v>
      </c>
      <c r="AB11" s="773">
        <f t="shared" si="4"/>
        <v>0.95238095238095233</v>
      </c>
      <c r="AC11" s="773">
        <f t="shared" si="5"/>
        <v>0.90909090909090906</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0"/>
      <c r="Q12" s="1793"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3295" t="s">
        <v>3374</v>
      </c>
      <c r="C13" s="3296" t="s">
        <v>3375</v>
      </c>
      <c r="D13" s="435">
        <v>100</v>
      </c>
      <c r="E13" s="3298" t="s">
        <v>3377</v>
      </c>
      <c r="F13" s="136">
        <f>SUMIF(84:84,E13,85:85)-SUMIF(84:84,C13,85:85)+100</f>
        <v>94</v>
      </c>
      <c r="G13" s="3301" t="s">
        <v>3375</v>
      </c>
      <c r="H13" s="435">
        <f>SUMIF(84:84,G13,85:85)-SUMIF(84:84,C13,85:85)+100</f>
        <v>100</v>
      </c>
      <c r="I13" s="3301" t="s">
        <v>3376</v>
      </c>
      <c r="J13" s="435">
        <f>SUMIF(84:84,I13,85:85)-SUMIF(84:84,C13,85:85)+100</f>
        <v>97</v>
      </c>
      <c r="K13" s="672"/>
      <c r="L13" s="1140"/>
      <c r="M13" s="1131"/>
      <c r="N13" s="1131"/>
      <c r="O13" s="1139"/>
      <c r="P13" s="3170"/>
      <c r="Q13" s="1793" t="str">
        <f t="shared" si="6"/>
        <v>自持情况</v>
      </c>
      <c r="R13" s="770" t="s">
        <v>17</v>
      </c>
      <c r="S13" s="771">
        <f t="shared" si="0"/>
        <v>94</v>
      </c>
      <c r="T13" s="770" t="s">
        <v>17</v>
      </c>
      <c r="U13" s="771">
        <f t="shared" si="1"/>
        <v>100</v>
      </c>
      <c r="V13" s="770" t="s">
        <v>17</v>
      </c>
      <c r="W13" s="771">
        <f t="shared" si="2"/>
        <v>97</v>
      </c>
      <c r="X13" s="772"/>
      <c r="Y13" s="2995"/>
      <c r="Z13" s="55" t="str">
        <f t="shared" si="7"/>
        <v>自持情况</v>
      </c>
      <c r="AA13" s="773">
        <f>D13/F13</f>
        <v>1.0638297872340425</v>
      </c>
      <c r="AB13" s="773">
        <f>D13/H13</f>
        <v>1</v>
      </c>
      <c r="AC13" s="773">
        <f>D13/J13</f>
        <v>1.0309278350515463</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0"/>
      <c r="Q14" s="1793">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6.6" hidden="1">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2" t="s">
        <v>2558</v>
      </c>
      <c r="Q15" s="1808" t="str">
        <f t="shared" si="6"/>
        <v>居住社区成熟度</v>
      </c>
      <c r="R15" s="774" t="s">
        <v>17</v>
      </c>
      <c r="S15" s="775">
        <f t="shared" si="0"/>
        <v>100</v>
      </c>
      <c r="T15" s="774" t="s">
        <v>17</v>
      </c>
      <c r="U15" s="775">
        <f t="shared" si="1"/>
        <v>100</v>
      </c>
      <c r="V15" s="774" t="s">
        <v>17</v>
      </c>
      <c r="W15" s="775">
        <f t="shared" si="2"/>
        <v>100</v>
      </c>
      <c r="X15" s="1811"/>
      <c r="Y15" s="3172" t="s">
        <v>2558</v>
      </c>
      <c r="Z15" s="1812" t="str">
        <f t="shared" si="7"/>
        <v>居住社区成熟度</v>
      </c>
      <c r="AA15" s="1809">
        <f t="shared" si="3"/>
        <v>1</v>
      </c>
      <c r="AB15" s="1809">
        <f t="shared" si="4"/>
        <v>1</v>
      </c>
      <c r="AC15" s="1809">
        <f t="shared" si="5"/>
        <v>1</v>
      </c>
    </row>
    <row r="16" spans="1:30" ht="15" hidden="1">
      <c r="A16" s="428"/>
      <c r="B16" s="446"/>
      <c r="C16" s="447"/>
      <c r="D16" s="448"/>
      <c r="E16" s="2603"/>
      <c r="F16" s="448"/>
      <c r="G16" s="2603"/>
      <c r="H16" s="450"/>
      <c r="I16" s="2602"/>
      <c r="J16" s="448"/>
      <c r="K16" s="672"/>
      <c r="L16" s="1140"/>
      <c r="M16" s="1131"/>
      <c r="N16" s="1131"/>
      <c r="O16" s="1139"/>
      <c r="P16" s="3173"/>
      <c r="Q16" s="1808"/>
      <c r="R16" s="774"/>
      <c r="S16" s="775"/>
      <c r="T16" s="774"/>
      <c r="U16" s="775"/>
      <c r="V16" s="774"/>
      <c r="W16" s="775"/>
      <c r="X16" s="1811"/>
      <c r="Y16" s="3173"/>
      <c r="Z16" s="1812"/>
      <c r="AA16" s="1809">
        <v>1</v>
      </c>
      <c r="AB16" s="1809">
        <v>1</v>
      </c>
      <c r="AC16" s="1809">
        <v>1</v>
      </c>
    </row>
    <row r="17" spans="1:29" ht="69">
      <c r="A17" s="428"/>
      <c r="B17" s="451" t="s">
        <v>2651</v>
      </c>
      <c r="C17" s="2662" t="str">
        <f>估价对象房地状况!C16</f>
        <v>估价对象位于XX商圈，周边商业氛围成熟，人流量大，商业繁华度好</v>
      </c>
      <c r="D17" s="450">
        <v>100</v>
      </c>
      <c r="E17" s="452"/>
      <c r="F17" s="450">
        <f>SUMIF(90:90,E18,91:91)-SUMIF(90:90,C18,91:91)+100</f>
        <v>95</v>
      </c>
      <c r="G17" s="452"/>
      <c r="H17" s="455">
        <f>SUMIF(90:90,G18,91:91)-SUMIF(90:90,C18,91:91)+100</f>
        <v>95</v>
      </c>
      <c r="I17" s="454"/>
      <c r="J17" s="455">
        <f>SUMIF(90:90,I18,91:91)-SUMIF(90:90,C18,91:91)+100</f>
        <v>95</v>
      </c>
      <c r="K17" s="673">
        <v>5</v>
      </c>
      <c r="L17" s="1140"/>
      <c r="M17" s="1131"/>
      <c r="N17" s="1131"/>
      <c r="O17" s="1139"/>
      <c r="P17" s="3173"/>
      <c r="Q17" s="1808" t="str">
        <f>B17</f>
        <v>商业繁华度</v>
      </c>
      <c r="R17" s="774" t="s">
        <v>17</v>
      </c>
      <c r="S17" s="775">
        <f>F17</f>
        <v>95</v>
      </c>
      <c r="T17" s="774" t="s">
        <v>17</v>
      </c>
      <c r="U17" s="775">
        <f>H17</f>
        <v>95</v>
      </c>
      <c r="V17" s="774" t="s">
        <v>17</v>
      </c>
      <c r="W17" s="775">
        <f>J17</f>
        <v>95</v>
      </c>
      <c r="X17" s="1811"/>
      <c r="Y17" s="3173"/>
      <c r="Z17" s="1812" t="str">
        <f>Q17</f>
        <v>商业繁华度</v>
      </c>
      <c r="AA17" s="1809">
        <f t="shared" si="3"/>
        <v>1.0526315789473684</v>
      </c>
      <c r="AB17" s="1809">
        <f t="shared" si="4"/>
        <v>1.0526315789473684</v>
      </c>
      <c r="AC17" s="1809">
        <f t="shared" si="5"/>
        <v>1.0526315789473684</v>
      </c>
    </row>
    <row r="18" spans="1:29" ht="15">
      <c r="A18" s="428"/>
      <c r="B18" s="456"/>
      <c r="C18" s="2606" t="s">
        <v>3346</v>
      </c>
      <c r="D18" s="450"/>
      <c r="E18" s="2608" t="s">
        <v>3347</v>
      </c>
      <c r="F18" s="450"/>
      <c r="G18" s="2608" t="s">
        <v>3347</v>
      </c>
      <c r="H18" s="448"/>
      <c r="I18" s="2608" t="s">
        <v>3347</v>
      </c>
      <c r="J18" s="448"/>
      <c r="K18" s="672"/>
      <c r="L18" s="1140"/>
      <c r="M18" s="1131"/>
      <c r="N18" s="1131"/>
      <c r="O18" s="1139"/>
      <c r="P18" s="3173"/>
      <c r="Q18" s="1808"/>
      <c r="R18" s="774"/>
      <c r="S18" s="775"/>
      <c r="T18" s="774"/>
      <c r="U18" s="775"/>
      <c r="V18" s="774"/>
      <c r="W18" s="775"/>
      <c r="X18" s="1811"/>
      <c r="Y18" s="3173"/>
      <c r="Z18" s="1812"/>
      <c r="AA18" s="1809">
        <v>1</v>
      </c>
      <c r="AB18" s="1809">
        <v>1</v>
      </c>
      <c r="AC18" s="1809">
        <v>1</v>
      </c>
    </row>
    <row r="19" spans="1:29" ht="82.8" hidden="1">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3"/>
      <c r="Q19" s="1808" t="str">
        <f>B19</f>
        <v>办公集聚程度</v>
      </c>
      <c r="R19" s="774" t="s">
        <v>17</v>
      </c>
      <c r="S19" s="775">
        <f>F19</f>
        <v>100</v>
      </c>
      <c r="T19" s="774" t="s">
        <v>17</v>
      </c>
      <c r="U19" s="775">
        <f>H19</f>
        <v>100</v>
      </c>
      <c r="V19" s="774" t="s">
        <v>17</v>
      </c>
      <c r="W19" s="775">
        <f>J19</f>
        <v>100</v>
      </c>
      <c r="X19" s="1811"/>
      <c r="Y19" s="3173"/>
      <c r="Z19" s="1812" t="str">
        <f>Q19</f>
        <v>办公集聚程度</v>
      </c>
      <c r="AA19" s="1809">
        <f t="shared" si="3"/>
        <v>1</v>
      </c>
      <c r="AB19" s="1809">
        <f t="shared" si="4"/>
        <v>1</v>
      </c>
      <c r="AC19" s="1809">
        <f t="shared" si="5"/>
        <v>1</v>
      </c>
    </row>
    <row r="20" spans="1:29" ht="15" hidden="1">
      <c r="A20" s="428"/>
      <c r="B20" s="456"/>
      <c r="C20" s="447"/>
      <c r="D20" s="448"/>
      <c r="E20" s="2603"/>
      <c r="F20" s="448"/>
      <c r="G20" s="2603"/>
      <c r="H20" s="448"/>
      <c r="I20" s="2602"/>
      <c r="J20" s="448"/>
      <c r="K20" s="672"/>
      <c r="L20" s="1140"/>
      <c r="M20" s="1131"/>
      <c r="N20" s="1131"/>
      <c r="O20" s="1139"/>
      <c r="P20" s="3173"/>
      <c r="Q20" s="1808"/>
      <c r="R20" s="774"/>
      <c r="S20" s="775"/>
      <c r="T20" s="774"/>
      <c r="U20" s="775"/>
      <c r="V20" s="774"/>
      <c r="W20" s="775"/>
      <c r="X20" s="1811"/>
      <c r="Y20" s="3173"/>
      <c r="Z20" s="1812"/>
      <c r="AA20" s="1809">
        <v>1</v>
      </c>
      <c r="AB20" s="1809">
        <v>1</v>
      </c>
      <c r="AC20" s="1809">
        <v>1</v>
      </c>
    </row>
    <row r="21" spans="1:29" ht="82.8">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173"/>
      <c r="Q21" s="1808" t="str">
        <f>B21</f>
        <v>交通便捷度</v>
      </c>
      <c r="R21" s="774" t="s">
        <v>17</v>
      </c>
      <c r="S21" s="775">
        <f>F21</f>
        <v>100</v>
      </c>
      <c r="T21" s="774" t="s">
        <v>17</v>
      </c>
      <c r="U21" s="775">
        <f>H21</f>
        <v>98</v>
      </c>
      <c r="V21" s="774" t="s">
        <v>17</v>
      </c>
      <c r="W21" s="775">
        <f>J21</f>
        <v>98</v>
      </c>
      <c r="X21" s="1811"/>
      <c r="Y21" s="3173"/>
      <c r="Z21" s="1812" t="str">
        <f>Q21</f>
        <v>交通便捷度</v>
      </c>
      <c r="AA21" s="1809">
        <f t="shared" si="3"/>
        <v>1</v>
      </c>
      <c r="AB21" s="1809">
        <f t="shared" si="4"/>
        <v>1.0204081632653061</v>
      </c>
      <c r="AC21" s="1809">
        <f t="shared" si="5"/>
        <v>1.0204081632653061</v>
      </c>
    </row>
    <row r="22" spans="1:29" ht="15">
      <c r="A22" s="428"/>
      <c r="B22" s="1384"/>
      <c r="C22" s="447" t="s">
        <v>3346</v>
      </c>
      <c r="D22" s="450"/>
      <c r="E22" s="447" t="s">
        <v>3346</v>
      </c>
      <c r="F22" s="448"/>
      <c r="G22" s="2608" t="s">
        <v>3347</v>
      </c>
      <c r="H22" s="448"/>
      <c r="I22" s="2608" t="s">
        <v>3347</v>
      </c>
      <c r="J22" s="448"/>
      <c r="K22" s="672"/>
      <c r="L22" s="1140"/>
      <c r="M22" s="1131"/>
      <c r="N22" s="1131"/>
      <c r="O22" s="1139"/>
      <c r="P22" s="3173"/>
      <c r="Q22" s="1808"/>
      <c r="R22" s="774"/>
      <c r="S22" s="775"/>
      <c r="T22" s="774"/>
      <c r="U22" s="775"/>
      <c r="V22" s="774"/>
      <c r="W22" s="775"/>
      <c r="X22" s="1811"/>
      <c r="Y22" s="3173"/>
      <c r="Z22" s="1812"/>
      <c r="AA22" s="1809">
        <v>1</v>
      </c>
      <c r="AB22" s="1809">
        <v>1</v>
      </c>
      <c r="AC22" s="1809">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73"/>
      <c r="Q23" s="1808" t="str">
        <f t="shared" ref="Q23:Q37" si="8">B23</f>
        <v>区域土地利用方向</v>
      </c>
      <c r="R23" s="774" t="s">
        <v>17</v>
      </c>
      <c r="S23" s="775">
        <f>F23</f>
        <v>100</v>
      </c>
      <c r="T23" s="774" t="s">
        <v>17</v>
      </c>
      <c r="U23" s="775">
        <f>H23</f>
        <v>100</v>
      </c>
      <c r="V23" s="774" t="s">
        <v>17</v>
      </c>
      <c r="W23" s="775">
        <f>J23</f>
        <v>100</v>
      </c>
      <c r="X23" s="1811"/>
      <c r="Y23" s="3173"/>
      <c r="Z23" s="1812" t="str">
        <f>Q23</f>
        <v>区域土地利用方向</v>
      </c>
      <c r="AA23" s="1809">
        <f t="shared" si="3"/>
        <v>1</v>
      </c>
      <c r="AB23" s="1809">
        <f t="shared" si="4"/>
        <v>1</v>
      </c>
      <c r="AC23" s="1809">
        <f t="shared" si="5"/>
        <v>1</v>
      </c>
    </row>
    <row r="24" spans="1:29" ht="15">
      <c r="A24" s="404"/>
      <c r="B24" s="456"/>
      <c r="C24" s="616" t="s">
        <v>3346</v>
      </c>
      <c r="D24" s="448"/>
      <c r="E24" s="447" t="s">
        <v>3346</v>
      </c>
      <c r="F24" s="448"/>
      <c r="G24" s="447" t="s">
        <v>3346</v>
      </c>
      <c r="H24" s="448"/>
      <c r="I24" s="447" t="s">
        <v>3346</v>
      </c>
      <c r="J24" s="448"/>
      <c r="K24" s="812"/>
      <c r="L24" s="1140"/>
      <c r="M24" s="1131"/>
      <c r="N24" s="1131"/>
      <c r="O24" s="1139"/>
      <c r="P24" s="3173"/>
      <c r="Q24" s="1808"/>
      <c r="R24" s="774"/>
      <c r="S24" s="775"/>
      <c r="T24" s="774"/>
      <c r="U24" s="775"/>
      <c r="V24" s="774"/>
      <c r="W24" s="775"/>
      <c r="X24" s="1811"/>
      <c r="Y24" s="3173"/>
      <c r="Z24" s="1812"/>
      <c r="AA24" s="1809"/>
      <c r="AB24" s="1809"/>
      <c r="AC24" s="1809"/>
    </row>
    <row r="25" spans="1:29" ht="55.2">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3"/>
      <c r="Q25" s="1808" t="str">
        <f t="shared" si="8"/>
        <v>自然及人文环境状况</v>
      </c>
      <c r="R25" s="774" t="s">
        <v>17</v>
      </c>
      <c r="S25" s="775">
        <f>F25</f>
        <v>100</v>
      </c>
      <c r="T25" s="774" t="s">
        <v>17</v>
      </c>
      <c r="U25" s="775">
        <f>H25</f>
        <v>100</v>
      </c>
      <c r="V25" s="774" t="s">
        <v>17</v>
      </c>
      <c r="W25" s="775">
        <f>J25</f>
        <v>100</v>
      </c>
      <c r="X25" s="1811"/>
      <c r="Y25" s="3173"/>
      <c r="Z25" s="1812" t="str">
        <f>Q25</f>
        <v>自然及人文环境状况</v>
      </c>
      <c r="AA25" s="1809">
        <f t="shared" si="3"/>
        <v>1</v>
      </c>
      <c r="AB25" s="1809">
        <f t="shared" si="4"/>
        <v>1</v>
      </c>
      <c r="AC25" s="1809">
        <f t="shared" si="5"/>
        <v>1</v>
      </c>
    </row>
    <row r="26" spans="1:29" ht="15">
      <c r="A26" s="404"/>
      <c r="B26" s="456"/>
      <c r="C26" s="447" t="s">
        <v>3346</v>
      </c>
      <c r="D26" s="448"/>
      <c r="E26" s="447" t="s">
        <v>3346</v>
      </c>
      <c r="F26" s="448"/>
      <c r="G26" s="447" t="s">
        <v>3346</v>
      </c>
      <c r="H26" s="448"/>
      <c r="I26" s="447" t="s">
        <v>3346</v>
      </c>
      <c r="J26" s="448"/>
      <c r="K26" s="672"/>
      <c r="L26" s="1140"/>
      <c r="M26" s="1131"/>
      <c r="N26" s="1131"/>
      <c r="O26" s="1139"/>
      <c r="P26" s="3173"/>
      <c r="Q26" s="1808"/>
      <c r="R26" s="774"/>
      <c r="S26" s="775"/>
      <c r="T26" s="774"/>
      <c r="U26" s="775"/>
      <c r="V26" s="774"/>
      <c r="W26" s="775"/>
      <c r="X26" s="1811"/>
      <c r="Y26" s="3173"/>
      <c r="Z26" s="1812"/>
      <c r="AA26" s="1809">
        <v>1</v>
      </c>
      <c r="AB26" s="1809">
        <v>1</v>
      </c>
      <c r="AC26" s="1809">
        <v>1</v>
      </c>
    </row>
    <row r="27" spans="1:29" s="117" customFormat="1" ht="41.4">
      <c r="A27" s="649"/>
      <c r="B27" s="1384" t="s">
        <v>2652</v>
      </c>
      <c r="C27" s="2605"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173"/>
      <c r="Q27" s="1793" t="str">
        <f t="shared" si="8"/>
        <v>公共配套设施</v>
      </c>
      <c r="R27" s="770" t="s">
        <v>17</v>
      </c>
      <c r="S27" s="771">
        <f>F27</f>
        <v>98</v>
      </c>
      <c r="T27" s="770" t="s">
        <v>17</v>
      </c>
      <c r="U27" s="771">
        <f>H27</f>
        <v>98</v>
      </c>
      <c r="V27" s="770" t="s">
        <v>17</v>
      </c>
      <c r="W27" s="771">
        <f>J27</f>
        <v>98</v>
      </c>
      <c r="X27" s="772"/>
      <c r="Y27" s="3173"/>
      <c r="Z27" s="55" t="str">
        <f>Q27</f>
        <v>公共配套设施</v>
      </c>
      <c r="AA27" s="1809">
        <f>D27/F27</f>
        <v>1.0204081632653061</v>
      </c>
      <c r="AB27" s="1809">
        <f>D27/H27</f>
        <v>1.0204081632653061</v>
      </c>
      <c r="AC27" s="1809">
        <f>D27/J27</f>
        <v>1.0204081632653061</v>
      </c>
    </row>
    <row r="28" spans="1:29" s="117" customFormat="1" ht="15">
      <c r="A28" s="649"/>
      <c r="B28" s="456"/>
      <c r="C28" s="2698" t="s">
        <v>3346</v>
      </c>
      <c r="D28" s="448"/>
      <c r="E28" s="2609" t="s">
        <v>3347</v>
      </c>
      <c r="F28" s="448"/>
      <c r="G28" s="2609" t="s">
        <v>3347</v>
      </c>
      <c r="H28" s="448"/>
      <c r="I28" s="2609" t="s">
        <v>3347</v>
      </c>
      <c r="J28" s="448"/>
      <c r="K28" s="672"/>
      <c r="L28" s="1132"/>
      <c r="M28" s="1133"/>
      <c r="N28" s="1133"/>
      <c r="O28" s="1134"/>
      <c r="P28" s="3173"/>
      <c r="Q28" s="1793"/>
      <c r="R28" s="770"/>
      <c r="S28" s="771"/>
      <c r="T28" s="770"/>
      <c r="U28" s="771"/>
      <c r="V28" s="770"/>
      <c r="W28" s="771"/>
      <c r="X28" s="772"/>
      <c r="Y28" s="3173"/>
      <c r="Z28" s="55"/>
      <c r="AA28" s="1809">
        <v>1</v>
      </c>
      <c r="AB28" s="1809">
        <v>1</v>
      </c>
      <c r="AC28" s="1809">
        <v>1</v>
      </c>
    </row>
    <row r="29" spans="1:29" s="117" customFormat="1" ht="27.6">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73"/>
      <c r="Q29" s="1793" t="str">
        <f t="shared" ref="Q29" si="9">B29</f>
        <v>基础设施水平</v>
      </c>
      <c r="R29" s="770" t="s">
        <v>17</v>
      </c>
      <c r="S29" s="771">
        <f>F29</f>
        <v>100</v>
      </c>
      <c r="T29" s="770" t="s">
        <v>17</v>
      </c>
      <c r="U29" s="771">
        <f>H29</f>
        <v>100</v>
      </c>
      <c r="V29" s="770" t="s">
        <v>17</v>
      </c>
      <c r="W29" s="771">
        <f>J29</f>
        <v>100</v>
      </c>
      <c r="X29" s="772"/>
      <c r="Y29" s="3173"/>
      <c r="Z29" s="55" t="str">
        <f>Q29</f>
        <v>基础设施水平</v>
      </c>
      <c r="AA29" s="1809">
        <f>D29/F29</f>
        <v>1</v>
      </c>
      <c r="AB29" s="1809">
        <f>D29/H29</f>
        <v>1</v>
      </c>
      <c r="AC29" s="1809">
        <f>D29/J29</f>
        <v>1</v>
      </c>
    </row>
    <row r="30" spans="1:29" s="117" customFormat="1" ht="15">
      <c r="A30" s="649"/>
      <c r="B30" s="456"/>
      <c r="C30" s="2698" t="s">
        <v>3348</v>
      </c>
      <c r="D30" s="448"/>
      <c r="E30" s="2699" t="s">
        <v>3348</v>
      </c>
      <c r="F30" s="448"/>
      <c r="G30" s="2699" t="s">
        <v>3348</v>
      </c>
      <c r="H30" s="448"/>
      <c r="I30" s="2699" t="s">
        <v>3348</v>
      </c>
      <c r="J30" s="448"/>
      <c r="K30" s="672"/>
      <c r="L30" s="1132"/>
      <c r="M30" s="1133"/>
      <c r="N30" s="1133"/>
      <c r="O30" s="1134"/>
      <c r="P30" s="3173"/>
      <c r="Q30" s="1793"/>
      <c r="R30" s="770"/>
      <c r="S30" s="771"/>
      <c r="T30" s="770"/>
      <c r="U30" s="771"/>
      <c r="V30" s="770"/>
      <c r="W30" s="771"/>
      <c r="X30" s="772"/>
      <c r="Y30" s="3173"/>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3"/>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73"/>
      <c r="Z31" s="1812" t="str">
        <f t="shared" ref="Z31:Z45" si="13">Q31</f>
        <v>临街状况</v>
      </c>
      <c r="AA31" s="1809">
        <f t="shared" si="3"/>
        <v>1</v>
      </c>
      <c r="AB31" s="1809">
        <f t="shared" si="4"/>
        <v>1</v>
      </c>
      <c r="AC31" s="1809">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3"/>
      <c r="Q32" s="1808" t="str">
        <f t="shared" si="8"/>
        <v>毗邻道路的类型与等级</v>
      </c>
      <c r="R32" s="774" t="s">
        <v>17</v>
      </c>
      <c r="S32" s="775">
        <f t="shared" si="10"/>
        <v>100</v>
      </c>
      <c r="T32" s="774" t="s">
        <v>17</v>
      </c>
      <c r="U32" s="775">
        <f t="shared" si="11"/>
        <v>100</v>
      </c>
      <c r="V32" s="774" t="s">
        <v>17</v>
      </c>
      <c r="W32" s="775">
        <f t="shared" si="12"/>
        <v>100</v>
      </c>
      <c r="X32" s="1811"/>
      <c r="Y32" s="3173"/>
      <c r="Z32" s="1812" t="str">
        <f t="shared" si="13"/>
        <v>毗邻道路的类型与等级</v>
      </c>
      <c r="AA32" s="1809">
        <f t="shared" si="3"/>
        <v>1</v>
      </c>
      <c r="AB32" s="1809">
        <f t="shared" si="4"/>
        <v>1</v>
      </c>
      <c r="AC32" s="1809">
        <f t="shared" si="5"/>
        <v>1</v>
      </c>
    </row>
    <row r="33" spans="1:29" ht="15.6" thickBot="1">
      <c r="A33" s="428"/>
      <c r="B33" s="456"/>
      <c r="C33" s="447"/>
      <c r="D33" s="448"/>
      <c r="E33" s="2609"/>
      <c r="F33" s="448"/>
      <c r="G33" s="2609"/>
      <c r="H33" s="448"/>
      <c r="I33" s="447"/>
      <c r="J33" s="448"/>
      <c r="K33" s="613"/>
      <c r="L33" s="1140"/>
      <c r="M33" s="1131"/>
      <c r="N33" s="1131"/>
      <c r="O33" s="1139"/>
      <c r="P33" s="3173"/>
      <c r="Q33" s="1808"/>
      <c r="R33" s="774"/>
      <c r="S33" s="775"/>
      <c r="T33" s="774"/>
      <c r="U33" s="775"/>
      <c r="V33" s="774"/>
      <c r="W33" s="775"/>
      <c r="X33" s="1811"/>
      <c r="Y33" s="3173"/>
      <c r="Z33" s="1812"/>
      <c r="AA33" s="1809">
        <v>1</v>
      </c>
      <c r="AB33" s="1809">
        <v>1</v>
      </c>
      <c r="AC33" s="1809">
        <v>1</v>
      </c>
    </row>
    <row r="34" spans="1:29" ht="15.6" hidden="1"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3"/>
      <c r="Q34" s="1808" t="str">
        <f t="shared" si="8"/>
        <v>土地级别</v>
      </c>
      <c r="R34" s="774" t="s">
        <v>17</v>
      </c>
      <c r="S34" s="775">
        <f t="shared" si="10"/>
        <v>100</v>
      </c>
      <c r="T34" s="774" t="s">
        <v>17</v>
      </c>
      <c r="U34" s="775">
        <f t="shared" si="11"/>
        <v>100</v>
      </c>
      <c r="V34" s="774" t="s">
        <v>17</v>
      </c>
      <c r="W34" s="775">
        <f t="shared" si="12"/>
        <v>100</v>
      </c>
      <c r="X34" s="1811"/>
      <c r="Y34" s="3173"/>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3"/>
      <c r="Q35" s="1808">
        <f t="shared" si="8"/>
        <v>111</v>
      </c>
      <c r="R35" s="774" t="s">
        <v>17</v>
      </c>
      <c r="S35" s="775">
        <f t="shared" si="10"/>
        <v>100</v>
      </c>
      <c r="T35" s="774" t="s">
        <v>17</v>
      </c>
      <c r="U35" s="775">
        <f t="shared" si="11"/>
        <v>100</v>
      </c>
      <c r="V35" s="774" t="s">
        <v>17</v>
      </c>
      <c r="W35" s="775">
        <f t="shared" si="12"/>
        <v>100</v>
      </c>
      <c r="X35" s="1811"/>
      <c r="Y35" s="3173"/>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8" t="s">
        <v>2563</v>
      </c>
      <c r="Q36" s="1808">
        <f t="shared" si="8"/>
        <v>111</v>
      </c>
      <c r="R36" s="774" t="s">
        <v>17</v>
      </c>
      <c r="S36" s="775">
        <f t="shared" si="10"/>
        <v>100</v>
      </c>
      <c r="T36" s="774" t="s">
        <v>17</v>
      </c>
      <c r="U36" s="775">
        <f t="shared" si="11"/>
        <v>100</v>
      </c>
      <c r="V36" s="774" t="s">
        <v>17</v>
      </c>
      <c r="W36" s="775">
        <f t="shared" si="12"/>
        <v>100</v>
      </c>
      <c r="X36" s="1811"/>
      <c r="Y36" s="3177" t="s">
        <v>2563</v>
      </c>
      <c r="Z36" s="1812">
        <f t="shared" si="13"/>
        <v>111</v>
      </c>
      <c r="AA36" s="1809">
        <f t="shared" si="3"/>
        <v>1</v>
      </c>
      <c r="AB36" s="1809">
        <f t="shared" si="4"/>
        <v>1</v>
      </c>
      <c r="AC36" s="1809">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7"/>
      <c r="Q37" s="1808">
        <f t="shared" si="8"/>
        <v>111</v>
      </c>
      <c r="R37" s="777" t="s">
        <v>17</v>
      </c>
      <c r="S37" s="778">
        <f t="shared" si="10"/>
        <v>100</v>
      </c>
      <c r="T37" s="777" t="s">
        <v>17</v>
      </c>
      <c r="U37" s="778">
        <f t="shared" si="11"/>
        <v>100</v>
      </c>
      <c r="V37" s="777" t="s">
        <v>17</v>
      </c>
      <c r="W37" s="778">
        <f t="shared" si="12"/>
        <v>100</v>
      </c>
      <c r="X37" s="779"/>
      <c r="Y37" s="3177"/>
      <c r="Z37" s="780">
        <f t="shared" si="13"/>
        <v>111</v>
      </c>
      <c r="AA37" s="1809">
        <f t="shared" si="3"/>
        <v>1</v>
      </c>
      <c r="AB37" s="1809">
        <f t="shared" si="4"/>
        <v>1</v>
      </c>
      <c r="AC37" s="1809">
        <f t="shared" si="5"/>
        <v>1</v>
      </c>
    </row>
    <row r="38" spans="1:29" ht="15.6">
      <c r="A38" s="472" t="s">
        <v>2561</v>
      </c>
      <c r="B38" s="456" t="s">
        <v>2749</v>
      </c>
      <c r="C38" s="679">
        <v>39454.559999999998</v>
      </c>
      <c r="D38" s="467">
        <v>100</v>
      </c>
      <c r="E38" s="679">
        <f>土地案例!J2</f>
        <v>28003.32</v>
      </c>
      <c r="F38" s="467">
        <f>LOOKUP(E38,117:117,118:118)-LOOKUP(C38,117:117,118:118)+100</f>
        <v>99</v>
      </c>
      <c r="G38" s="679">
        <f>土地案例!J18</f>
        <v>39744.120000000003</v>
      </c>
      <c r="H38" s="467">
        <f>LOOKUP(G38,117:117,118:118)-LOOKUP(C38,117:117,118:118)+100</f>
        <v>100</v>
      </c>
      <c r="I38" s="530">
        <f>土地案例!J20</f>
        <v>46165.91</v>
      </c>
      <c r="J38" s="467">
        <f>LOOKUP(I38,117:117,118:118)-LOOKUP(C38,117:117,118:118)+100</f>
        <v>101</v>
      </c>
      <c r="K38" s="613"/>
      <c r="L38" s="1140"/>
      <c r="M38" s="1131"/>
      <c r="N38" s="1131"/>
      <c r="O38" s="1139"/>
      <c r="P38" s="3177"/>
      <c r="Q38" s="1808" t="str">
        <f>B38</f>
        <v>宗地面积</v>
      </c>
      <c r="R38" s="774" t="s">
        <v>17</v>
      </c>
      <c r="S38" s="775">
        <f t="shared" si="10"/>
        <v>99</v>
      </c>
      <c r="T38" s="774" t="s">
        <v>17</v>
      </c>
      <c r="U38" s="775">
        <f t="shared" si="11"/>
        <v>100</v>
      </c>
      <c r="V38" s="774" t="s">
        <v>17</v>
      </c>
      <c r="W38" s="775">
        <f t="shared" si="12"/>
        <v>101</v>
      </c>
      <c r="X38" s="1811"/>
      <c r="Y38" s="3177"/>
      <c r="Z38" s="1812" t="str">
        <f t="shared" si="13"/>
        <v>宗地面积</v>
      </c>
      <c r="AA38" s="1809">
        <f t="shared" si="3"/>
        <v>1.0101010101010102</v>
      </c>
      <c r="AB38" s="1809">
        <f t="shared" si="4"/>
        <v>1</v>
      </c>
      <c r="AC38" s="1809">
        <f t="shared" si="5"/>
        <v>0.99009900990099009</v>
      </c>
    </row>
    <row r="39" spans="1:29" ht="15">
      <c r="A39" s="472"/>
      <c r="B39" s="422" t="s">
        <v>2750</v>
      </c>
      <c r="C39" s="2611" t="s">
        <v>3353</v>
      </c>
      <c r="D39" s="435">
        <v>100</v>
      </c>
      <c r="E39" s="2611" t="s">
        <v>3353</v>
      </c>
      <c r="F39" s="435">
        <f>SUMIF(119:119,E39,120:120)-SUMIF(119:119,C39,120:120)+100</f>
        <v>100</v>
      </c>
      <c r="G39" s="2611" t="s">
        <v>3353</v>
      </c>
      <c r="H39" s="435">
        <f>SUMIF(119:119,G39,120:120)-SUMIF(119:119,C39,120:120)+100</f>
        <v>100</v>
      </c>
      <c r="I39" s="2611" t="s">
        <v>3353</v>
      </c>
      <c r="J39" s="435">
        <f>SUMIF(119:119,I39,120:120)-SUMIF(119:119,C39,120:120)+100</f>
        <v>100</v>
      </c>
      <c r="K39" s="612">
        <v>1</v>
      </c>
      <c r="L39" s="1140"/>
      <c r="M39" s="1131"/>
      <c r="N39" s="1131"/>
      <c r="O39" s="1139"/>
      <c r="P39" s="3177"/>
      <c r="Q39" s="1808" t="str">
        <f t="shared" ref="Q39:Q45" si="14">B39</f>
        <v>宗地形状</v>
      </c>
      <c r="R39" s="774" t="s">
        <v>17</v>
      </c>
      <c r="S39" s="775">
        <f t="shared" si="10"/>
        <v>100</v>
      </c>
      <c r="T39" s="774" t="s">
        <v>17</v>
      </c>
      <c r="U39" s="775">
        <f t="shared" si="11"/>
        <v>100</v>
      </c>
      <c r="V39" s="774" t="s">
        <v>17</v>
      </c>
      <c r="W39" s="775">
        <f t="shared" si="12"/>
        <v>100</v>
      </c>
      <c r="X39" s="1811"/>
      <c r="Y39" s="3177"/>
      <c r="Z39" s="1812" t="str">
        <f t="shared" si="13"/>
        <v>宗地形状</v>
      </c>
      <c r="AA39" s="1809">
        <f t="shared" si="3"/>
        <v>1</v>
      </c>
      <c r="AB39" s="1809">
        <f t="shared" si="4"/>
        <v>1</v>
      </c>
      <c r="AC39" s="1809">
        <f t="shared" si="5"/>
        <v>1</v>
      </c>
    </row>
    <row r="40" spans="1:29" ht="15">
      <c r="A40" s="472"/>
      <c r="B40" s="422" t="s">
        <v>2751</v>
      </c>
      <c r="C40" s="2611" t="s">
        <v>3358</v>
      </c>
      <c r="D40" s="435">
        <v>100</v>
      </c>
      <c r="E40" s="2611" t="s">
        <v>3358</v>
      </c>
      <c r="F40" s="435">
        <f>SUMIF(121:121,E40,122:122)-SUMIF(121:121,C40,122:122)+100</f>
        <v>100</v>
      </c>
      <c r="G40" s="2611" t="s">
        <v>3358</v>
      </c>
      <c r="H40" s="435">
        <f>SUMIF(121:121,G40,122:122)-SUMIF(121:121,C40,122:122)+100</f>
        <v>100</v>
      </c>
      <c r="I40" s="2611" t="s">
        <v>3358</v>
      </c>
      <c r="J40" s="435">
        <f>SUMIF(121:121,I40,122:122)-SUMIF(121:121,C40,122:122)+100</f>
        <v>100</v>
      </c>
      <c r="K40" s="612">
        <v>1</v>
      </c>
      <c r="L40" s="1140"/>
      <c r="M40" s="1131"/>
      <c r="N40" s="1131"/>
      <c r="O40" s="1139"/>
      <c r="P40" s="3177"/>
      <c r="Q40" s="1808" t="str">
        <f t="shared" si="14"/>
        <v>临街宽度及深度</v>
      </c>
      <c r="R40" s="774" t="s">
        <v>17</v>
      </c>
      <c r="S40" s="775">
        <f t="shared" si="10"/>
        <v>100</v>
      </c>
      <c r="T40" s="774" t="s">
        <v>17</v>
      </c>
      <c r="U40" s="775">
        <f t="shared" si="11"/>
        <v>100</v>
      </c>
      <c r="V40" s="774" t="s">
        <v>17</v>
      </c>
      <c r="W40" s="775">
        <f t="shared" si="12"/>
        <v>100</v>
      </c>
      <c r="X40" s="1811"/>
      <c r="Y40" s="3177"/>
      <c r="Z40" s="1812" t="str">
        <f t="shared" si="13"/>
        <v>临街宽度及深度</v>
      </c>
      <c r="AA40" s="1809">
        <f t="shared" si="3"/>
        <v>1</v>
      </c>
      <c r="AB40" s="1809">
        <f t="shared" si="4"/>
        <v>1</v>
      </c>
      <c r="AC40" s="1809">
        <f t="shared" si="5"/>
        <v>1</v>
      </c>
    </row>
    <row r="41" spans="1:29" s="117" customFormat="1" ht="15">
      <c r="A41" s="473"/>
      <c r="B41" s="422" t="s">
        <v>2752</v>
      </c>
      <c r="C41" s="2700" t="s">
        <v>3361</v>
      </c>
      <c r="D41" s="136">
        <v>100</v>
      </c>
      <c r="E41" s="2700" t="s">
        <v>3371</v>
      </c>
      <c r="F41" s="435">
        <f>SUMIF(123:123,E41,124:124)-SUMIF(123:123,C41,124:124)+100</f>
        <v>98</v>
      </c>
      <c r="G41" s="2700" t="s">
        <v>3361</v>
      </c>
      <c r="H41" s="435">
        <f>SUMIF(123:123,G41,124:124)-SUMIF(123:123,C41,124:124)+100</f>
        <v>100</v>
      </c>
      <c r="I41" s="2700" t="s">
        <v>3361</v>
      </c>
      <c r="J41" s="435">
        <f>SUMIF(123:123,I41,124:124)-SUMIF(123:123,C41,124:124)+100</f>
        <v>100</v>
      </c>
      <c r="K41" s="612">
        <v>0.5</v>
      </c>
      <c r="L41" s="1132"/>
      <c r="M41" s="1133"/>
      <c r="N41" s="1133"/>
      <c r="O41" s="1134"/>
      <c r="P41" s="3177"/>
      <c r="Q41" s="1808" t="str">
        <f t="shared" si="14"/>
        <v>宗地开发程度</v>
      </c>
      <c r="R41" s="770" t="s">
        <v>17</v>
      </c>
      <c r="S41" s="771">
        <f t="shared" si="10"/>
        <v>98</v>
      </c>
      <c r="T41" s="770" t="s">
        <v>17</v>
      </c>
      <c r="U41" s="771">
        <f t="shared" si="11"/>
        <v>100</v>
      </c>
      <c r="V41" s="770" t="s">
        <v>17</v>
      </c>
      <c r="W41" s="771">
        <f t="shared" si="12"/>
        <v>100</v>
      </c>
      <c r="X41" s="772"/>
      <c r="Y41" s="3177"/>
      <c r="Z41" s="55" t="str">
        <f t="shared" si="13"/>
        <v>宗地开发程度</v>
      </c>
      <c r="AA41" s="773">
        <f t="shared" si="3"/>
        <v>1.0204081632653061</v>
      </c>
      <c r="AB41" s="773">
        <f t="shared" si="4"/>
        <v>1</v>
      </c>
      <c r="AC41" s="773">
        <f t="shared" si="5"/>
        <v>1</v>
      </c>
    </row>
    <row r="42" spans="1:29" ht="15.6" thickBot="1">
      <c r="A42" s="472"/>
      <c r="B42" s="422" t="s">
        <v>2753</v>
      </c>
      <c r="C42" s="2611" t="s">
        <v>3346</v>
      </c>
      <c r="D42" s="435">
        <v>100</v>
      </c>
      <c r="E42" s="2611" t="s">
        <v>3346</v>
      </c>
      <c r="F42" s="435">
        <f>SUMIF(125:125,E42,126:126)-SUMIF(125:125,C42,126:126)+100</f>
        <v>100</v>
      </c>
      <c r="G42" s="2611" t="s">
        <v>3346</v>
      </c>
      <c r="H42" s="435">
        <f>SUMIF(125:125,G42,126:126)-SUMIF(125:125,C42,126:126)+100</f>
        <v>100</v>
      </c>
      <c r="I42" s="2611" t="s">
        <v>3346</v>
      </c>
      <c r="J42" s="435">
        <f>SUMIF(125:125,I42,126:126)-SUMIF(125:125,C42,126:126)+100</f>
        <v>100</v>
      </c>
      <c r="K42" s="612">
        <v>1</v>
      </c>
      <c r="L42" s="1140"/>
      <c r="M42" s="1131"/>
      <c r="N42" s="1131"/>
      <c r="O42" s="1139"/>
      <c r="P42" s="3177" t="s">
        <v>2563</v>
      </c>
      <c r="Q42" s="1808" t="str">
        <f t="shared" si="14"/>
        <v>工程地质条件</v>
      </c>
      <c r="R42" s="774" t="s">
        <v>17</v>
      </c>
      <c r="S42" s="775">
        <f t="shared" si="10"/>
        <v>100</v>
      </c>
      <c r="T42" s="774" t="s">
        <v>17</v>
      </c>
      <c r="U42" s="775">
        <f t="shared" si="11"/>
        <v>100</v>
      </c>
      <c r="V42" s="774" t="s">
        <v>17</v>
      </c>
      <c r="W42" s="775">
        <f t="shared" si="12"/>
        <v>100</v>
      </c>
      <c r="X42" s="1811"/>
      <c r="Y42" s="3177" t="s">
        <v>2563</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7"/>
      <c r="Q43" s="1808">
        <f t="shared" si="14"/>
        <v>111</v>
      </c>
      <c r="R43" s="774" t="s">
        <v>17</v>
      </c>
      <c r="S43" s="775">
        <f t="shared" si="10"/>
        <v>100</v>
      </c>
      <c r="T43" s="774" t="s">
        <v>17</v>
      </c>
      <c r="U43" s="775">
        <f t="shared" si="11"/>
        <v>100</v>
      </c>
      <c r="V43" s="774" t="s">
        <v>17</v>
      </c>
      <c r="W43" s="775">
        <f t="shared" si="12"/>
        <v>100</v>
      </c>
      <c r="X43" s="1811"/>
      <c r="Y43" s="3177"/>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7"/>
      <c r="Q44" s="1808">
        <f t="shared" si="14"/>
        <v>111</v>
      </c>
      <c r="R44" s="774" t="s">
        <v>17</v>
      </c>
      <c r="S44" s="775">
        <f t="shared" si="10"/>
        <v>100</v>
      </c>
      <c r="T44" s="774" t="s">
        <v>17</v>
      </c>
      <c r="U44" s="775">
        <f t="shared" si="11"/>
        <v>100</v>
      </c>
      <c r="V44" s="774" t="s">
        <v>17</v>
      </c>
      <c r="W44" s="775">
        <f t="shared" si="12"/>
        <v>100</v>
      </c>
      <c r="X44" s="1811"/>
      <c r="Y44" s="3177"/>
      <c r="Z44" s="1812">
        <f t="shared" si="13"/>
        <v>111</v>
      </c>
      <c r="AA44" s="1809">
        <f t="shared" si="3"/>
        <v>1</v>
      </c>
      <c r="AB44" s="1809">
        <f t="shared" si="4"/>
        <v>1</v>
      </c>
      <c r="AC44" s="1809">
        <f t="shared" si="5"/>
        <v>1</v>
      </c>
    </row>
    <row r="45" spans="1:29" s="471" customFormat="1" ht="15.6"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7"/>
      <c r="Q45" s="1808">
        <f t="shared" si="14"/>
        <v>111</v>
      </c>
      <c r="R45" s="777" t="s">
        <v>17</v>
      </c>
      <c r="S45" s="778">
        <f t="shared" si="10"/>
        <v>100</v>
      </c>
      <c r="T45" s="777" t="s">
        <v>17</v>
      </c>
      <c r="U45" s="778">
        <f t="shared" si="11"/>
        <v>100</v>
      </c>
      <c r="V45" s="777" t="s">
        <v>17</v>
      </c>
      <c r="W45" s="778">
        <f t="shared" si="12"/>
        <v>100</v>
      </c>
      <c r="X45" s="779"/>
      <c r="Y45" s="3177"/>
      <c r="Z45" s="780">
        <f t="shared" si="13"/>
        <v>111</v>
      </c>
      <c r="AA45" s="1809">
        <f t="shared" si="3"/>
        <v>1</v>
      </c>
      <c r="AB45" s="1809">
        <f t="shared" si="4"/>
        <v>1</v>
      </c>
      <c r="AC45" s="1809">
        <f t="shared" si="5"/>
        <v>1</v>
      </c>
    </row>
    <row r="46" spans="1:29" ht="14.4">
      <c r="A46" s="479" t="s">
        <v>2718</v>
      </c>
      <c r="B46" s="2702" t="s">
        <v>2754</v>
      </c>
      <c r="C46" s="682" t="s">
        <v>1</v>
      </c>
      <c r="D46" s="481"/>
      <c r="E46" s="482">
        <f>ROUND(土地案例!AK2,0)</f>
        <v>13970</v>
      </c>
      <c r="F46" s="483"/>
      <c r="G46" s="484">
        <f>ROUND(土地案例!AK18,0)</f>
        <v>24490</v>
      </c>
      <c r="H46" s="485"/>
      <c r="I46" s="482">
        <f>ROUND(土地案例!AK20,0)</f>
        <v>24369</v>
      </c>
      <c r="J46" s="485"/>
      <c r="K46" s="783"/>
      <c r="L46" s="1143"/>
      <c r="M46" s="1144"/>
      <c r="N46" s="1131"/>
      <c r="O46" s="1144"/>
      <c r="P46" s="3170" t="str">
        <f>A46</f>
        <v>成交单价</v>
      </c>
      <c r="Q46" s="3170"/>
      <c r="R46" s="3201">
        <f>E46</f>
        <v>13970</v>
      </c>
      <c r="S46" s="3201"/>
      <c r="T46" s="3201">
        <f>G46</f>
        <v>24490</v>
      </c>
      <c r="U46" s="3201"/>
      <c r="V46" s="3201">
        <f>I46</f>
        <v>24369</v>
      </c>
      <c r="W46" s="3201"/>
      <c r="X46" s="759"/>
      <c r="Y46" s="781"/>
      <c r="Z46" s="759"/>
      <c r="AA46" s="759"/>
      <c r="AB46" s="759"/>
      <c r="AC46" s="759"/>
    </row>
    <row r="47" spans="1:29" ht="15" thickBot="1">
      <c r="A47" s="486" t="s">
        <v>2667</v>
      </c>
      <c r="B47" s="683"/>
      <c r="C47" s="490">
        <f>R48</f>
        <v>18314</v>
      </c>
      <c r="D47" s="489"/>
      <c r="E47" s="490">
        <f>R47</f>
        <v>14089</v>
      </c>
      <c r="F47" s="491"/>
      <c r="G47" s="488">
        <f>T47</f>
        <v>24592</v>
      </c>
      <c r="H47" s="489"/>
      <c r="I47" s="490">
        <f>V47</f>
        <v>24711</v>
      </c>
      <c r="J47" s="489"/>
      <c r="K47" s="784"/>
      <c r="L47" s="1143"/>
      <c r="M47" s="1144"/>
      <c r="N47" s="1144"/>
      <c r="O47" s="1144"/>
      <c r="P47" s="3170" t="str">
        <f>A47</f>
        <v>比较价值（元/平方米）</v>
      </c>
      <c r="Q47" s="3170"/>
      <c r="R47" s="3229">
        <f>ROUND(PRODUCT(R46,AA7:AA45),0)</f>
        <v>14089</v>
      </c>
      <c r="S47" s="3229"/>
      <c r="T47" s="3229">
        <f>ROUND(PRODUCT(T46,AB7:AB45),0)</f>
        <v>24592</v>
      </c>
      <c r="U47" s="3229"/>
      <c r="V47" s="3229">
        <f>ROUND(PRODUCT(V46,AC7:AC45),0)</f>
        <v>24711</v>
      </c>
      <c r="W47" s="3229"/>
      <c r="X47" s="759"/>
      <c r="Y47" s="759"/>
      <c r="Z47" s="759"/>
      <c r="AA47" s="759"/>
      <c r="AB47" s="759"/>
      <c r="AC47" s="759"/>
    </row>
    <row r="48" spans="1:29" ht="15" thickBot="1">
      <c r="A48" s="492" t="s">
        <v>2755</v>
      </c>
      <c r="B48" s="493"/>
      <c r="C48" s="494">
        <f>R48</f>
        <v>18314</v>
      </c>
      <c r="D48" s="494"/>
      <c r="E48" s="494"/>
      <c r="F48" s="494"/>
      <c r="G48" s="494"/>
      <c r="H48" s="494"/>
      <c r="I48" s="494"/>
      <c r="J48" s="494"/>
      <c r="K48" s="785"/>
      <c r="L48" s="1143"/>
      <c r="M48" s="1144"/>
      <c r="N48" s="1144"/>
      <c r="O48" s="1144"/>
      <c r="P48" s="3167" t="str">
        <f>A48</f>
        <v>估价对象XX用房的比较价值（楼面单价，元/平方米）</v>
      </c>
      <c r="Q48" s="3168"/>
      <c r="R48" s="3230">
        <f>ROUND(R47*R50+T47*T50+V47*V50,0)</f>
        <v>18314</v>
      </c>
      <c r="S48" s="3230"/>
      <c r="T48" s="3230"/>
      <c r="U48" s="3230"/>
      <c r="V48" s="3230"/>
      <c r="W48" s="3230"/>
      <c r="X48" s="759"/>
      <c r="Y48" s="759"/>
      <c r="Z48" s="759"/>
      <c r="AA48" s="759"/>
      <c r="AB48" s="759"/>
      <c r="AC48" s="759"/>
    </row>
    <row r="49" spans="1:22">
      <c r="A49" s="1144"/>
      <c r="B49" s="1144"/>
      <c r="C49" s="1144"/>
      <c r="D49" s="1144"/>
      <c r="E49" s="1144"/>
      <c r="F49" s="1144"/>
      <c r="G49" s="1147"/>
      <c r="H49" s="1144"/>
      <c r="I49" s="1144"/>
      <c r="J49" s="1144"/>
      <c r="K49" s="1105"/>
      <c r="L49" s="1106"/>
      <c r="M49" s="1144"/>
      <c r="N49" s="1144"/>
      <c r="O49" s="1144"/>
    </row>
    <row r="50" spans="1:22" ht="14.4">
      <c r="A50" s="1144"/>
      <c r="B50" s="1144"/>
      <c r="C50" s="1144"/>
      <c r="D50" s="1144"/>
      <c r="E50" s="1144"/>
      <c r="F50" s="1144"/>
      <c r="G50" s="1144"/>
      <c r="H50" s="1144"/>
      <c r="I50" s="1144"/>
      <c r="J50" s="1144"/>
      <c r="K50" s="1105"/>
      <c r="L50" s="1106"/>
      <c r="M50" s="1144"/>
      <c r="N50" s="1144"/>
      <c r="O50" s="1144"/>
      <c r="P50" s="3302" t="s">
        <v>3378</v>
      </c>
      <c r="Q50" s="1144"/>
      <c r="R50" s="3303">
        <v>0.6</v>
      </c>
      <c r="S50" s="1144"/>
      <c r="T50" s="3303">
        <v>0.2</v>
      </c>
      <c r="U50" s="1144"/>
      <c r="V50" s="3303">
        <v>0.2</v>
      </c>
    </row>
    <row r="51" spans="1:22" ht="13.5" customHeight="1">
      <c r="A51" s="1144"/>
      <c r="B51" s="1144"/>
      <c r="C51" s="497" t="s">
        <v>2669</v>
      </c>
      <c r="D51" s="498"/>
      <c r="E51" s="499">
        <f>IF(E46&lt;E47,E47/E46-1,E46/E47-1)</f>
        <v>8.5182534001431165E-3</v>
      </c>
      <c r="F51" s="500" t="str">
        <f>IF(OR(E51&gt;=0.3,E51&lt;=-0.3),"超过30%","")</f>
        <v/>
      </c>
      <c r="G51" s="499">
        <f>IF(G46&lt;G47,G47/G46-1,G46/G47-1)</f>
        <v>4.1649652919559799E-3</v>
      </c>
      <c r="H51" s="500" t="str">
        <f>IF(OR(G51&gt;=0.3,G51&lt;=-0.3),"超过30%","")</f>
        <v/>
      </c>
      <c r="I51" s="499">
        <f>IF(I46&lt;I47,I47/I46-1,I46/I47-1)</f>
        <v>1.4034223808937485E-2</v>
      </c>
      <c r="J51" s="500" t="str">
        <f>IF(OR(I51&gt;=0.3,I51&lt;=-0.3),"超过30%","")</f>
        <v/>
      </c>
      <c r="K51" s="1105"/>
      <c r="L51" s="1106"/>
      <c r="M51" s="1144"/>
      <c r="N51" s="1144"/>
      <c r="O51" s="1144"/>
    </row>
    <row r="52" spans="1:22" ht="13.5" customHeight="1">
      <c r="A52" s="1144"/>
      <c r="B52" s="1144"/>
      <c r="C52" s="497" t="s">
        <v>2670</v>
      </c>
      <c r="D52" s="501"/>
      <c r="E52" s="499">
        <f>IF(E47&lt;G47,G47/E47-1,E47/G47-1)</f>
        <v>0.74547519341330126</v>
      </c>
      <c r="F52" s="500" t="str">
        <f>IF(OR(E52&gt;=0.2,E52&lt;=-0.2),"超过20%","")</f>
        <v>超过20%</v>
      </c>
      <c r="G52" s="499">
        <f>IF(G47&lt;I47,I47/G47-1,G47/I47-1)</f>
        <v>4.8389720234223166E-3</v>
      </c>
      <c r="H52" s="500" t="str">
        <f>IF(OR(G52&gt;=0.2,G52&lt;=-0.2),"超过20%","")</f>
        <v/>
      </c>
      <c r="I52" s="499">
        <f>IF(I47&lt;E47,E47/I47-1,I47/E47-1)</f>
        <v>0.75392149904180572</v>
      </c>
      <c r="J52" s="500" t="str">
        <f>IF(OR(I52&gt;=0.2,I52&lt;=-0.2),"超过20%","")</f>
        <v>超过20%</v>
      </c>
      <c r="K52" s="1105"/>
      <c r="L52" s="1106"/>
      <c r="M52" s="1144"/>
      <c r="N52" s="1144"/>
      <c r="O52" s="1144"/>
    </row>
    <row r="53" spans="1:22" s="502" customFormat="1" ht="13.5" customHeight="1">
      <c r="A53" s="1145"/>
      <c r="B53" s="1145"/>
      <c r="C53" s="497" t="s">
        <v>2671</v>
      </c>
      <c r="D53" s="501"/>
      <c r="E53" s="499">
        <f>IF(E46&lt;G46,G46/E46-1,E46/G46-1)</f>
        <v>0.753042233357194</v>
      </c>
      <c r="F53" s="500" t="str">
        <f>IF(OR(E53&gt;=0.3,E53&lt;=-0.3),"超过30%","")</f>
        <v>超过30%</v>
      </c>
      <c r="G53" s="499">
        <f>IF(G46&lt;I46,I46/G46-1,G46/I46-1)</f>
        <v>4.9653247978989068E-3</v>
      </c>
      <c r="H53" s="500" t="str">
        <f>IF(OR(G53&gt;=0.3,G53&lt;=-0.3),"超过30%","")</f>
        <v/>
      </c>
      <c r="I53" s="499">
        <f>IF(I46&lt;E46,E46/I46-1,I46/E46-1)</f>
        <v>0.74438081603435924</v>
      </c>
      <c r="J53" s="500" t="str">
        <f>IF(OR(I53&gt;=0.3,I53&lt;=-0.3),"超过30%","")</f>
        <v>超过30%</v>
      </c>
      <c r="K53" s="1148"/>
      <c r="L53" s="1149"/>
      <c r="M53" s="1145"/>
      <c r="N53" s="1145"/>
      <c r="O53" s="1145"/>
    </row>
    <row r="54" spans="1:22" s="502" customFormat="1" ht="14.4" thickBot="1">
      <c r="A54" s="1145"/>
      <c r="B54" s="1146"/>
      <c r="C54" s="762"/>
      <c r="D54" s="760"/>
      <c r="E54" s="760"/>
      <c r="F54" s="760"/>
      <c r="G54" s="760"/>
      <c r="H54" s="760"/>
      <c r="I54" s="760"/>
      <c r="J54" s="760"/>
      <c r="K54" s="1148"/>
      <c r="L54" s="1149"/>
      <c r="M54" s="1145"/>
      <c r="N54" s="1145"/>
      <c r="O54" s="1145"/>
    </row>
    <row r="55" spans="1:22" ht="27" customHeight="1">
      <c r="A55" s="684" t="s">
        <v>2756</v>
      </c>
      <c r="B55" s="685" t="s">
        <v>2757</v>
      </c>
      <c r="C55" s="2703" t="s">
        <v>2758</v>
      </c>
      <c r="D55" s="2704" t="s">
        <v>2759</v>
      </c>
      <c r="E55" s="686" t="s">
        <v>2760</v>
      </c>
      <c r="F55" s="1107" t="s">
        <v>2761</v>
      </c>
      <c r="G55" s="3185" t="s">
        <v>2762</v>
      </c>
      <c r="H55" s="3231"/>
      <c r="I55" s="144" t="s">
        <v>2763</v>
      </c>
      <c r="J55" s="2705">
        <f>项目基本情况!F35</f>
        <v>0</v>
      </c>
      <c r="K55" s="2706" t="s">
        <v>2764</v>
      </c>
      <c r="L55" s="1106"/>
      <c r="M55" s="1144"/>
      <c r="N55" s="1144"/>
      <c r="O55" s="1144"/>
    </row>
    <row r="56" spans="1:22" s="692" customFormat="1">
      <c r="A56" s="688" t="s">
        <v>2765</v>
      </c>
      <c r="B56" s="689">
        <f>C48</f>
        <v>18314</v>
      </c>
      <c r="C56" s="690">
        <v>1</v>
      </c>
      <c r="D56" s="1163">
        <v>1</v>
      </c>
      <c r="E56" s="690">
        <f>'数据-汇总表'!E8+'数据-汇总表'!E9</f>
        <v>33499</v>
      </c>
      <c r="F56" s="1103">
        <f t="shared" ref="F56:F65" si="15">ROUND(B56*E56/10000,0)</f>
        <v>61350</v>
      </c>
      <c r="G56" s="3181"/>
      <c r="H56" s="3170"/>
      <c r="I56" s="1108">
        <v>1</v>
      </c>
      <c r="J56" s="1111">
        <v>1</v>
      </c>
      <c r="K56" s="1145"/>
      <c r="L56" s="941"/>
      <c r="M56" s="941"/>
      <c r="N56" s="941"/>
      <c r="O56" s="941"/>
    </row>
    <row r="57" spans="1:22" s="692" customFormat="1">
      <c r="A57" s="693" t="s">
        <v>2766</v>
      </c>
      <c r="B57" s="262">
        <f>ROUND($C$48*C57*D57,0)</f>
        <v>3205</v>
      </c>
      <c r="C57" s="200">
        <f t="shared" ref="C57:C65" si="16">IF($C$55="北京市系数",I57,J57)</f>
        <v>0.7</v>
      </c>
      <c r="D57" s="1164">
        <v>0.25</v>
      </c>
      <c r="E57" s="694"/>
      <c r="F57" s="1103">
        <f t="shared" si="15"/>
        <v>0</v>
      </c>
      <c r="G57" s="3232" t="s">
        <v>2767</v>
      </c>
      <c r="H57" s="1104" t="str">
        <f>项目基本情况!B37</f>
        <v>六级</v>
      </c>
      <c r="I57" s="1108">
        <f>SUMIF(修正!A45:A56,H57,修正!B45:B56)</f>
        <v>0.7</v>
      </c>
      <c r="J57" s="1112"/>
      <c r="K57" s="1144"/>
      <c r="L57" s="941"/>
      <c r="M57" s="941"/>
      <c r="N57" s="941"/>
      <c r="O57" s="941"/>
    </row>
    <row r="58" spans="1:22" s="692" customFormat="1">
      <c r="A58" s="693" t="s">
        <v>2768</v>
      </c>
      <c r="B58" s="262">
        <f t="shared" ref="B58:B65" si="17">ROUND($C$48*C58*D58,0)</f>
        <v>1831</v>
      </c>
      <c r="C58" s="200">
        <f t="shared" si="16"/>
        <v>0.4</v>
      </c>
      <c r="D58" s="1164">
        <v>0.25</v>
      </c>
      <c r="E58" s="694"/>
      <c r="F58" s="1103">
        <f t="shared" si="15"/>
        <v>0</v>
      </c>
      <c r="G58" s="3232"/>
      <c r="H58" s="1104" t="str">
        <f>项目基本情况!B37</f>
        <v>六级</v>
      </c>
      <c r="I58" s="1108">
        <f>SUMIF(修正!A45:A56,H58,修正!C45:C56)</f>
        <v>0.4</v>
      </c>
      <c r="J58" s="1112"/>
      <c r="K58" s="1145"/>
      <c r="L58" s="941"/>
      <c r="M58" s="941"/>
      <c r="N58" s="941"/>
      <c r="O58" s="941"/>
    </row>
    <row r="59" spans="1:22" s="692" customFormat="1">
      <c r="A59" s="693" t="s">
        <v>2769</v>
      </c>
      <c r="B59" s="262">
        <f t="shared" si="17"/>
        <v>1282</v>
      </c>
      <c r="C59" s="200">
        <f t="shared" si="16"/>
        <v>0.28000000000000003</v>
      </c>
      <c r="D59" s="1164">
        <v>0.25</v>
      </c>
      <c r="E59" s="694"/>
      <c r="F59" s="1103">
        <f t="shared" si="15"/>
        <v>0</v>
      </c>
      <c r="G59" s="3232"/>
      <c r="H59" s="1104" t="str">
        <f>项目基本情况!B37</f>
        <v>六级</v>
      </c>
      <c r="I59" s="1108">
        <f>SUMIF(修正!A45:A56,H59,修正!D45:D56)</f>
        <v>0.28000000000000003</v>
      </c>
      <c r="J59" s="1112"/>
      <c r="K59" s="1144"/>
      <c r="L59" s="941"/>
      <c r="M59" s="941"/>
      <c r="N59" s="941"/>
      <c r="O59" s="941"/>
    </row>
    <row r="60" spans="1:22" s="692" customFormat="1">
      <c r="A60" s="693" t="s">
        <v>2770</v>
      </c>
      <c r="B60" s="262">
        <f t="shared" si="17"/>
        <v>1145</v>
      </c>
      <c r="C60" s="200">
        <f t="shared" si="16"/>
        <v>0.25</v>
      </c>
      <c r="D60" s="1164">
        <v>0.25</v>
      </c>
      <c r="E60" s="694"/>
      <c r="F60" s="1103">
        <f t="shared" si="15"/>
        <v>0</v>
      </c>
      <c r="G60" s="3232"/>
      <c r="H60" s="1104" t="str">
        <f>项目基本情况!B37</f>
        <v>六级</v>
      </c>
      <c r="I60" s="1108">
        <f>SUMIF(修正!A45:A56,H60,修正!E45:E56)</f>
        <v>0.25</v>
      </c>
      <c r="J60" s="1112"/>
      <c r="K60" s="1145"/>
      <c r="L60" s="941"/>
      <c r="M60" s="941"/>
      <c r="N60" s="941"/>
      <c r="O60" s="941"/>
    </row>
    <row r="61" spans="1:22" s="692" customFormat="1">
      <c r="A61" s="693" t="s">
        <v>2771</v>
      </c>
      <c r="B61" s="262">
        <f t="shared" si="17"/>
        <v>1145</v>
      </c>
      <c r="C61" s="200">
        <f t="shared" si="16"/>
        <v>0.25</v>
      </c>
      <c r="D61" s="1164">
        <v>0.25</v>
      </c>
      <c r="E61" s="261">
        <f>'数据-汇总表'!E11</f>
        <v>0</v>
      </c>
      <c r="F61" s="1103">
        <f t="shared" si="15"/>
        <v>0</v>
      </c>
      <c r="G61" s="2707" t="s">
        <v>2772</v>
      </c>
      <c r="H61" s="1104" t="str">
        <f>项目基本情况!C37</f>
        <v>六级</v>
      </c>
      <c r="I61" s="1108">
        <f>SUMIF(修正!A45:A56,H61,修正!F45:F56)</f>
        <v>0.25</v>
      </c>
      <c r="J61" s="1112"/>
      <c r="K61" s="1144"/>
      <c r="L61" s="941"/>
      <c r="M61" s="941"/>
      <c r="N61" s="941"/>
      <c r="O61" s="941"/>
    </row>
    <row r="62" spans="1:22" s="692" customFormat="1">
      <c r="A62" s="693" t="s">
        <v>2773</v>
      </c>
      <c r="B62" s="262">
        <f t="shared" si="17"/>
        <v>1145</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2"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2" s="692" customFormat="1">
      <c r="A64" s="693" t="s">
        <v>2777</v>
      </c>
      <c r="B64" s="262">
        <f t="shared" si="17"/>
        <v>916</v>
      </c>
      <c r="C64" s="200">
        <f t="shared" si="16"/>
        <v>0.2</v>
      </c>
      <c r="D64" s="1164">
        <v>0.25</v>
      </c>
      <c r="E64" s="261">
        <f>'数据-汇总表'!E14</f>
        <v>0</v>
      </c>
      <c r="F64" s="1103">
        <f t="shared" si="15"/>
        <v>0</v>
      </c>
      <c r="G64" s="2707" t="s">
        <v>2767</v>
      </c>
      <c r="H64" s="1104" t="str">
        <f>项目基本情况!B37</f>
        <v>六级</v>
      </c>
      <c r="I64" s="1108">
        <f>SUMIF(修正!A45:A56,H64,修正!H45:H56)</f>
        <v>0.2</v>
      </c>
      <c r="J64" s="1112"/>
      <c r="K64" s="1145"/>
      <c r="L64" s="941"/>
      <c r="M64" s="941"/>
      <c r="N64" s="941"/>
      <c r="O64" s="941"/>
    </row>
    <row r="65" spans="1:17" s="692" customFormat="1" ht="14.4" thickBot="1">
      <c r="A65" s="693" t="s">
        <v>2778</v>
      </c>
      <c r="B65" s="262">
        <f t="shared" si="17"/>
        <v>916</v>
      </c>
      <c r="C65" s="200">
        <f t="shared" si="16"/>
        <v>0.2</v>
      </c>
      <c r="D65" s="1164">
        <v>0.25</v>
      </c>
      <c r="E65" s="261">
        <f>'数据-汇总表'!E15</f>
        <v>0</v>
      </c>
      <c r="F65" s="1103">
        <f t="shared" si="15"/>
        <v>0</v>
      </c>
      <c r="G65" s="2708" t="s">
        <v>2772</v>
      </c>
      <c r="H65" s="1114" t="str">
        <f>项目基本情况!C37</f>
        <v>六级</v>
      </c>
      <c r="I65" s="1110">
        <f>SUMIF(修正!A45:A56,H65,修正!H45:H56)</f>
        <v>0.2</v>
      </c>
      <c r="J65" s="1113"/>
      <c r="K65" s="1144"/>
      <c r="L65" s="941"/>
      <c r="M65" s="941"/>
      <c r="N65" s="941"/>
      <c r="O65" s="941"/>
    </row>
    <row r="66" spans="1:17" s="692" customFormat="1" thickBot="1">
      <c r="A66" s="695" t="s">
        <v>2779</v>
      </c>
      <c r="B66" s="696" t="s">
        <v>28</v>
      </c>
      <c r="C66" s="696" t="s">
        <v>29</v>
      </c>
      <c r="D66" s="696" t="s">
        <v>1025</v>
      </c>
      <c r="E66" s="696">
        <f>IF(B46="楼面地价",SUM(E56:E65),'数据-汇总表'!D3)</f>
        <v>33499</v>
      </c>
      <c r="F66" s="697">
        <f>IF(B46="楼面地价",SUM(F56:F65),ROUND(C48*E66/10000,0))</f>
        <v>61350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09" t="s">
        <v>2780</v>
      </c>
      <c r="B70" s="1359"/>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28.8">
      <c r="A75" s="527" t="s">
        <v>2586</v>
      </c>
      <c r="B75" s="528" t="s">
        <v>2552</v>
      </c>
      <c r="C75" s="3294" t="s">
        <v>3342</v>
      </c>
      <c r="D75" s="530" t="s">
        <v>3343</v>
      </c>
      <c r="E75" s="530"/>
      <c r="F75" s="530"/>
      <c r="G75" s="530"/>
      <c r="H75" s="530"/>
      <c r="I75" s="530"/>
      <c r="J75" s="530"/>
      <c r="K75" s="531"/>
      <c r="L75" s="532"/>
      <c r="M75" s="533"/>
      <c r="N75" s="1152"/>
      <c r="O75" s="1152"/>
      <c r="P75" s="45"/>
      <c r="Q75" s="504"/>
    </row>
    <row r="76" spans="1:17" ht="14.4" thickBot="1">
      <c r="A76" s="534"/>
      <c r="B76" s="535"/>
      <c r="C76" s="536">
        <v>100</v>
      </c>
      <c r="D76" s="536">
        <v>97</v>
      </c>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c r="K80" s="550"/>
      <c r="L80" s="551"/>
      <c r="M80" s="552"/>
      <c r="N80" s="1152"/>
      <c r="O80" s="1152"/>
      <c r="P80" s="45"/>
      <c r="Q80" s="504"/>
    </row>
    <row r="81" spans="1:17" ht="14.4"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5" thickTop="1">
      <c r="A84" s="553"/>
      <c r="B84" s="538" t="str">
        <f>B13</f>
        <v>自持情况</v>
      </c>
      <c r="C84" s="3297" t="s">
        <v>3375</v>
      </c>
      <c r="D84" s="3297" t="s">
        <v>3376</v>
      </c>
      <c r="E84" s="3297" t="s">
        <v>3377</v>
      </c>
      <c r="F84" s="554"/>
      <c r="G84" s="554"/>
      <c r="H84" s="555"/>
      <c r="I84" s="555"/>
      <c r="J84" s="555"/>
      <c r="K84" s="555"/>
      <c r="L84" s="556"/>
      <c r="M84" s="557"/>
      <c r="N84" s="1154"/>
      <c r="O84" s="1154"/>
      <c r="P84" s="470"/>
      <c r="Q84" s="561"/>
    </row>
    <row r="85" spans="1:17" s="471" customFormat="1" ht="14.4" thickBot="1">
      <c r="A85" s="553"/>
      <c r="B85" s="543"/>
      <c r="C85" s="560">
        <v>100</v>
      </c>
      <c r="D85" s="560">
        <v>97</v>
      </c>
      <c r="E85" s="560">
        <v>94</v>
      </c>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2689</v>
      </c>
      <c r="C106" s="3297" t="s">
        <v>3349</v>
      </c>
      <c r="D106" s="3297" t="s">
        <v>3350</v>
      </c>
      <c r="E106" s="3297" t="s">
        <v>3351</v>
      </c>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2789</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3299" t="s">
        <v>3352</v>
      </c>
      <c r="D119" s="3299" t="s">
        <v>3354</v>
      </c>
      <c r="E119" s="3299" t="s">
        <v>3355</v>
      </c>
      <c r="F119" s="3299" t="s">
        <v>3356</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2791</v>
      </c>
      <c r="C121" s="3297" t="s">
        <v>3357</v>
      </c>
      <c r="D121" s="3297" t="s">
        <v>3359</v>
      </c>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2792</v>
      </c>
      <c r="C123" s="3297" t="s">
        <v>3360</v>
      </c>
      <c r="D123" s="3297" t="s">
        <v>3362</v>
      </c>
      <c r="E123" s="3297" t="s">
        <v>3363</v>
      </c>
      <c r="F123" s="3297" t="s">
        <v>3364</v>
      </c>
      <c r="G123" s="3297" t="s">
        <v>3370</v>
      </c>
      <c r="H123" s="3299" t="s">
        <v>3372</v>
      </c>
      <c r="I123" s="583"/>
      <c r="J123" s="583"/>
      <c r="K123" s="584"/>
      <c r="L123" s="585"/>
      <c r="M123" s="586"/>
      <c r="N123" s="1154"/>
      <c r="O123" s="1154"/>
      <c r="P123" s="558"/>
      <c r="Q123" s="559"/>
    </row>
    <row r="124" spans="1:17" s="471" customFormat="1" ht="14.4"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2793</v>
      </c>
      <c r="C125" s="3297" t="s">
        <v>3365</v>
      </c>
      <c r="D125" s="3297" t="s">
        <v>3366</v>
      </c>
      <c r="E125" s="3299" t="s">
        <v>3367</v>
      </c>
      <c r="F125" s="3299" t="s">
        <v>3368</v>
      </c>
      <c r="G125" s="3299" t="s">
        <v>3369</v>
      </c>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
  <sheetViews>
    <sheetView workbookViewId="0">
      <selection activeCell="L23" sqref="L23"/>
    </sheetView>
  </sheetViews>
  <sheetFormatPr defaultRowHeight="14.4"/>
  <cols>
    <col min="1" max="1" width="17.5546875" customWidth="1"/>
    <col min="2" max="3" width="0" hidden="1" customWidth="1"/>
    <col min="5" max="8" width="0" hidden="1" customWidth="1"/>
    <col min="9" max="9" width="28" customWidth="1"/>
    <col min="13" max="13" width="0" hidden="1" customWidth="1"/>
    <col min="16" max="19" width="0" hidden="1" customWidth="1"/>
    <col min="22" max="26" width="0" hidden="1" customWidth="1"/>
    <col min="28" max="29" width="0" hidden="1" customWidth="1"/>
    <col min="31" max="32" width="0" hidden="1" customWidth="1"/>
    <col min="34" max="34" width="0" hidden="1" customWidth="1"/>
    <col min="36" max="36" width="0" hidden="1" customWidth="1"/>
    <col min="38" max="39" width="0" hidden="1" customWidth="1"/>
    <col min="42" max="45" width="0" hidden="1" customWidth="1"/>
  </cols>
  <sheetData>
    <row r="1" spans="1:45" s="1633" customFormat="1">
      <c r="A1" s="1633" t="s">
        <v>3115</v>
      </c>
      <c r="B1" s="1633" t="s">
        <v>3116</v>
      </c>
      <c r="C1" s="1633" t="s">
        <v>3117</v>
      </c>
      <c r="D1" s="1633" t="s">
        <v>3178</v>
      </c>
      <c r="E1" s="1633" t="s">
        <v>3179</v>
      </c>
      <c r="F1" s="1633" t="s">
        <v>3180</v>
      </c>
      <c r="G1" s="1633" t="s">
        <v>3121</v>
      </c>
      <c r="H1" s="1633" t="s">
        <v>3181</v>
      </c>
      <c r="I1" s="1633" t="s">
        <v>3182</v>
      </c>
      <c r="J1" s="1633" t="s">
        <v>3118</v>
      </c>
      <c r="K1" s="1633" t="s">
        <v>3119</v>
      </c>
      <c r="L1" s="1633" t="s">
        <v>3120</v>
      </c>
      <c r="M1" s="1633" t="s">
        <v>3183</v>
      </c>
      <c r="N1" s="1633" t="s">
        <v>3184</v>
      </c>
      <c r="O1" s="1633" t="s">
        <v>3185</v>
      </c>
      <c r="P1" s="1633" t="s">
        <v>3186</v>
      </c>
      <c r="Q1" s="1633" t="s">
        <v>3187</v>
      </c>
      <c r="R1" s="1633" t="s">
        <v>3188</v>
      </c>
      <c r="S1" s="1633" t="s">
        <v>3189</v>
      </c>
      <c r="T1" s="1633" t="s">
        <v>3190</v>
      </c>
      <c r="U1" s="1633" t="s">
        <v>3191</v>
      </c>
      <c r="V1" s="1633" t="s">
        <v>3192</v>
      </c>
      <c r="W1" s="1633" t="s">
        <v>3193</v>
      </c>
      <c r="X1" s="1633" t="s">
        <v>3194</v>
      </c>
      <c r="Y1" s="1633" t="s">
        <v>3195</v>
      </c>
      <c r="Z1" s="1633" t="s">
        <v>3122</v>
      </c>
      <c r="AA1" s="1633" t="s">
        <v>3196</v>
      </c>
      <c r="AB1" s="1633" t="s">
        <v>3197</v>
      </c>
      <c r="AC1" s="1633" t="s">
        <v>3198</v>
      </c>
      <c r="AD1" s="1633" t="s">
        <v>3127</v>
      </c>
      <c r="AE1" s="1633" t="s">
        <v>3199</v>
      </c>
      <c r="AF1" s="1633" t="s">
        <v>3123</v>
      </c>
      <c r="AG1" s="1633" t="s">
        <v>3124</v>
      </c>
      <c r="AH1" s="1633" t="s">
        <v>3200</v>
      </c>
      <c r="AI1" s="1633" t="s">
        <v>3201</v>
      </c>
      <c r="AJ1" s="1633" t="s">
        <v>3202</v>
      </c>
      <c r="AK1" s="1633" t="s">
        <v>3125</v>
      </c>
      <c r="AL1" s="1633" t="s">
        <v>3203</v>
      </c>
      <c r="AM1" s="1633" t="s">
        <v>3204</v>
      </c>
      <c r="AN1" s="1633" t="s">
        <v>3126</v>
      </c>
      <c r="AO1" s="1633" t="s">
        <v>3205</v>
      </c>
      <c r="AP1" s="1633" t="s">
        <v>3206</v>
      </c>
      <c r="AQ1" s="1633" t="s">
        <v>3207</v>
      </c>
      <c r="AR1" s="1633" t="s">
        <v>3208</v>
      </c>
      <c r="AS1" s="1633" t="s">
        <v>3209</v>
      </c>
    </row>
    <row r="2" spans="1:45" s="3291" customFormat="1">
      <c r="A2" s="3291" t="s">
        <v>3177</v>
      </c>
      <c r="B2" s="3291" t="s">
        <v>3062</v>
      </c>
      <c r="C2" s="3291" t="s">
        <v>3129</v>
      </c>
      <c r="D2" s="3291" t="s">
        <v>3210</v>
      </c>
      <c r="E2" s="3291" t="s">
        <v>1326</v>
      </c>
      <c r="F2" s="3291" t="s">
        <v>3211</v>
      </c>
      <c r="G2" s="3291" t="s">
        <v>3130</v>
      </c>
      <c r="H2" s="3291" t="s">
        <v>3212</v>
      </c>
      <c r="I2" s="3291" t="s">
        <v>3213</v>
      </c>
      <c r="J2" s="3291">
        <v>28003.32</v>
      </c>
      <c r="K2" s="3291">
        <v>70008</v>
      </c>
      <c r="L2" s="3291" t="s">
        <v>3214</v>
      </c>
      <c r="M2" s="3291" t="s">
        <v>1326</v>
      </c>
      <c r="N2" s="3291" t="s">
        <v>3215</v>
      </c>
      <c r="O2" s="3291" t="s">
        <v>3216</v>
      </c>
      <c r="P2" s="3291" t="s">
        <v>1326</v>
      </c>
      <c r="Q2" s="3291" t="s">
        <v>1326</v>
      </c>
      <c r="R2" s="3291" t="s">
        <v>1326</v>
      </c>
      <c r="S2" s="3291" t="s">
        <v>1326</v>
      </c>
      <c r="T2" s="3291" t="s">
        <v>1326</v>
      </c>
      <c r="U2" s="3291" t="s">
        <v>1326</v>
      </c>
      <c r="V2" s="3291" t="s">
        <v>1326</v>
      </c>
      <c r="W2" s="3291" t="s">
        <v>3217</v>
      </c>
      <c r="X2" s="3291" t="s">
        <v>3218</v>
      </c>
      <c r="Y2" s="3291" t="s">
        <v>3219</v>
      </c>
      <c r="Z2" s="3291" t="s">
        <v>3220</v>
      </c>
      <c r="AA2" s="3291" t="s">
        <v>3220</v>
      </c>
      <c r="AB2" s="3291" t="s">
        <v>3212</v>
      </c>
      <c r="AC2" s="3291" t="s">
        <v>3221</v>
      </c>
      <c r="AD2" s="3291" t="s">
        <v>3222</v>
      </c>
      <c r="AE2" s="3291">
        <v>19500</v>
      </c>
      <c r="AF2" s="3291">
        <v>96800</v>
      </c>
      <c r="AG2" s="3291">
        <v>97800</v>
      </c>
      <c r="AH2" s="3291">
        <v>2304.4899999999998</v>
      </c>
      <c r="AI2" s="3291">
        <v>2328.3000000000002</v>
      </c>
      <c r="AJ2" s="3291">
        <v>13826.99</v>
      </c>
      <c r="AK2" s="3291">
        <v>13969.82</v>
      </c>
      <c r="AL2" s="3291" t="s">
        <v>1326</v>
      </c>
      <c r="AM2" s="3291" t="s">
        <v>1326</v>
      </c>
      <c r="AN2" s="3291">
        <v>1.03</v>
      </c>
      <c r="AO2" s="3291" t="s">
        <v>3223</v>
      </c>
      <c r="AP2" s="3291" t="s">
        <v>1326</v>
      </c>
      <c r="AQ2" s="3291" t="s">
        <v>1326</v>
      </c>
      <c r="AR2" s="3291" t="s">
        <v>1326</v>
      </c>
      <c r="AS2" s="3291" t="s">
        <v>3224</v>
      </c>
    </row>
    <row r="3" spans="1:45" s="1633" customFormat="1">
      <c r="A3" s="1633" t="s">
        <v>3128</v>
      </c>
      <c r="B3" s="1633" t="s">
        <v>3062</v>
      </c>
      <c r="C3" s="1633" t="s">
        <v>3129</v>
      </c>
      <c r="D3" s="1633" t="s">
        <v>3210</v>
      </c>
      <c r="E3" s="1633" t="s">
        <v>1326</v>
      </c>
      <c r="F3" s="1633" t="s">
        <v>3225</v>
      </c>
      <c r="G3" s="1633" t="s">
        <v>3130</v>
      </c>
      <c r="H3" s="1633" t="s">
        <v>3226</v>
      </c>
      <c r="I3" s="1633" t="s">
        <v>3213</v>
      </c>
      <c r="J3" s="1633">
        <v>35230.230000000003</v>
      </c>
      <c r="K3" s="1633">
        <v>88076</v>
      </c>
      <c r="L3" s="1633">
        <v>2.5</v>
      </c>
      <c r="M3" s="1633" t="s">
        <v>1326</v>
      </c>
      <c r="N3" s="1633" t="s">
        <v>1326</v>
      </c>
      <c r="O3" s="1633" t="s">
        <v>1326</v>
      </c>
      <c r="P3" s="1633" t="s">
        <v>1326</v>
      </c>
      <c r="Q3" s="1633" t="s">
        <v>1326</v>
      </c>
      <c r="R3" s="1633" t="s">
        <v>1326</v>
      </c>
      <c r="S3" s="1633" t="s">
        <v>1326</v>
      </c>
      <c r="T3" s="1633" t="s">
        <v>1326</v>
      </c>
      <c r="U3" s="1633" t="s">
        <v>1326</v>
      </c>
      <c r="V3" s="1633" t="s">
        <v>1326</v>
      </c>
      <c r="W3" s="1633" t="s">
        <v>3227</v>
      </c>
      <c r="X3" s="1633" t="s">
        <v>3228</v>
      </c>
      <c r="Y3" s="1633" t="s">
        <v>3229</v>
      </c>
      <c r="Z3" s="1633" t="s">
        <v>3131</v>
      </c>
      <c r="AA3" s="1633" t="s">
        <v>3131</v>
      </c>
      <c r="AB3" s="1633" t="s">
        <v>3226</v>
      </c>
      <c r="AC3" s="1633" t="s">
        <v>3221</v>
      </c>
      <c r="AD3" s="1633" t="s">
        <v>3132</v>
      </c>
      <c r="AE3" s="1633">
        <v>18600</v>
      </c>
      <c r="AF3" s="1633">
        <v>62000</v>
      </c>
      <c r="AG3" s="1633">
        <v>62000</v>
      </c>
      <c r="AH3" s="1633">
        <v>1173.23</v>
      </c>
      <c r="AI3" s="1633">
        <v>1173.23</v>
      </c>
      <c r="AJ3" s="1633">
        <v>7039.37</v>
      </c>
      <c r="AK3" s="1633">
        <v>7039.38</v>
      </c>
      <c r="AL3" s="1633" t="s">
        <v>1326</v>
      </c>
      <c r="AM3" s="1633" t="s">
        <v>1326</v>
      </c>
      <c r="AN3" s="1633">
        <v>0</v>
      </c>
      <c r="AO3" s="1633" t="s">
        <v>3223</v>
      </c>
      <c r="AP3" s="1633" t="s">
        <v>1326</v>
      </c>
      <c r="AQ3" s="1633" t="s">
        <v>1326</v>
      </c>
      <c r="AR3" s="1633" t="s">
        <v>1326</v>
      </c>
      <c r="AS3" s="1633" t="s">
        <v>3230</v>
      </c>
    </row>
    <row r="4" spans="1:45" s="1633" customFormat="1">
      <c r="A4" s="1633" t="s">
        <v>3133</v>
      </c>
      <c r="B4" s="1633" t="s">
        <v>3062</v>
      </c>
      <c r="C4" s="1633" t="s">
        <v>3129</v>
      </c>
      <c r="D4" s="1633" t="s">
        <v>3210</v>
      </c>
      <c r="E4" s="1633" t="s">
        <v>1326</v>
      </c>
      <c r="F4" s="1633" t="s">
        <v>3231</v>
      </c>
      <c r="G4" s="1633" t="s">
        <v>3130</v>
      </c>
      <c r="H4" s="1633" t="s">
        <v>3232</v>
      </c>
      <c r="I4" s="1633" t="s">
        <v>3233</v>
      </c>
      <c r="J4" s="1633">
        <v>2070793</v>
      </c>
      <c r="K4" s="1633">
        <v>1642730</v>
      </c>
      <c r="L4" s="1633">
        <v>0.79</v>
      </c>
      <c r="M4" s="1633" t="s">
        <v>1326</v>
      </c>
      <c r="N4" s="1633" t="s">
        <v>1326</v>
      </c>
      <c r="O4" s="1633" t="s">
        <v>1326</v>
      </c>
      <c r="P4" s="1633" t="s">
        <v>1326</v>
      </c>
      <c r="Q4" s="1633" t="s">
        <v>1326</v>
      </c>
      <c r="R4" s="1633" t="s">
        <v>1326</v>
      </c>
      <c r="S4" s="1633" t="s">
        <v>1326</v>
      </c>
      <c r="T4" s="1633" t="s">
        <v>1326</v>
      </c>
      <c r="U4" s="1633" t="s">
        <v>1326</v>
      </c>
      <c r="V4" s="1633" t="s">
        <v>1326</v>
      </c>
      <c r="W4" s="1633" t="s">
        <v>3227</v>
      </c>
      <c r="X4" s="1633" t="s">
        <v>3234</v>
      </c>
      <c r="Y4" s="1633" t="s">
        <v>3235</v>
      </c>
      <c r="Z4" s="1633" t="s">
        <v>3134</v>
      </c>
      <c r="AA4" s="1633" t="s">
        <v>3134</v>
      </c>
      <c r="AB4" s="1633" t="s">
        <v>3232</v>
      </c>
      <c r="AC4" s="1633" t="s">
        <v>3221</v>
      </c>
      <c r="AD4" s="1633" t="s">
        <v>3135</v>
      </c>
      <c r="AE4" s="1633">
        <v>220000</v>
      </c>
      <c r="AF4" s="1633">
        <v>870000</v>
      </c>
      <c r="AG4" s="1633">
        <v>870000</v>
      </c>
      <c r="AH4" s="1633">
        <v>280.08999999999997</v>
      </c>
      <c r="AI4" s="1633">
        <v>280.08999999999997</v>
      </c>
      <c r="AJ4" s="1633">
        <v>5296.06</v>
      </c>
      <c r="AK4" s="1633">
        <v>5296.06</v>
      </c>
      <c r="AL4" s="1633" t="s">
        <v>1326</v>
      </c>
      <c r="AM4" s="1633" t="s">
        <v>1326</v>
      </c>
      <c r="AN4" s="1633">
        <v>0</v>
      </c>
      <c r="AO4" s="1633" t="s">
        <v>3236</v>
      </c>
      <c r="AP4" s="1633" t="s">
        <v>1326</v>
      </c>
      <c r="AQ4" s="1633" t="s">
        <v>1326</v>
      </c>
      <c r="AR4" s="1633" t="s">
        <v>1326</v>
      </c>
      <c r="AS4" s="1633" t="s">
        <v>3237</v>
      </c>
    </row>
    <row r="5" spans="1:45" s="1633" customFormat="1">
      <c r="A5" s="1633" t="s">
        <v>3136</v>
      </c>
      <c r="B5" s="1633" t="s">
        <v>3062</v>
      </c>
      <c r="C5" s="1633" t="s">
        <v>3129</v>
      </c>
      <c r="D5" s="1633" t="s">
        <v>3210</v>
      </c>
      <c r="E5" s="1633" t="s">
        <v>1326</v>
      </c>
      <c r="F5" s="1633" t="s">
        <v>3238</v>
      </c>
      <c r="G5" s="1633" t="s">
        <v>3130</v>
      </c>
      <c r="H5" s="1633" t="s">
        <v>3239</v>
      </c>
      <c r="I5" s="1633" t="s">
        <v>3240</v>
      </c>
      <c r="J5" s="1633">
        <v>65873.39</v>
      </c>
      <c r="K5" s="1633">
        <v>164683</v>
      </c>
      <c r="L5" s="1633">
        <v>2.5</v>
      </c>
      <c r="M5" s="1633" t="s">
        <v>1326</v>
      </c>
      <c r="N5" s="1633" t="s">
        <v>1326</v>
      </c>
      <c r="O5" s="1633" t="s">
        <v>1326</v>
      </c>
      <c r="P5" s="1633" t="s">
        <v>1326</v>
      </c>
      <c r="Q5" s="1633" t="s">
        <v>1326</v>
      </c>
      <c r="R5" s="1633" t="s">
        <v>1326</v>
      </c>
      <c r="S5" s="1633" t="s">
        <v>1326</v>
      </c>
      <c r="T5" s="1633" t="s">
        <v>1326</v>
      </c>
      <c r="U5" s="1633" t="s">
        <v>1326</v>
      </c>
      <c r="V5" s="1633" t="s">
        <v>1326</v>
      </c>
      <c r="W5" s="1633" t="s">
        <v>3227</v>
      </c>
      <c r="X5" s="1633" t="s">
        <v>3241</v>
      </c>
      <c r="Y5" s="1633" t="s">
        <v>3242</v>
      </c>
      <c r="Z5" s="1633" t="s">
        <v>3137</v>
      </c>
      <c r="AA5" s="1633" t="s">
        <v>3137</v>
      </c>
      <c r="AB5" s="1633" t="s">
        <v>3239</v>
      </c>
      <c r="AC5" s="1633" t="s">
        <v>3221</v>
      </c>
      <c r="AD5" s="1633" t="s">
        <v>3138</v>
      </c>
      <c r="AE5" s="1633">
        <v>23500</v>
      </c>
      <c r="AF5" s="1633">
        <v>78000</v>
      </c>
      <c r="AG5" s="1633">
        <v>108000</v>
      </c>
      <c r="AH5" s="1633">
        <v>789.39</v>
      </c>
      <c r="AI5" s="1633">
        <v>1093.01</v>
      </c>
      <c r="AJ5" s="1633">
        <v>4736.37</v>
      </c>
      <c r="AK5" s="1633">
        <v>6558.05</v>
      </c>
      <c r="AL5" s="1633" t="s">
        <v>1326</v>
      </c>
      <c r="AM5" s="1633" t="s">
        <v>1326</v>
      </c>
      <c r="AN5" s="1633">
        <v>38.46</v>
      </c>
      <c r="AO5" s="1633" t="s">
        <v>3243</v>
      </c>
      <c r="AP5" s="1633" t="s">
        <v>1326</v>
      </c>
      <c r="AQ5" s="1633" t="s">
        <v>1326</v>
      </c>
      <c r="AR5" s="1633" t="s">
        <v>1326</v>
      </c>
      <c r="AS5" s="1633" t="s">
        <v>3237</v>
      </c>
    </row>
    <row r="6" spans="1:45" s="1633" customFormat="1">
      <c r="A6" s="1633" t="s">
        <v>3139</v>
      </c>
      <c r="B6" s="1633" t="s">
        <v>3062</v>
      </c>
      <c r="C6" s="1633" t="s">
        <v>3129</v>
      </c>
      <c r="D6" s="1633" t="s">
        <v>3210</v>
      </c>
      <c r="E6" s="1633" t="s">
        <v>1326</v>
      </c>
      <c r="F6" s="1633" t="s">
        <v>3244</v>
      </c>
      <c r="G6" s="1633" t="s">
        <v>3140</v>
      </c>
      <c r="H6" s="1633" t="s">
        <v>3245</v>
      </c>
      <c r="I6" s="1633" t="s">
        <v>3213</v>
      </c>
      <c r="J6" s="1633">
        <v>47100</v>
      </c>
      <c r="K6" s="1633">
        <v>450000</v>
      </c>
      <c r="L6" s="1633">
        <v>9.5500000000000007</v>
      </c>
      <c r="M6" s="1633" t="s">
        <v>1326</v>
      </c>
      <c r="N6" s="1633" t="s">
        <v>1326</v>
      </c>
      <c r="O6" s="1633" t="s">
        <v>1326</v>
      </c>
      <c r="P6" s="1633" t="s">
        <v>1326</v>
      </c>
      <c r="Q6" s="1633" t="s">
        <v>1326</v>
      </c>
      <c r="R6" s="1633" t="s">
        <v>1326</v>
      </c>
      <c r="S6" s="1633" t="s">
        <v>1326</v>
      </c>
      <c r="T6" s="1633" t="s">
        <v>1326</v>
      </c>
      <c r="U6" s="1633" t="s">
        <v>1326</v>
      </c>
      <c r="V6" s="1633" t="s">
        <v>1326</v>
      </c>
      <c r="W6" s="1633" t="s">
        <v>3227</v>
      </c>
      <c r="X6" s="1633" t="s">
        <v>3246</v>
      </c>
      <c r="Y6" s="1633" t="s">
        <v>3141</v>
      </c>
      <c r="Z6" s="1633" t="s">
        <v>3141</v>
      </c>
      <c r="AA6" s="1633" t="s">
        <v>3141</v>
      </c>
      <c r="AB6" s="1633" t="s">
        <v>3245</v>
      </c>
      <c r="AC6" s="1633" t="s">
        <v>3221</v>
      </c>
      <c r="AD6" s="1633" t="s">
        <v>3142</v>
      </c>
      <c r="AE6" s="1633">
        <v>150000</v>
      </c>
      <c r="AF6" s="1633" t="s">
        <v>1326</v>
      </c>
      <c r="AG6" s="1633">
        <v>503990</v>
      </c>
      <c r="AH6" s="1633" t="s">
        <v>1326</v>
      </c>
      <c r="AI6" s="1633">
        <v>7133.62</v>
      </c>
      <c r="AJ6" s="1633" t="s">
        <v>1326</v>
      </c>
      <c r="AK6" s="1633">
        <v>11199.78</v>
      </c>
      <c r="AL6" s="1633" t="s">
        <v>1326</v>
      </c>
      <c r="AM6" s="1633" t="s">
        <v>1326</v>
      </c>
      <c r="AN6" s="1633" t="s">
        <v>1326</v>
      </c>
      <c r="AO6" s="1633" t="s">
        <v>3243</v>
      </c>
      <c r="AP6" s="1633" t="s">
        <v>1326</v>
      </c>
      <c r="AQ6" s="1633" t="s">
        <v>1326</v>
      </c>
      <c r="AR6" s="1633" t="s">
        <v>1326</v>
      </c>
      <c r="AS6" s="1633" t="s">
        <v>3224</v>
      </c>
    </row>
    <row r="7" spans="1:45" s="1633" customFormat="1">
      <c r="A7" s="1633" t="s">
        <v>3143</v>
      </c>
      <c r="B7" s="1633" t="s">
        <v>3062</v>
      </c>
      <c r="C7" s="1633" t="s">
        <v>3129</v>
      </c>
      <c r="D7" s="1633" t="s">
        <v>3210</v>
      </c>
      <c r="E7" s="1633" t="s">
        <v>1326</v>
      </c>
      <c r="F7" s="1633" t="s">
        <v>3247</v>
      </c>
      <c r="G7" s="1633" t="s">
        <v>3140</v>
      </c>
      <c r="H7" s="1633" t="s">
        <v>3248</v>
      </c>
      <c r="I7" s="1633" t="s">
        <v>3240</v>
      </c>
      <c r="J7" s="1633">
        <v>37656</v>
      </c>
      <c r="K7" s="1633">
        <v>131600</v>
      </c>
      <c r="L7" s="1633">
        <v>3.49</v>
      </c>
      <c r="M7" s="1633" t="s">
        <v>1326</v>
      </c>
      <c r="N7" s="1633" t="s">
        <v>1326</v>
      </c>
      <c r="O7" s="1633" t="s">
        <v>1326</v>
      </c>
      <c r="P7" s="1633" t="s">
        <v>1326</v>
      </c>
      <c r="Q7" s="1633" t="s">
        <v>1326</v>
      </c>
      <c r="R7" s="1633" t="s">
        <v>1326</v>
      </c>
      <c r="S7" s="1633" t="s">
        <v>1326</v>
      </c>
      <c r="T7" s="1633" t="s">
        <v>1326</v>
      </c>
      <c r="U7" s="1633" t="s">
        <v>1326</v>
      </c>
      <c r="V7" s="1633" t="s">
        <v>1326</v>
      </c>
      <c r="W7" s="1633" t="s">
        <v>3227</v>
      </c>
      <c r="X7" s="1633" t="s">
        <v>3249</v>
      </c>
      <c r="Y7" s="1633" t="s">
        <v>3250</v>
      </c>
      <c r="Z7" s="1633" t="s">
        <v>3144</v>
      </c>
      <c r="AA7" s="1633" t="s">
        <v>3144</v>
      </c>
      <c r="AB7" s="1633" t="s">
        <v>3248</v>
      </c>
      <c r="AC7" s="1633" t="s">
        <v>3221</v>
      </c>
      <c r="AD7" s="1633" t="s">
        <v>3145</v>
      </c>
      <c r="AE7" s="1633">
        <v>33000</v>
      </c>
      <c r="AF7" s="1633" t="s">
        <v>1326</v>
      </c>
      <c r="AG7" s="1633">
        <v>151603.20000000001</v>
      </c>
      <c r="AH7" s="1633" t="s">
        <v>1326</v>
      </c>
      <c r="AI7" s="1633">
        <v>2684</v>
      </c>
      <c r="AJ7" s="1633" t="s">
        <v>1326</v>
      </c>
      <c r="AK7" s="1633">
        <v>11520</v>
      </c>
      <c r="AL7" s="1633" t="s">
        <v>1326</v>
      </c>
      <c r="AM7" s="1633" t="s">
        <v>1326</v>
      </c>
      <c r="AN7" s="1633" t="s">
        <v>1326</v>
      </c>
      <c r="AO7" s="1633" t="s">
        <v>3243</v>
      </c>
      <c r="AP7" s="1633" t="s">
        <v>1326</v>
      </c>
      <c r="AQ7" s="1633" t="s">
        <v>1326</v>
      </c>
      <c r="AR7" s="1633" t="s">
        <v>1326</v>
      </c>
      <c r="AS7" s="1633" t="s">
        <v>3224</v>
      </c>
    </row>
    <row r="8" spans="1:45" s="1633" customFormat="1">
      <c r="A8" s="1633" t="s">
        <v>3146</v>
      </c>
      <c r="B8" s="1633" t="s">
        <v>3062</v>
      </c>
      <c r="C8" s="1633" t="s">
        <v>3129</v>
      </c>
      <c r="D8" s="1633" t="s">
        <v>3210</v>
      </c>
      <c r="E8" s="1633" t="s">
        <v>1326</v>
      </c>
      <c r="F8" s="1633" t="s">
        <v>3247</v>
      </c>
      <c r="G8" s="1633" t="s">
        <v>3140</v>
      </c>
      <c r="H8" s="1633" t="s">
        <v>3251</v>
      </c>
      <c r="I8" s="1633" t="s">
        <v>3240</v>
      </c>
      <c r="J8" s="1633">
        <v>14124.26</v>
      </c>
      <c r="K8" s="1633">
        <v>119961</v>
      </c>
      <c r="L8" s="1633">
        <v>8.49</v>
      </c>
      <c r="M8" s="1633" t="s">
        <v>1326</v>
      </c>
      <c r="N8" s="1633" t="s">
        <v>1326</v>
      </c>
      <c r="O8" s="1633" t="s">
        <v>1326</v>
      </c>
      <c r="P8" s="1633" t="s">
        <v>1326</v>
      </c>
      <c r="Q8" s="1633" t="s">
        <v>1326</v>
      </c>
      <c r="R8" s="1633" t="s">
        <v>1326</v>
      </c>
      <c r="S8" s="1633" t="s">
        <v>1326</v>
      </c>
      <c r="T8" s="1633" t="s">
        <v>1326</v>
      </c>
      <c r="U8" s="1633" t="s">
        <v>1326</v>
      </c>
      <c r="V8" s="1633" t="s">
        <v>1326</v>
      </c>
      <c r="W8" s="1633" t="s">
        <v>3227</v>
      </c>
      <c r="X8" s="1633" t="s">
        <v>3249</v>
      </c>
      <c r="Y8" s="1633" t="s">
        <v>3250</v>
      </c>
      <c r="Z8" s="1633" t="s">
        <v>3144</v>
      </c>
      <c r="AA8" s="1633" t="s">
        <v>3144</v>
      </c>
      <c r="AB8" s="1633" t="s">
        <v>3251</v>
      </c>
      <c r="AC8" s="1633" t="s">
        <v>3221</v>
      </c>
      <c r="AD8" s="1633" t="s">
        <v>3147</v>
      </c>
      <c r="AE8" s="1633">
        <v>30000</v>
      </c>
      <c r="AF8" s="1633" t="s">
        <v>1326</v>
      </c>
      <c r="AG8" s="1633">
        <v>135700</v>
      </c>
      <c r="AH8" s="1633" t="s">
        <v>1326</v>
      </c>
      <c r="AI8" s="1633">
        <v>6405.06</v>
      </c>
      <c r="AJ8" s="1633" t="s">
        <v>1326</v>
      </c>
      <c r="AK8" s="1633">
        <v>11312.01</v>
      </c>
      <c r="AL8" s="1633" t="s">
        <v>1326</v>
      </c>
      <c r="AM8" s="1633" t="s">
        <v>1326</v>
      </c>
      <c r="AN8" s="1633" t="s">
        <v>1326</v>
      </c>
      <c r="AO8" s="1633" t="s">
        <v>3243</v>
      </c>
      <c r="AP8" s="1633" t="s">
        <v>1326</v>
      </c>
      <c r="AQ8" s="1633" t="s">
        <v>1326</v>
      </c>
      <c r="AR8" s="1633" t="s">
        <v>1326</v>
      </c>
      <c r="AS8" s="1633" t="s">
        <v>3224</v>
      </c>
    </row>
    <row r="9" spans="1:45" s="1633" customFormat="1">
      <c r="A9" s="1633" t="s">
        <v>3148</v>
      </c>
      <c r="B9" s="1633" t="s">
        <v>3062</v>
      </c>
      <c r="C9" s="1633" t="s">
        <v>3129</v>
      </c>
      <c r="D9" s="1633" t="s">
        <v>3210</v>
      </c>
      <c r="E9" s="1633" t="s">
        <v>1326</v>
      </c>
      <c r="F9" s="1633" t="s">
        <v>3247</v>
      </c>
      <c r="G9" s="1633" t="s">
        <v>3140</v>
      </c>
      <c r="H9" s="1633" t="s">
        <v>3252</v>
      </c>
      <c r="I9" s="1633" t="s">
        <v>3240</v>
      </c>
      <c r="J9" s="1633">
        <v>39645</v>
      </c>
      <c r="K9" s="1633">
        <v>189500</v>
      </c>
      <c r="L9" s="1633">
        <v>4.78</v>
      </c>
      <c r="M9" s="1633" t="s">
        <v>1326</v>
      </c>
      <c r="N9" s="1633" t="s">
        <v>1326</v>
      </c>
      <c r="O9" s="1633" t="s">
        <v>1326</v>
      </c>
      <c r="P9" s="1633" t="s">
        <v>1326</v>
      </c>
      <c r="Q9" s="1633" t="s">
        <v>1326</v>
      </c>
      <c r="R9" s="1633" t="s">
        <v>1326</v>
      </c>
      <c r="S9" s="1633" t="s">
        <v>1326</v>
      </c>
      <c r="T9" s="1633" t="s">
        <v>1326</v>
      </c>
      <c r="U9" s="1633" t="s">
        <v>1326</v>
      </c>
      <c r="V9" s="1633" t="s">
        <v>1326</v>
      </c>
      <c r="W9" s="1633" t="s">
        <v>3227</v>
      </c>
      <c r="X9" s="1633" t="s">
        <v>3249</v>
      </c>
      <c r="Y9" s="1633" t="s">
        <v>3250</v>
      </c>
      <c r="Z9" s="1633" t="s">
        <v>3144</v>
      </c>
      <c r="AA9" s="1633" t="s">
        <v>3144</v>
      </c>
      <c r="AB9" s="1633" t="s">
        <v>3252</v>
      </c>
      <c r="AC9" s="1633" t="s">
        <v>3221</v>
      </c>
      <c r="AD9" s="1633" t="s">
        <v>3149</v>
      </c>
      <c r="AE9" s="1633">
        <v>48000</v>
      </c>
      <c r="AF9" s="1633" t="s">
        <v>1326</v>
      </c>
      <c r="AG9" s="1633">
        <v>218304</v>
      </c>
      <c r="AH9" s="1633" t="s">
        <v>1326</v>
      </c>
      <c r="AI9" s="1633">
        <v>3670.98</v>
      </c>
      <c r="AJ9" s="1633" t="s">
        <v>1326</v>
      </c>
      <c r="AK9" s="1633">
        <v>11520</v>
      </c>
      <c r="AL9" s="1633" t="s">
        <v>1326</v>
      </c>
      <c r="AM9" s="1633" t="s">
        <v>1326</v>
      </c>
      <c r="AN9" s="1633" t="s">
        <v>1326</v>
      </c>
      <c r="AO9" s="1633" t="s">
        <v>3243</v>
      </c>
      <c r="AP9" s="1633" t="s">
        <v>1326</v>
      </c>
      <c r="AQ9" s="1633" t="s">
        <v>1326</v>
      </c>
      <c r="AR9" s="1633" t="s">
        <v>1326</v>
      </c>
      <c r="AS9" s="1633" t="s">
        <v>3253</v>
      </c>
    </row>
    <row r="10" spans="1:45" s="1633" customFormat="1">
      <c r="A10" s="1633" t="s">
        <v>3150</v>
      </c>
      <c r="B10" s="1633" t="s">
        <v>3062</v>
      </c>
      <c r="C10" s="1633" t="s">
        <v>3129</v>
      </c>
      <c r="D10" s="1633" t="s">
        <v>3210</v>
      </c>
      <c r="E10" s="1633" t="s">
        <v>1326</v>
      </c>
      <c r="F10" s="1633" t="s">
        <v>3247</v>
      </c>
      <c r="G10" s="1633" t="s">
        <v>3140</v>
      </c>
      <c r="H10" s="1633" t="s">
        <v>3254</v>
      </c>
      <c r="I10" s="1633" t="s">
        <v>3240</v>
      </c>
      <c r="J10" s="1633">
        <v>9200</v>
      </c>
      <c r="K10" s="1633">
        <v>78139</v>
      </c>
      <c r="L10" s="1633">
        <v>8.49</v>
      </c>
      <c r="M10" s="1633" t="s">
        <v>1326</v>
      </c>
      <c r="N10" s="1633" t="s">
        <v>1326</v>
      </c>
      <c r="O10" s="1633" t="s">
        <v>1326</v>
      </c>
      <c r="P10" s="1633" t="s">
        <v>1326</v>
      </c>
      <c r="Q10" s="1633" t="s">
        <v>1326</v>
      </c>
      <c r="R10" s="1633" t="s">
        <v>1326</v>
      </c>
      <c r="S10" s="1633" t="s">
        <v>1326</v>
      </c>
      <c r="T10" s="1633" t="s">
        <v>1326</v>
      </c>
      <c r="U10" s="1633" t="s">
        <v>1326</v>
      </c>
      <c r="V10" s="1633" t="s">
        <v>1326</v>
      </c>
      <c r="W10" s="1633" t="s">
        <v>3227</v>
      </c>
      <c r="X10" s="1633" t="s">
        <v>3249</v>
      </c>
      <c r="Y10" s="1633" t="s">
        <v>3250</v>
      </c>
      <c r="Z10" s="1633" t="s">
        <v>3144</v>
      </c>
      <c r="AA10" s="1633" t="s">
        <v>3144</v>
      </c>
      <c r="AB10" s="1633" t="s">
        <v>3254</v>
      </c>
      <c r="AC10" s="1633" t="s">
        <v>3221</v>
      </c>
      <c r="AD10" s="1633" t="s">
        <v>3147</v>
      </c>
      <c r="AE10" s="1633">
        <v>19600</v>
      </c>
      <c r="AF10" s="1633" t="s">
        <v>1326</v>
      </c>
      <c r="AG10" s="1633">
        <v>88400</v>
      </c>
      <c r="AH10" s="1633" t="s">
        <v>1326</v>
      </c>
      <c r="AI10" s="1633">
        <v>6405.8</v>
      </c>
      <c r="AJ10" s="1633" t="s">
        <v>1326</v>
      </c>
      <c r="AK10" s="1633">
        <v>11313.17</v>
      </c>
      <c r="AL10" s="1633" t="s">
        <v>1326</v>
      </c>
      <c r="AM10" s="1633" t="s">
        <v>1326</v>
      </c>
      <c r="AN10" s="1633" t="s">
        <v>1326</v>
      </c>
      <c r="AO10" s="1633" t="s">
        <v>3243</v>
      </c>
      <c r="AP10" s="1633" t="s">
        <v>1326</v>
      </c>
      <c r="AQ10" s="1633" t="s">
        <v>1326</v>
      </c>
      <c r="AR10" s="1633" t="s">
        <v>1326</v>
      </c>
      <c r="AS10" s="1633" t="s">
        <v>3224</v>
      </c>
    </row>
    <row r="11" spans="1:45" s="1633" customFormat="1">
      <c r="A11" s="1633" t="s">
        <v>3151</v>
      </c>
      <c r="B11" s="1633" t="s">
        <v>3062</v>
      </c>
      <c r="C11" s="1633" t="s">
        <v>3129</v>
      </c>
      <c r="D11" s="1633" t="s">
        <v>3210</v>
      </c>
      <c r="E11" s="1633" t="s">
        <v>1326</v>
      </c>
      <c r="F11" s="1633" t="s">
        <v>3247</v>
      </c>
      <c r="G11" s="1633" t="s">
        <v>3140</v>
      </c>
      <c r="H11" s="1633" t="s">
        <v>3255</v>
      </c>
      <c r="I11" s="1633" t="s">
        <v>3240</v>
      </c>
      <c r="J11" s="1633">
        <v>14088</v>
      </c>
      <c r="K11" s="1633">
        <v>90600</v>
      </c>
      <c r="L11" s="1633">
        <v>6.43</v>
      </c>
      <c r="M11" s="1633" t="s">
        <v>1326</v>
      </c>
      <c r="N11" s="1633" t="s">
        <v>1326</v>
      </c>
      <c r="O11" s="1633" t="s">
        <v>1326</v>
      </c>
      <c r="P11" s="1633" t="s">
        <v>1326</v>
      </c>
      <c r="Q11" s="1633" t="s">
        <v>1326</v>
      </c>
      <c r="R11" s="1633" t="s">
        <v>1326</v>
      </c>
      <c r="S11" s="1633" t="s">
        <v>1326</v>
      </c>
      <c r="T11" s="1633" t="s">
        <v>1326</v>
      </c>
      <c r="U11" s="1633" t="s">
        <v>1326</v>
      </c>
      <c r="V11" s="1633" t="s">
        <v>1326</v>
      </c>
      <c r="W11" s="1633" t="s">
        <v>3227</v>
      </c>
      <c r="X11" s="1633" t="s">
        <v>3256</v>
      </c>
      <c r="Y11" s="1633" t="s">
        <v>3257</v>
      </c>
      <c r="Z11" s="1633" t="s">
        <v>3152</v>
      </c>
      <c r="AA11" s="1633" t="s">
        <v>3152</v>
      </c>
      <c r="AB11" s="1633" t="s">
        <v>3255</v>
      </c>
      <c r="AC11" s="1633" t="s">
        <v>3221</v>
      </c>
      <c r="AD11" s="1633" t="s">
        <v>3147</v>
      </c>
      <c r="AE11" s="1633">
        <v>22700</v>
      </c>
      <c r="AF11" s="1633" t="s">
        <v>1326</v>
      </c>
      <c r="AG11" s="1633">
        <v>105100</v>
      </c>
      <c r="AH11" s="1633" t="s">
        <v>1326</v>
      </c>
      <c r="AI11" s="1633">
        <v>4973.5</v>
      </c>
      <c r="AJ11" s="1633" t="s">
        <v>1326</v>
      </c>
      <c r="AK11" s="1633">
        <v>11600.44</v>
      </c>
      <c r="AL11" s="1633" t="s">
        <v>1326</v>
      </c>
      <c r="AM11" s="1633" t="s">
        <v>1326</v>
      </c>
      <c r="AN11" s="1633" t="s">
        <v>1326</v>
      </c>
      <c r="AO11" s="1633" t="s">
        <v>3243</v>
      </c>
      <c r="AP11" s="1633" t="s">
        <v>1326</v>
      </c>
      <c r="AQ11" s="1633" t="s">
        <v>1326</v>
      </c>
      <c r="AR11" s="1633" t="s">
        <v>1326</v>
      </c>
      <c r="AS11" s="1633" t="s">
        <v>3224</v>
      </c>
    </row>
    <row r="12" spans="1:45" s="1633" customFormat="1">
      <c r="A12" s="1633" t="s">
        <v>3153</v>
      </c>
      <c r="B12" s="1633" t="s">
        <v>3062</v>
      </c>
      <c r="C12" s="1633" t="s">
        <v>3129</v>
      </c>
      <c r="D12" s="1633" t="s">
        <v>3210</v>
      </c>
      <c r="E12" s="1633" t="s">
        <v>1326</v>
      </c>
      <c r="F12" s="1633" t="s">
        <v>3247</v>
      </c>
      <c r="G12" s="1633" t="s">
        <v>3140</v>
      </c>
      <c r="H12" s="1633" t="s">
        <v>3258</v>
      </c>
      <c r="I12" s="1633" t="s">
        <v>3240</v>
      </c>
      <c r="J12" s="1633">
        <v>9293</v>
      </c>
      <c r="K12" s="1633">
        <v>55800</v>
      </c>
      <c r="L12" s="1633">
        <v>6</v>
      </c>
      <c r="M12" s="1633" t="s">
        <v>1326</v>
      </c>
      <c r="N12" s="1633" t="s">
        <v>1326</v>
      </c>
      <c r="O12" s="1633" t="s">
        <v>1326</v>
      </c>
      <c r="P12" s="1633" t="s">
        <v>1326</v>
      </c>
      <c r="Q12" s="1633" t="s">
        <v>1326</v>
      </c>
      <c r="R12" s="1633" t="s">
        <v>1326</v>
      </c>
      <c r="S12" s="1633" t="s">
        <v>1326</v>
      </c>
      <c r="T12" s="1633" t="s">
        <v>1326</v>
      </c>
      <c r="U12" s="1633" t="s">
        <v>1326</v>
      </c>
      <c r="V12" s="1633" t="s">
        <v>1326</v>
      </c>
      <c r="W12" s="1633" t="s">
        <v>3227</v>
      </c>
      <c r="X12" s="1633" t="s">
        <v>3256</v>
      </c>
      <c r="Y12" s="1633" t="s">
        <v>3257</v>
      </c>
      <c r="Z12" s="1633" t="s">
        <v>3152</v>
      </c>
      <c r="AA12" s="1633" t="s">
        <v>3152</v>
      </c>
      <c r="AB12" s="1633" t="s">
        <v>3258</v>
      </c>
      <c r="AC12" s="1633" t="s">
        <v>3221</v>
      </c>
      <c r="AD12" s="1633" t="s">
        <v>3147</v>
      </c>
      <c r="AE12" s="1633">
        <v>14000</v>
      </c>
      <c r="AF12" s="1633" t="s">
        <v>1326</v>
      </c>
      <c r="AG12" s="1633">
        <v>64700</v>
      </c>
      <c r="AH12" s="1633" t="s">
        <v>1326</v>
      </c>
      <c r="AI12" s="1633">
        <v>4641.49</v>
      </c>
      <c r="AJ12" s="1633" t="s">
        <v>1326</v>
      </c>
      <c r="AK12" s="1633">
        <v>11594.97</v>
      </c>
      <c r="AL12" s="1633" t="s">
        <v>1326</v>
      </c>
      <c r="AM12" s="1633" t="s">
        <v>1326</v>
      </c>
      <c r="AN12" s="1633" t="s">
        <v>1326</v>
      </c>
      <c r="AO12" s="1633" t="s">
        <v>3243</v>
      </c>
      <c r="AP12" s="1633" t="s">
        <v>1326</v>
      </c>
      <c r="AQ12" s="1633" t="s">
        <v>1326</v>
      </c>
      <c r="AR12" s="1633" t="s">
        <v>1326</v>
      </c>
      <c r="AS12" s="1633" t="s">
        <v>3224</v>
      </c>
    </row>
    <row r="13" spans="1:45" s="1633" customFormat="1">
      <c r="A13" s="1633" t="s">
        <v>3154</v>
      </c>
      <c r="B13" s="1633" t="s">
        <v>3062</v>
      </c>
      <c r="C13" s="1633" t="s">
        <v>3129</v>
      </c>
      <c r="D13" s="1633" t="s">
        <v>3210</v>
      </c>
      <c r="E13" s="1633" t="s">
        <v>1326</v>
      </c>
      <c r="F13" s="1633" t="s">
        <v>3247</v>
      </c>
      <c r="G13" s="1633" t="s">
        <v>3130</v>
      </c>
      <c r="H13" s="1633" t="s">
        <v>3259</v>
      </c>
      <c r="I13" s="1633" t="s">
        <v>3240</v>
      </c>
      <c r="J13" s="1633">
        <v>17815</v>
      </c>
      <c r="K13" s="1633">
        <v>133500</v>
      </c>
      <c r="L13" s="1633">
        <v>7.49</v>
      </c>
      <c r="M13" s="1633" t="s">
        <v>1326</v>
      </c>
      <c r="N13" s="1633" t="s">
        <v>1326</v>
      </c>
      <c r="O13" s="1633" t="s">
        <v>1326</v>
      </c>
      <c r="P13" s="1633" t="s">
        <v>1326</v>
      </c>
      <c r="Q13" s="1633" t="s">
        <v>1326</v>
      </c>
      <c r="R13" s="1633" t="s">
        <v>1326</v>
      </c>
      <c r="S13" s="1633" t="s">
        <v>1326</v>
      </c>
      <c r="T13" s="1633" t="s">
        <v>1326</v>
      </c>
      <c r="U13" s="1633" t="s">
        <v>1326</v>
      </c>
      <c r="V13" s="1633" t="s">
        <v>1326</v>
      </c>
      <c r="W13" s="1633" t="s">
        <v>3227</v>
      </c>
      <c r="X13" s="1633" t="s">
        <v>3260</v>
      </c>
      <c r="Y13" s="1633" t="s">
        <v>3261</v>
      </c>
      <c r="Z13" s="1633" t="s">
        <v>3155</v>
      </c>
      <c r="AA13" s="1633" t="s">
        <v>3155</v>
      </c>
      <c r="AB13" s="1633" t="s">
        <v>3259</v>
      </c>
      <c r="AC13" s="1633" t="s">
        <v>3221</v>
      </c>
      <c r="AD13" s="1633" t="s">
        <v>3156</v>
      </c>
      <c r="AE13" s="1633">
        <v>38000</v>
      </c>
      <c r="AF13" s="1633">
        <v>150900</v>
      </c>
      <c r="AG13" s="1633">
        <v>178500</v>
      </c>
      <c r="AH13" s="1633">
        <v>5646.93</v>
      </c>
      <c r="AI13" s="1633">
        <v>6679.76</v>
      </c>
      <c r="AJ13" s="1633">
        <v>11303.37</v>
      </c>
      <c r="AK13" s="1633">
        <v>13370.79</v>
      </c>
      <c r="AL13" s="1633" t="s">
        <v>1326</v>
      </c>
      <c r="AM13" s="1633" t="s">
        <v>1326</v>
      </c>
      <c r="AN13" s="1633">
        <v>18.29</v>
      </c>
      <c r="AO13" s="1633" t="s">
        <v>3243</v>
      </c>
      <c r="AP13" s="1633" t="s">
        <v>1326</v>
      </c>
      <c r="AQ13" s="1633" t="s">
        <v>1326</v>
      </c>
      <c r="AR13" s="1633" t="s">
        <v>1326</v>
      </c>
      <c r="AS13" s="1633" t="s">
        <v>3224</v>
      </c>
    </row>
    <row r="14" spans="1:45" s="1633" customFormat="1">
      <c r="A14" s="1633" t="s">
        <v>3157</v>
      </c>
      <c r="B14" s="1633" t="s">
        <v>3062</v>
      </c>
      <c r="C14" s="1633" t="s">
        <v>3129</v>
      </c>
      <c r="D14" s="1633" t="s">
        <v>3210</v>
      </c>
      <c r="E14" s="1633" t="s">
        <v>1326</v>
      </c>
      <c r="F14" s="1633" t="s">
        <v>3247</v>
      </c>
      <c r="G14" s="1633" t="s">
        <v>3130</v>
      </c>
      <c r="H14" s="1633" t="s">
        <v>3262</v>
      </c>
      <c r="I14" s="1633" t="s">
        <v>3240</v>
      </c>
      <c r="J14" s="1633">
        <v>8949</v>
      </c>
      <c r="K14" s="1633">
        <v>89000</v>
      </c>
      <c r="L14" s="1633">
        <v>9.9499999999999993</v>
      </c>
      <c r="M14" s="1633" t="s">
        <v>1326</v>
      </c>
      <c r="N14" s="1633" t="s">
        <v>1326</v>
      </c>
      <c r="O14" s="1633" t="s">
        <v>1326</v>
      </c>
      <c r="P14" s="1633" t="s">
        <v>1326</v>
      </c>
      <c r="Q14" s="1633" t="s">
        <v>1326</v>
      </c>
      <c r="R14" s="1633" t="s">
        <v>1326</v>
      </c>
      <c r="S14" s="1633" t="s">
        <v>1326</v>
      </c>
      <c r="T14" s="1633" t="s">
        <v>1326</v>
      </c>
      <c r="U14" s="1633" t="s">
        <v>1326</v>
      </c>
      <c r="V14" s="1633" t="s">
        <v>1326</v>
      </c>
      <c r="W14" s="1633" t="s">
        <v>3227</v>
      </c>
      <c r="X14" s="1633" t="s">
        <v>3260</v>
      </c>
      <c r="Y14" s="1633" t="s">
        <v>3261</v>
      </c>
      <c r="Z14" s="1633" t="s">
        <v>3155</v>
      </c>
      <c r="AA14" s="1633" t="s">
        <v>3155</v>
      </c>
      <c r="AB14" s="1633" t="s">
        <v>3262</v>
      </c>
      <c r="AC14" s="1633" t="s">
        <v>3221</v>
      </c>
      <c r="AD14" s="1633" t="s">
        <v>3156</v>
      </c>
      <c r="AE14" s="1633">
        <v>25000</v>
      </c>
      <c r="AF14" s="1633">
        <v>100600</v>
      </c>
      <c r="AG14" s="1633">
        <v>107000</v>
      </c>
      <c r="AH14" s="1633">
        <v>7494.32</v>
      </c>
      <c r="AI14" s="1633">
        <v>7971.1</v>
      </c>
      <c r="AJ14" s="1633">
        <v>11303.37</v>
      </c>
      <c r="AK14" s="1633">
        <v>12022.46</v>
      </c>
      <c r="AL14" s="1633" t="s">
        <v>1326</v>
      </c>
      <c r="AM14" s="1633" t="s">
        <v>1326</v>
      </c>
      <c r="AN14" s="1633">
        <v>6.36</v>
      </c>
      <c r="AO14" s="1633" t="s">
        <v>3243</v>
      </c>
      <c r="AP14" s="1633" t="s">
        <v>1326</v>
      </c>
      <c r="AQ14" s="1633" t="s">
        <v>1326</v>
      </c>
      <c r="AR14" s="1633" t="s">
        <v>1326</v>
      </c>
      <c r="AS14" s="1633" t="s">
        <v>3224</v>
      </c>
    </row>
    <row r="15" spans="1:45" s="1633" customFormat="1">
      <c r="A15" s="1633" t="s">
        <v>3158</v>
      </c>
      <c r="B15" s="1633" t="s">
        <v>3062</v>
      </c>
      <c r="C15" s="1633" t="s">
        <v>3129</v>
      </c>
      <c r="D15" s="1633" t="s">
        <v>3210</v>
      </c>
      <c r="E15" s="1633" t="s">
        <v>1326</v>
      </c>
      <c r="F15" s="1633" t="s">
        <v>3247</v>
      </c>
      <c r="G15" s="1633" t="s">
        <v>3130</v>
      </c>
      <c r="H15" s="1633" t="s">
        <v>3263</v>
      </c>
      <c r="I15" s="1633" t="s">
        <v>3240</v>
      </c>
      <c r="J15" s="1633">
        <v>17771</v>
      </c>
      <c r="K15" s="1633">
        <v>124600</v>
      </c>
      <c r="L15" s="1633">
        <v>7.01</v>
      </c>
      <c r="M15" s="1633" t="s">
        <v>1326</v>
      </c>
      <c r="N15" s="1633" t="s">
        <v>1326</v>
      </c>
      <c r="O15" s="1633" t="s">
        <v>1326</v>
      </c>
      <c r="P15" s="1633" t="s">
        <v>1326</v>
      </c>
      <c r="Q15" s="1633" t="s">
        <v>1326</v>
      </c>
      <c r="R15" s="1633" t="s">
        <v>1326</v>
      </c>
      <c r="S15" s="1633" t="s">
        <v>1326</v>
      </c>
      <c r="T15" s="1633" t="s">
        <v>1326</v>
      </c>
      <c r="U15" s="1633" t="s">
        <v>1326</v>
      </c>
      <c r="V15" s="1633" t="s">
        <v>1326</v>
      </c>
      <c r="W15" s="1633" t="s">
        <v>3227</v>
      </c>
      <c r="X15" s="1633" t="s">
        <v>3264</v>
      </c>
      <c r="Y15" s="1633" t="s">
        <v>3265</v>
      </c>
      <c r="Z15" s="1633" t="s">
        <v>3159</v>
      </c>
      <c r="AA15" s="1633" t="s">
        <v>3159</v>
      </c>
      <c r="AB15" s="1633" t="s">
        <v>3263</v>
      </c>
      <c r="AC15" s="1633" t="s">
        <v>3221</v>
      </c>
      <c r="AD15" s="1633" t="s">
        <v>3160</v>
      </c>
      <c r="AE15" s="1633">
        <v>35000</v>
      </c>
      <c r="AF15" s="1633">
        <v>140800</v>
      </c>
      <c r="AG15" s="1633">
        <v>142900</v>
      </c>
      <c r="AH15" s="1633">
        <v>5282.01</v>
      </c>
      <c r="AI15" s="1633">
        <v>5360.79</v>
      </c>
      <c r="AJ15" s="1633">
        <v>11300.15</v>
      </c>
      <c r="AK15" s="1633">
        <v>11468.7</v>
      </c>
      <c r="AL15" s="1633" t="s">
        <v>1326</v>
      </c>
      <c r="AM15" s="1633" t="s">
        <v>1326</v>
      </c>
      <c r="AN15" s="1633">
        <v>1.49</v>
      </c>
      <c r="AO15" s="1633" t="s">
        <v>3243</v>
      </c>
      <c r="AP15" s="1633" t="s">
        <v>1326</v>
      </c>
      <c r="AQ15" s="1633" t="s">
        <v>1326</v>
      </c>
      <c r="AR15" s="1633" t="s">
        <v>1326</v>
      </c>
      <c r="AS15" s="1633" t="s">
        <v>3224</v>
      </c>
    </row>
    <row r="16" spans="1:45" s="1633" customFormat="1">
      <c r="A16" s="1633" t="s">
        <v>3161</v>
      </c>
      <c r="B16" s="1633" t="s">
        <v>3062</v>
      </c>
      <c r="C16" s="1633" t="s">
        <v>3129</v>
      </c>
      <c r="D16" s="1633" t="s">
        <v>3210</v>
      </c>
      <c r="E16" s="1633" t="s">
        <v>1326</v>
      </c>
      <c r="F16" s="1633" t="s">
        <v>3247</v>
      </c>
      <c r="G16" s="1633" t="s">
        <v>3130</v>
      </c>
      <c r="H16" s="1633" t="s">
        <v>3266</v>
      </c>
      <c r="I16" s="1633" t="s">
        <v>3240</v>
      </c>
      <c r="J16" s="1633">
        <v>17064</v>
      </c>
      <c r="K16" s="1633">
        <v>128300</v>
      </c>
      <c r="L16" s="1633">
        <v>7.52</v>
      </c>
      <c r="M16" s="1633" t="s">
        <v>1326</v>
      </c>
      <c r="N16" s="1633" t="s">
        <v>1326</v>
      </c>
      <c r="O16" s="1633" t="s">
        <v>1326</v>
      </c>
      <c r="P16" s="1633" t="s">
        <v>1326</v>
      </c>
      <c r="Q16" s="1633" t="s">
        <v>1326</v>
      </c>
      <c r="R16" s="1633" t="s">
        <v>1326</v>
      </c>
      <c r="S16" s="1633" t="s">
        <v>1326</v>
      </c>
      <c r="T16" s="1633" t="s">
        <v>1326</v>
      </c>
      <c r="U16" s="1633" t="s">
        <v>1326</v>
      </c>
      <c r="V16" s="1633" t="s">
        <v>1326</v>
      </c>
      <c r="W16" s="1633" t="s">
        <v>3227</v>
      </c>
      <c r="X16" s="1633" t="s">
        <v>3264</v>
      </c>
      <c r="Y16" s="1633" t="s">
        <v>3265</v>
      </c>
      <c r="Z16" s="1633" t="s">
        <v>3159</v>
      </c>
      <c r="AA16" s="1633" t="s">
        <v>3159</v>
      </c>
      <c r="AB16" s="1633" t="s">
        <v>3266</v>
      </c>
      <c r="AC16" s="1633" t="s">
        <v>3221</v>
      </c>
      <c r="AD16" s="1633" t="s">
        <v>3162</v>
      </c>
      <c r="AE16" s="1633">
        <v>36000</v>
      </c>
      <c r="AF16" s="1633">
        <v>145000</v>
      </c>
      <c r="AG16" s="1633">
        <v>167000</v>
      </c>
      <c r="AH16" s="1633">
        <v>5664.95</v>
      </c>
      <c r="AI16" s="1633">
        <v>6524.46</v>
      </c>
      <c r="AJ16" s="1633">
        <v>11301.63</v>
      </c>
      <c r="AK16" s="1633">
        <v>13016.37</v>
      </c>
      <c r="AL16" s="1633" t="s">
        <v>1326</v>
      </c>
      <c r="AM16" s="1633" t="s">
        <v>1326</v>
      </c>
      <c r="AN16" s="1633">
        <v>15.17</v>
      </c>
      <c r="AO16" s="1633" t="s">
        <v>3243</v>
      </c>
      <c r="AP16" s="1633" t="s">
        <v>1326</v>
      </c>
      <c r="AQ16" s="1633" t="s">
        <v>1326</v>
      </c>
      <c r="AR16" s="1633" t="s">
        <v>1326</v>
      </c>
      <c r="AS16" s="1633" t="s">
        <v>3224</v>
      </c>
    </row>
    <row r="17" spans="1:45" s="1633" customFormat="1">
      <c r="A17" s="1633" t="s">
        <v>3163</v>
      </c>
      <c r="B17" s="1633" t="s">
        <v>3062</v>
      </c>
      <c r="C17" s="1633" t="s">
        <v>3129</v>
      </c>
      <c r="D17" s="1633" t="s">
        <v>3267</v>
      </c>
      <c r="E17" s="1633" t="s">
        <v>1326</v>
      </c>
      <c r="F17" s="1633" t="s">
        <v>3268</v>
      </c>
      <c r="G17" s="1633" t="s">
        <v>3130</v>
      </c>
      <c r="H17" s="1633" t="s">
        <v>3269</v>
      </c>
      <c r="I17" s="1633" t="s">
        <v>3270</v>
      </c>
      <c r="J17" s="1633">
        <v>138746.29999999999</v>
      </c>
      <c r="K17" s="1633">
        <v>486596</v>
      </c>
      <c r="L17" s="1633">
        <v>3.51</v>
      </c>
      <c r="M17" s="1633" t="s">
        <v>1326</v>
      </c>
      <c r="N17" s="1633" t="s">
        <v>1326</v>
      </c>
      <c r="O17" s="1633" t="s">
        <v>3271</v>
      </c>
      <c r="P17" s="1633" t="s">
        <v>1326</v>
      </c>
      <c r="Q17" s="1633" t="s">
        <v>1326</v>
      </c>
      <c r="R17" s="1633" t="s">
        <v>1326</v>
      </c>
      <c r="S17" s="1633" t="s">
        <v>1326</v>
      </c>
      <c r="T17" s="1633" t="s">
        <v>3272</v>
      </c>
      <c r="U17" s="1633" t="s">
        <v>3272</v>
      </c>
      <c r="V17" s="1633" t="s">
        <v>1326</v>
      </c>
      <c r="W17" s="1633" t="s">
        <v>3273</v>
      </c>
      <c r="X17" s="1633" t="s">
        <v>3274</v>
      </c>
      <c r="Y17" s="1633" t="s">
        <v>3275</v>
      </c>
      <c r="Z17" s="1633" t="s">
        <v>3164</v>
      </c>
      <c r="AA17" s="1633" t="s">
        <v>3164</v>
      </c>
      <c r="AB17" s="1633" t="s">
        <v>3269</v>
      </c>
      <c r="AC17" s="1633" t="s">
        <v>3221</v>
      </c>
      <c r="AD17" s="1633" t="s">
        <v>3165</v>
      </c>
      <c r="AE17" s="1633">
        <v>174000</v>
      </c>
      <c r="AF17" s="1633">
        <v>866300</v>
      </c>
      <c r="AG17" s="1633">
        <v>866300</v>
      </c>
      <c r="AH17" s="1633">
        <v>4162.51</v>
      </c>
      <c r="AI17" s="1633">
        <v>4162.51</v>
      </c>
      <c r="AJ17" s="1633">
        <v>17803.27</v>
      </c>
      <c r="AK17" s="1633">
        <v>17803.27</v>
      </c>
      <c r="AL17" s="1633" t="s">
        <v>1326</v>
      </c>
      <c r="AM17" s="1633" t="s">
        <v>1326</v>
      </c>
      <c r="AN17" s="1633">
        <v>0</v>
      </c>
      <c r="AO17" s="1633" t="s">
        <v>3236</v>
      </c>
      <c r="AP17" s="1633" t="s">
        <v>1326</v>
      </c>
      <c r="AQ17" s="1633" t="s">
        <v>1326</v>
      </c>
      <c r="AR17" s="1633" t="s">
        <v>1326</v>
      </c>
      <c r="AS17" s="1633" t="s">
        <v>3224</v>
      </c>
    </row>
    <row r="18" spans="1:45" s="3291" customFormat="1">
      <c r="A18" s="3291" t="s">
        <v>3166</v>
      </c>
      <c r="B18" s="1633" t="s">
        <v>3062</v>
      </c>
      <c r="C18" s="1633" t="s">
        <v>3129</v>
      </c>
      <c r="D18" s="3291" t="s">
        <v>3267</v>
      </c>
      <c r="E18" s="1633" t="s">
        <v>1326</v>
      </c>
      <c r="F18" s="1633" t="s">
        <v>3276</v>
      </c>
      <c r="G18" s="1633" t="s">
        <v>3130</v>
      </c>
      <c r="H18" s="1633" t="s">
        <v>3277</v>
      </c>
      <c r="I18" s="3291" t="s">
        <v>3278</v>
      </c>
      <c r="J18" s="3291">
        <v>39744.120000000003</v>
      </c>
      <c r="K18" s="3291">
        <v>119232</v>
      </c>
      <c r="L18" s="3291">
        <v>3</v>
      </c>
      <c r="M18" s="1633" t="s">
        <v>1326</v>
      </c>
      <c r="N18" s="3291" t="s">
        <v>3279</v>
      </c>
      <c r="O18" s="3291" t="s">
        <v>3280</v>
      </c>
      <c r="P18" s="1633" t="s">
        <v>1326</v>
      </c>
      <c r="Q18" s="1633" t="s">
        <v>1326</v>
      </c>
      <c r="R18" s="1633" t="s">
        <v>1326</v>
      </c>
      <c r="S18" s="1633" t="s">
        <v>1326</v>
      </c>
      <c r="T18" s="3291" t="s">
        <v>1326</v>
      </c>
      <c r="U18" s="3291" t="s">
        <v>1326</v>
      </c>
      <c r="V18" s="1633" t="s">
        <v>1326</v>
      </c>
      <c r="W18" s="1633" t="s">
        <v>3227</v>
      </c>
      <c r="X18" s="1633" t="s">
        <v>3281</v>
      </c>
      <c r="Y18" s="1633" t="s">
        <v>3173</v>
      </c>
      <c r="Z18" s="1633" t="s">
        <v>3167</v>
      </c>
      <c r="AA18" s="3291" t="s">
        <v>3167</v>
      </c>
      <c r="AB18" s="1633" t="s">
        <v>3282</v>
      </c>
      <c r="AC18" s="1633" t="s">
        <v>3221</v>
      </c>
      <c r="AD18" s="3291" t="s">
        <v>3168</v>
      </c>
      <c r="AE18" s="1633">
        <v>68500</v>
      </c>
      <c r="AF18" s="1633">
        <v>227000</v>
      </c>
      <c r="AG18" s="3291">
        <v>292000</v>
      </c>
      <c r="AH18" s="1633">
        <v>3807.69</v>
      </c>
      <c r="AI18" s="3291">
        <v>4898</v>
      </c>
      <c r="AJ18" s="1633">
        <v>19038.509999999998</v>
      </c>
      <c r="AK18" s="3291">
        <v>24490.06</v>
      </c>
      <c r="AL18" s="1633" t="s">
        <v>1326</v>
      </c>
      <c r="AM18" s="1633" t="s">
        <v>1326</v>
      </c>
      <c r="AN18" s="3291">
        <v>28.63</v>
      </c>
      <c r="AO18" s="3291" t="s">
        <v>3283</v>
      </c>
      <c r="AP18" s="1633" t="s">
        <v>1326</v>
      </c>
      <c r="AQ18" s="1633" t="s">
        <v>1326</v>
      </c>
      <c r="AR18" s="1633" t="s">
        <v>1326</v>
      </c>
      <c r="AS18" s="1633" t="s">
        <v>3224</v>
      </c>
    </row>
    <row r="19" spans="1:45" s="1633" customFormat="1">
      <c r="A19" s="1633" t="s">
        <v>3169</v>
      </c>
      <c r="B19" s="1633" t="s">
        <v>3062</v>
      </c>
      <c r="C19" s="1633" t="s">
        <v>3129</v>
      </c>
      <c r="D19" s="1633" t="s">
        <v>3267</v>
      </c>
      <c r="E19" s="1633" t="s">
        <v>1326</v>
      </c>
      <c r="F19" s="1633" t="s">
        <v>3284</v>
      </c>
      <c r="G19" s="1633" t="s">
        <v>3140</v>
      </c>
      <c r="H19" s="1633" t="s">
        <v>3285</v>
      </c>
      <c r="I19" s="1633" t="s">
        <v>3286</v>
      </c>
      <c r="J19" s="1633">
        <v>92055.95</v>
      </c>
      <c r="K19" s="1633">
        <v>92056</v>
      </c>
      <c r="L19" s="1633">
        <v>1</v>
      </c>
      <c r="M19" s="1633" t="s">
        <v>1326</v>
      </c>
      <c r="N19" s="1633">
        <v>50</v>
      </c>
      <c r="O19" s="1633">
        <v>12</v>
      </c>
      <c r="P19" s="1633" t="s">
        <v>1326</v>
      </c>
      <c r="Q19" s="1633" t="s">
        <v>1326</v>
      </c>
      <c r="R19" s="1633" t="s">
        <v>1326</v>
      </c>
      <c r="S19" s="1633" t="s">
        <v>1326</v>
      </c>
      <c r="T19" s="1633" t="s">
        <v>1326</v>
      </c>
      <c r="U19" s="1633" t="s">
        <v>1326</v>
      </c>
      <c r="V19" s="1633" t="s">
        <v>1326</v>
      </c>
      <c r="W19" s="1633" t="s">
        <v>3227</v>
      </c>
      <c r="X19" s="1633" t="s">
        <v>3287</v>
      </c>
      <c r="Y19" s="1633" t="s">
        <v>3288</v>
      </c>
      <c r="Z19" s="1633" t="s">
        <v>3170</v>
      </c>
      <c r="AA19" s="1633" t="s">
        <v>3170</v>
      </c>
      <c r="AB19" s="1633" t="s">
        <v>3285</v>
      </c>
      <c r="AC19" s="1633" t="s">
        <v>3221</v>
      </c>
      <c r="AD19" s="1633" t="s">
        <v>3171</v>
      </c>
      <c r="AE19" s="1633">
        <v>57000</v>
      </c>
      <c r="AF19" s="1633" t="s">
        <v>1326</v>
      </c>
      <c r="AG19" s="1633">
        <v>285373.59000000003</v>
      </c>
      <c r="AH19" s="1633" t="s">
        <v>1326</v>
      </c>
      <c r="AI19" s="1633">
        <v>2066.67</v>
      </c>
      <c r="AJ19" s="1633" t="s">
        <v>1326</v>
      </c>
      <c r="AK19" s="1633">
        <v>31000</v>
      </c>
      <c r="AL19" s="1633" t="s">
        <v>1326</v>
      </c>
      <c r="AM19" s="1633" t="s">
        <v>1326</v>
      </c>
      <c r="AN19" s="1633" t="s">
        <v>1326</v>
      </c>
      <c r="AO19" s="1633" t="s">
        <v>3286</v>
      </c>
      <c r="AP19" s="1633" t="s">
        <v>1326</v>
      </c>
      <c r="AQ19" s="1633" t="s">
        <v>1326</v>
      </c>
      <c r="AR19" s="1633" t="s">
        <v>1326</v>
      </c>
      <c r="AS19" s="1633" t="s">
        <v>3237</v>
      </c>
    </row>
    <row r="20" spans="1:45" s="3291" customFormat="1">
      <c r="A20" s="3291" t="s">
        <v>3172</v>
      </c>
      <c r="B20" s="3291" t="s">
        <v>3062</v>
      </c>
      <c r="C20" s="3291" t="s">
        <v>3129</v>
      </c>
      <c r="D20" s="3291" t="s">
        <v>3267</v>
      </c>
      <c r="E20" s="3291" t="s">
        <v>1326</v>
      </c>
      <c r="F20" s="3291" t="s">
        <v>3289</v>
      </c>
      <c r="G20" s="3291" t="s">
        <v>3130</v>
      </c>
      <c r="H20" s="3291" t="s">
        <v>3290</v>
      </c>
      <c r="I20" s="3291" t="s">
        <v>3213</v>
      </c>
      <c r="J20" s="3291">
        <v>46165.91</v>
      </c>
      <c r="K20" s="3291">
        <v>92332</v>
      </c>
      <c r="L20" s="3291">
        <v>2</v>
      </c>
      <c r="M20" s="3291" t="s">
        <v>1326</v>
      </c>
      <c r="N20" s="3291" t="s">
        <v>1326</v>
      </c>
      <c r="O20" s="3291" t="s">
        <v>1326</v>
      </c>
      <c r="P20" s="3291" t="s">
        <v>1326</v>
      </c>
      <c r="Q20" s="3291" t="s">
        <v>1326</v>
      </c>
      <c r="R20" s="3291" t="s">
        <v>1326</v>
      </c>
      <c r="S20" s="3291" t="s">
        <v>1326</v>
      </c>
      <c r="T20" s="3291" t="s">
        <v>3272</v>
      </c>
      <c r="U20" s="3291" t="s">
        <v>3272</v>
      </c>
      <c r="V20" s="3291" t="s">
        <v>1326</v>
      </c>
      <c r="W20" s="3291" t="s">
        <v>3227</v>
      </c>
      <c r="X20" s="3291" t="s">
        <v>3291</v>
      </c>
      <c r="Y20" s="3291" t="s">
        <v>3287</v>
      </c>
      <c r="Z20" s="3291" t="s">
        <v>3173</v>
      </c>
      <c r="AA20" s="3291" t="s">
        <v>3173</v>
      </c>
      <c r="AB20" s="3291" t="s">
        <v>3290</v>
      </c>
      <c r="AC20" s="3291" t="s">
        <v>3221</v>
      </c>
      <c r="AD20" s="3291" t="s">
        <v>3174</v>
      </c>
      <c r="AE20" s="3291">
        <v>53000</v>
      </c>
      <c r="AF20" s="3291">
        <v>176000</v>
      </c>
      <c r="AG20" s="3291">
        <v>225000</v>
      </c>
      <c r="AH20" s="3291">
        <v>2541.56</v>
      </c>
      <c r="AI20" s="3291">
        <v>3249.15</v>
      </c>
      <c r="AJ20" s="3291">
        <v>19061.64</v>
      </c>
      <c r="AK20" s="3291">
        <v>24368.58</v>
      </c>
      <c r="AL20" s="3291" t="s">
        <v>1326</v>
      </c>
      <c r="AM20" s="3291" t="s">
        <v>1326</v>
      </c>
      <c r="AN20" s="3291">
        <v>27.84</v>
      </c>
      <c r="AO20" s="3291" t="s">
        <v>3236</v>
      </c>
      <c r="AP20" s="3291" t="s">
        <v>1326</v>
      </c>
      <c r="AQ20" s="3291" t="s">
        <v>1326</v>
      </c>
      <c r="AR20" s="3291" t="s">
        <v>1326</v>
      </c>
      <c r="AS20" s="3291" t="s">
        <v>3224</v>
      </c>
    </row>
    <row r="21" spans="1:45" s="1633" customFormat="1">
      <c r="A21" s="1633" t="s">
        <v>3175</v>
      </c>
      <c r="B21" s="1633" t="s">
        <v>3062</v>
      </c>
      <c r="C21" s="1633" t="s">
        <v>3129</v>
      </c>
      <c r="D21" s="1633" t="s">
        <v>3267</v>
      </c>
      <c r="E21" s="1633" t="s">
        <v>1326</v>
      </c>
      <c r="F21" s="1633" t="s">
        <v>3289</v>
      </c>
      <c r="G21" s="1633" t="s">
        <v>3130</v>
      </c>
      <c r="H21" s="1633" t="s">
        <v>3292</v>
      </c>
      <c r="I21" s="1633" t="s">
        <v>3213</v>
      </c>
      <c r="J21" s="1633">
        <v>38100</v>
      </c>
      <c r="K21" s="1633">
        <v>76200</v>
      </c>
      <c r="L21" s="1633">
        <v>2</v>
      </c>
      <c r="M21" s="1633" t="s">
        <v>1326</v>
      </c>
      <c r="N21" s="1633" t="s">
        <v>1326</v>
      </c>
      <c r="O21" s="1633" t="s">
        <v>1326</v>
      </c>
      <c r="P21" s="1633" t="s">
        <v>1326</v>
      </c>
      <c r="Q21" s="1633" t="s">
        <v>1326</v>
      </c>
      <c r="R21" s="1633" t="s">
        <v>1326</v>
      </c>
      <c r="S21" s="1633" t="s">
        <v>1326</v>
      </c>
      <c r="T21" s="1633" t="s">
        <v>3272</v>
      </c>
      <c r="U21" s="1633" t="s">
        <v>3272</v>
      </c>
      <c r="V21" s="1633" t="s">
        <v>1326</v>
      </c>
      <c r="W21" s="1633" t="s">
        <v>3227</v>
      </c>
      <c r="X21" s="1633" t="s">
        <v>3291</v>
      </c>
      <c r="Y21" s="1633" t="s">
        <v>3287</v>
      </c>
      <c r="Z21" s="1633" t="s">
        <v>3173</v>
      </c>
      <c r="AA21" s="1633" t="s">
        <v>3173</v>
      </c>
      <c r="AB21" s="1633" t="s">
        <v>3292</v>
      </c>
      <c r="AC21" s="1633" t="s">
        <v>3221</v>
      </c>
      <c r="AD21" s="1633" t="s">
        <v>3176</v>
      </c>
      <c r="AE21" s="1633">
        <v>43500</v>
      </c>
      <c r="AF21" s="1633">
        <v>145000</v>
      </c>
      <c r="AG21" s="1633">
        <v>204000</v>
      </c>
      <c r="AH21" s="1633">
        <v>2537.1799999999998</v>
      </c>
      <c r="AI21" s="1633">
        <v>3569.55</v>
      </c>
      <c r="AJ21" s="1633">
        <v>19028.87</v>
      </c>
      <c r="AK21" s="1633">
        <v>26771.65</v>
      </c>
      <c r="AL21" s="1633" t="s">
        <v>1326</v>
      </c>
      <c r="AM21" s="1633" t="s">
        <v>1326</v>
      </c>
      <c r="AN21" s="1633">
        <v>40.69</v>
      </c>
      <c r="AO21" s="1633" t="s">
        <v>3236</v>
      </c>
      <c r="AP21" s="1633" t="s">
        <v>1326</v>
      </c>
      <c r="AQ21" s="1633" t="s">
        <v>1326</v>
      </c>
      <c r="AR21" s="1633" t="s">
        <v>1326</v>
      </c>
      <c r="AS21" s="1633" t="s">
        <v>3224</v>
      </c>
    </row>
    <row r="22" spans="1:45" s="1633" customFormat="1">
      <c r="A22" s="1633" t="s">
        <v>3293</v>
      </c>
      <c r="B22" s="1633" t="s">
        <v>3062</v>
      </c>
      <c r="C22" s="1633" t="s">
        <v>3129</v>
      </c>
      <c r="D22" s="1633" t="s">
        <v>3294</v>
      </c>
      <c r="E22" s="1633" t="s">
        <v>1326</v>
      </c>
      <c r="F22" s="1633" t="s">
        <v>3295</v>
      </c>
      <c r="G22" s="1633" t="s">
        <v>3130</v>
      </c>
      <c r="H22" s="1633" t="s">
        <v>3296</v>
      </c>
      <c r="I22" s="1633" t="s">
        <v>3286</v>
      </c>
      <c r="J22" s="1633">
        <v>42276.47</v>
      </c>
      <c r="K22" s="1633">
        <v>84552.93</v>
      </c>
      <c r="L22" s="1633" t="s">
        <v>3297</v>
      </c>
      <c r="M22" s="1633" t="s">
        <v>1326</v>
      </c>
      <c r="N22" s="1633" t="s">
        <v>3298</v>
      </c>
      <c r="O22" s="1633" t="s">
        <v>3299</v>
      </c>
      <c r="P22" s="1633" t="s">
        <v>1326</v>
      </c>
      <c r="Q22" s="1633" t="s">
        <v>1326</v>
      </c>
      <c r="R22" s="1633" t="s">
        <v>1326</v>
      </c>
      <c r="S22" s="1633" t="s">
        <v>1326</v>
      </c>
      <c r="T22" s="1633" t="s">
        <v>1326</v>
      </c>
      <c r="U22" s="1633" t="s">
        <v>1326</v>
      </c>
      <c r="V22" s="1633" t="s">
        <v>1326</v>
      </c>
      <c r="W22" s="1633" t="s">
        <v>3217</v>
      </c>
      <c r="X22" s="1633" t="s">
        <v>3300</v>
      </c>
      <c r="Y22" s="1633" t="s">
        <v>3301</v>
      </c>
      <c r="Z22" s="1633" t="s">
        <v>3302</v>
      </c>
      <c r="AA22" s="1633" t="s">
        <v>3302</v>
      </c>
      <c r="AB22" s="1633" t="s">
        <v>3296</v>
      </c>
      <c r="AC22" s="1633" t="s">
        <v>3221</v>
      </c>
      <c r="AD22" s="1633" t="s">
        <v>3303</v>
      </c>
      <c r="AE22" s="1633">
        <v>19000</v>
      </c>
      <c r="AF22" s="1633">
        <v>95000</v>
      </c>
      <c r="AG22" s="1633">
        <v>96500</v>
      </c>
      <c r="AH22" s="1633">
        <v>1498.08</v>
      </c>
      <c r="AI22" s="1633">
        <v>1521.73</v>
      </c>
      <c r="AJ22" s="1633">
        <v>11235.56</v>
      </c>
      <c r="AK22" s="1633">
        <v>11412.96</v>
      </c>
      <c r="AL22" s="1633" t="s">
        <v>1326</v>
      </c>
      <c r="AM22" s="1633" t="s">
        <v>1326</v>
      </c>
      <c r="AN22" s="1633">
        <v>1.58</v>
      </c>
      <c r="AO22" s="1633" t="s">
        <v>3304</v>
      </c>
      <c r="AP22" s="1633" t="s">
        <v>1326</v>
      </c>
      <c r="AQ22" s="1633" t="s">
        <v>1326</v>
      </c>
      <c r="AR22" s="1633" t="s">
        <v>1326</v>
      </c>
      <c r="AS22" s="1633" t="s">
        <v>3253</v>
      </c>
    </row>
    <row r="23" spans="1:45" s="1633" customFormat="1">
      <c r="A23" s="1633" t="s">
        <v>3305</v>
      </c>
      <c r="B23" s="1633" t="s">
        <v>3062</v>
      </c>
      <c r="C23" s="1633" t="s">
        <v>3129</v>
      </c>
      <c r="D23" s="1633" t="s">
        <v>3294</v>
      </c>
      <c r="E23" s="1633" t="s">
        <v>1326</v>
      </c>
      <c r="F23" s="1633" t="s">
        <v>3306</v>
      </c>
      <c r="G23" s="1633" t="s">
        <v>3130</v>
      </c>
      <c r="H23" s="1633" t="s">
        <v>3307</v>
      </c>
      <c r="I23" s="1633" t="s">
        <v>3213</v>
      </c>
      <c r="J23" s="1633">
        <v>51736.9</v>
      </c>
      <c r="K23" s="1633">
        <v>81600.05</v>
      </c>
      <c r="L23" s="1633" t="s">
        <v>3308</v>
      </c>
      <c r="M23" s="1633" t="s">
        <v>1326</v>
      </c>
      <c r="N23" s="1633" t="s">
        <v>3298</v>
      </c>
      <c r="O23" s="1633" t="s">
        <v>3309</v>
      </c>
      <c r="P23" s="1633" t="s">
        <v>1326</v>
      </c>
      <c r="Q23" s="1633" t="s">
        <v>1326</v>
      </c>
      <c r="R23" s="1633" t="s">
        <v>1326</v>
      </c>
      <c r="S23" s="1633" t="s">
        <v>1326</v>
      </c>
      <c r="T23" s="1633" t="s">
        <v>1326</v>
      </c>
      <c r="U23" s="1633" t="s">
        <v>1326</v>
      </c>
      <c r="V23" s="1633" t="s">
        <v>1326</v>
      </c>
      <c r="W23" s="1633" t="s">
        <v>3273</v>
      </c>
      <c r="X23" s="1633" t="s">
        <v>3310</v>
      </c>
      <c r="Y23" s="1633" t="s">
        <v>3311</v>
      </c>
      <c r="Z23" s="1633" t="s">
        <v>3312</v>
      </c>
      <c r="AA23" s="1633" t="s">
        <v>3312</v>
      </c>
      <c r="AB23" s="1633" t="s">
        <v>3307</v>
      </c>
      <c r="AC23" s="1633" t="s">
        <v>3221</v>
      </c>
      <c r="AD23" s="1633" t="s">
        <v>3313</v>
      </c>
      <c r="AE23" s="1633">
        <v>30000</v>
      </c>
      <c r="AF23" s="1633">
        <v>150000</v>
      </c>
      <c r="AG23" s="1633">
        <v>150000</v>
      </c>
      <c r="AH23" s="1633">
        <v>1932.86</v>
      </c>
      <c r="AI23" s="1633">
        <v>1932.86</v>
      </c>
      <c r="AJ23" s="1633">
        <v>18382.34</v>
      </c>
      <c r="AK23" s="1633">
        <v>18382.34</v>
      </c>
      <c r="AL23" s="1633" t="s">
        <v>1326</v>
      </c>
      <c r="AM23" s="1633" t="s">
        <v>1326</v>
      </c>
      <c r="AN23" s="1633">
        <v>0</v>
      </c>
      <c r="AO23" s="1633" t="s">
        <v>3236</v>
      </c>
      <c r="AP23" s="1633" t="s">
        <v>1326</v>
      </c>
      <c r="AQ23" s="1633" t="s">
        <v>1326</v>
      </c>
      <c r="AR23" s="1633" t="s">
        <v>1326</v>
      </c>
      <c r="AS23" s="1633" t="s">
        <v>3253</v>
      </c>
    </row>
    <row r="24" spans="1:45" s="1633" customFormat="1">
      <c r="A24" s="1633" t="s">
        <v>3314</v>
      </c>
      <c r="B24" s="1633" t="s">
        <v>3062</v>
      </c>
      <c r="C24" s="1633" t="s">
        <v>3129</v>
      </c>
      <c r="D24" s="1633" t="s">
        <v>3294</v>
      </c>
      <c r="E24" s="1633" t="s">
        <v>1326</v>
      </c>
      <c r="F24" s="1633" t="s">
        <v>3314</v>
      </c>
      <c r="G24" s="1633" t="s">
        <v>3130</v>
      </c>
      <c r="H24" s="1633" t="s">
        <v>3315</v>
      </c>
      <c r="I24" s="1633" t="s">
        <v>3316</v>
      </c>
      <c r="J24" s="1633">
        <v>33071.620000000003</v>
      </c>
      <c r="K24" s="1633">
        <v>122423.9</v>
      </c>
      <c r="L24" s="1633">
        <v>3.7</v>
      </c>
      <c r="M24" s="1633" t="s">
        <v>1326</v>
      </c>
      <c r="N24" s="1633" t="s">
        <v>3271</v>
      </c>
      <c r="O24" s="1633" t="s">
        <v>3271</v>
      </c>
      <c r="P24" s="1633" t="s">
        <v>1326</v>
      </c>
      <c r="Q24" s="1633" t="s">
        <v>1326</v>
      </c>
      <c r="R24" s="1633" t="s">
        <v>1326</v>
      </c>
      <c r="S24" s="1633" t="s">
        <v>1326</v>
      </c>
      <c r="T24" s="1633" t="s">
        <v>3272</v>
      </c>
      <c r="U24" s="1633" t="s">
        <v>3272</v>
      </c>
      <c r="V24" s="1633" t="s">
        <v>1326</v>
      </c>
      <c r="W24" s="1633" t="s">
        <v>3273</v>
      </c>
      <c r="X24" s="1633" t="s">
        <v>3317</v>
      </c>
      <c r="Y24" s="1633" t="s">
        <v>3318</v>
      </c>
      <c r="Z24" s="1633" t="s">
        <v>3319</v>
      </c>
      <c r="AA24" s="1633" t="s">
        <v>3319</v>
      </c>
      <c r="AB24" s="1633" t="s">
        <v>3315</v>
      </c>
      <c r="AC24" s="1633" t="s">
        <v>3221</v>
      </c>
      <c r="AD24" s="1633" t="s">
        <v>3320</v>
      </c>
      <c r="AE24" s="1633">
        <v>55000</v>
      </c>
      <c r="AF24" s="1633">
        <v>183000</v>
      </c>
      <c r="AG24" s="1633">
        <v>183000</v>
      </c>
      <c r="AH24" s="1633">
        <v>3688.96</v>
      </c>
      <c r="AI24" s="1633">
        <v>3688.96</v>
      </c>
      <c r="AJ24" s="1633">
        <v>14948.06</v>
      </c>
      <c r="AK24" s="1633">
        <v>14948.05</v>
      </c>
      <c r="AL24" s="1633" t="s">
        <v>1326</v>
      </c>
      <c r="AM24" s="1633" t="s">
        <v>1326</v>
      </c>
      <c r="AN24" s="1633">
        <v>0</v>
      </c>
      <c r="AO24" s="1633" t="s">
        <v>3304</v>
      </c>
      <c r="AP24" s="1633" t="s">
        <v>1326</v>
      </c>
      <c r="AQ24" s="1633" t="s">
        <v>1326</v>
      </c>
      <c r="AR24" s="1633" t="s">
        <v>1326</v>
      </c>
      <c r="AS24" s="1633" t="s">
        <v>3237</v>
      </c>
    </row>
    <row r="25" spans="1:45" s="1633" customFormat="1">
      <c r="A25" s="1633" t="s">
        <v>3321</v>
      </c>
      <c r="B25" s="1633" t="s">
        <v>3062</v>
      </c>
      <c r="C25" s="1633" t="s">
        <v>3129</v>
      </c>
      <c r="D25" s="1633" t="s">
        <v>3294</v>
      </c>
      <c r="E25" s="1633" t="s">
        <v>1326</v>
      </c>
      <c r="F25" s="1633" t="s">
        <v>3322</v>
      </c>
      <c r="G25" s="1633" t="s">
        <v>3130</v>
      </c>
      <c r="H25" s="1633" t="s">
        <v>3323</v>
      </c>
      <c r="I25" s="1633" t="s">
        <v>3316</v>
      </c>
      <c r="J25" s="1633">
        <v>66237.2</v>
      </c>
      <c r="K25" s="1633">
        <v>264058.7</v>
      </c>
      <c r="L25" s="1633">
        <v>3.99</v>
      </c>
      <c r="M25" s="1633" t="s">
        <v>1326</v>
      </c>
      <c r="N25" s="1633" t="s">
        <v>3298</v>
      </c>
      <c r="O25" s="1633" t="s">
        <v>1326</v>
      </c>
      <c r="P25" s="1633" t="s">
        <v>1326</v>
      </c>
      <c r="Q25" s="1633" t="s">
        <v>1326</v>
      </c>
      <c r="R25" s="1633" t="s">
        <v>1326</v>
      </c>
      <c r="S25" s="1633" t="s">
        <v>1326</v>
      </c>
      <c r="T25" s="1633" t="s">
        <v>3272</v>
      </c>
      <c r="U25" s="1633" t="s">
        <v>3272</v>
      </c>
      <c r="V25" s="1633" t="s">
        <v>1326</v>
      </c>
      <c r="W25" s="1633" t="s">
        <v>3273</v>
      </c>
      <c r="X25" s="1633" t="s">
        <v>3324</v>
      </c>
      <c r="Y25" s="1633" t="s">
        <v>3325</v>
      </c>
      <c r="Z25" s="1633" t="s">
        <v>3326</v>
      </c>
      <c r="AA25" s="1633" t="s">
        <v>3326</v>
      </c>
      <c r="AB25" s="1633" t="s">
        <v>3323</v>
      </c>
      <c r="AC25" s="1633" t="s">
        <v>3221</v>
      </c>
      <c r="AD25" s="1633" t="s">
        <v>3327</v>
      </c>
      <c r="AE25" s="1633">
        <v>115500</v>
      </c>
      <c r="AF25" s="1633">
        <v>385000</v>
      </c>
      <c r="AG25" s="1633">
        <v>385000</v>
      </c>
      <c r="AH25" s="1633">
        <v>3874.96</v>
      </c>
      <c r="AI25" s="1633">
        <v>3874.96</v>
      </c>
      <c r="AJ25" s="1633">
        <v>14580.09</v>
      </c>
      <c r="AK25" s="1633">
        <v>14580.09</v>
      </c>
      <c r="AL25" s="1633" t="s">
        <v>1326</v>
      </c>
      <c r="AM25" s="1633" t="s">
        <v>1326</v>
      </c>
      <c r="AN25" s="1633">
        <v>0</v>
      </c>
      <c r="AO25" s="1633" t="s">
        <v>3304</v>
      </c>
      <c r="AP25" s="1633" t="s">
        <v>1326</v>
      </c>
      <c r="AQ25" s="1633" t="s">
        <v>1326</v>
      </c>
      <c r="AR25" s="1633" t="s">
        <v>1326</v>
      </c>
      <c r="AS25" s="1633" t="s">
        <v>3237</v>
      </c>
    </row>
    <row r="26" spans="1:45" s="1633" customFormat="1">
      <c r="A26" s="1633" t="s">
        <v>3328</v>
      </c>
      <c r="B26" s="1633" t="s">
        <v>3062</v>
      </c>
      <c r="C26" s="1633" t="s">
        <v>3129</v>
      </c>
      <c r="D26" s="1633" t="s">
        <v>3294</v>
      </c>
      <c r="E26" s="1633" t="s">
        <v>1326</v>
      </c>
      <c r="F26" s="1633" t="s">
        <v>3329</v>
      </c>
      <c r="G26" s="1633" t="s">
        <v>3130</v>
      </c>
      <c r="H26" s="1633" t="s">
        <v>3330</v>
      </c>
      <c r="I26" s="1633" t="s">
        <v>3213</v>
      </c>
      <c r="J26" s="1633">
        <v>18303.330000000002</v>
      </c>
      <c r="K26" s="1633">
        <v>58571</v>
      </c>
      <c r="L26" s="1633">
        <v>3.2</v>
      </c>
      <c r="M26" s="1633" t="s">
        <v>1326</v>
      </c>
      <c r="N26" s="1633" t="s">
        <v>1326</v>
      </c>
      <c r="O26" s="1633" t="s">
        <v>1326</v>
      </c>
      <c r="P26" s="1633" t="s">
        <v>1326</v>
      </c>
      <c r="Q26" s="1633" t="s">
        <v>1326</v>
      </c>
      <c r="R26" s="1633" t="s">
        <v>1326</v>
      </c>
      <c r="S26" s="1633" t="s">
        <v>1326</v>
      </c>
      <c r="T26" s="1633" t="s">
        <v>1326</v>
      </c>
      <c r="U26" s="1633" t="s">
        <v>1326</v>
      </c>
      <c r="V26" s="1633" t="s">
        <v>1326</v>
      </c>
      <c r="W26" s="1633" t="s">
        <v>3273</v>
      </c>
      <c r="X26" s="1633" t="s">
        <v>3331</v>
      </c>
      <c r="Y26" s="1633" t="s">
        <v>3332</v>
      </c>
      <c r="Z26" s="1633" t="s">
        <v>3228</v>
      </c>
      <c r="AA26" s="1633" t="s">
        <v>3228</v>
      </c>
      <c r="AB26" s="1633" t="s">
        <v>3330</v>
      </c>
      <c r="AC26" s="1633" t="s">
        <v>3221</v>
      </c>
      <c r="AD26" s="1633" t="s">
        <v>3333</v>
      </c>
      <c r="AE26" s="1633">
        <v>24000</v>
      </c>
      <c r="AF26" s="1633">
        <v>79600</v>
      </c>
      <c r="AG26" s="1633">
        <v>129000</v>
      </c>
      <c r="AH26" s="1633">
        <v>2899.29</v>
      </c>
      <c r="AI26" s="1633">
        <v>4698.6000000000004</v>
      </c>
      <c r="AJ26" s="1633">
        <v>13590.34</v>
      </c>
      <c r="AK26" s="1633">
        <v>22024.54</v>
      </c>
      <c r="AL26" s="1633" t="s">
        <v>1326</v>
      </c>
      <c r="AM26" s="1633" t="s">
        <v>1326</v>
      </c>
      <c r="AN26" s="1633">
        <v>62.06</v>
      </c>
      <c r="AO26" s="1633" t="s">
        <v>3236</v>
      </c>
      <c r="AP26" s="1633" t="s">
        <v>1326</v>
      </c>
      <c r="AQ26" s="1633" t="s">
        <v>1326</v>
      </c>
      <c r="AR26" s="1633" t="s">
        <v>1326</v>
      </c>
      <c r="AS26" s="1633" t="s">
        <v>3237</v>
      </c>
    </row>
    <row r="27" spans="1:45" s="1633" customFormat="1">
      <c r="A27" s="1633" t="s">
        <v>3334</v>
      </c>
      <c r="B27" s="1633" t="s">
        <v>3062</v>
      </c>
      <c r="C27" s="1633" t="s">
        <v>3129</v>
      </c>
      <c r="D27" s="1633" t="s">
        <v>3294</v>
      </c>
      <c r="E27" s="1633" t="s">
        <v>1326</v>
      </c>
      <c r="F27" s="1633" t="s">
        <v>3335</v>
      </c>
      <c r="G27" s="1633" t="s">
        <v>3130</v>
      </c>
      <c r="H27" s="1633" t="s">
        <v>3336</v>
      </c>
      <c r="I27" s="1633" t="s">
        <v>3213</v>
      </c>
      <c r="J27" s="1633">
        <v>29183.54</v>
      </c>
      <c r="K27" s="1633">
        <v>72959</v>
      </c>
      <c r="L27" s="1633">
        <v>2.5</v>
      </c>
      <c r="M27" s="1633" t="s">
        <v>1326</v>
      </c>
      <c r="N27" s="1633" t="s">
        <v>1326</v>
      </c>
      <c r="O27" s="1633" t="s">
        <v>1326</v>
      </c>
      <c r="P27" s="1633" t="s">
        <v>1326</v>
      </c>
      <c r="Q27" s="1633" t="s">
        <v>1326</v>
      </c>
      <c r="R27" s="1633" t="s">
        <v>1326</v>
      </c>
      <c r="S27" s="1633" t="s">
        <v>1326</v>
      </c>
      <c r="T27" s="1633" t="s">
        <v>1326</v>
      </c>
      <c r="U27" s="1633" t="s">
        <v>1326</v>
      </c>
      <c r="V27" s="1633" t="s">
        <v>1326</v>
      </c>
      <c r="W27" s="1633" t="s">
        <v>3227</v>
      </c>
      <c r="X27" s="1633" t="s">
        <v>3291</v>
      </c>
      <c r="Y27" s="1633" t="s">
        <v>3287</v>
      </c>
      <c r="Z27" s="1633" t="s">
        <v>3173</v>
      </c>
      <c r="AA27" s="1633" t="s">
        <v>3173</v>
      </c>
      <c r="AB27" s="1633" t="s">
        <v>3336</v>
      </c>
      <c r="AC27" s="1633" t="s">
        <v>3221</v>
      </c>
      <c r="AD27" s="1633" t="s">
        <v>3337</v>
      </c>
      <c r="AE27" s="1633">
        <v>25000</v>
      </c>
      <c r="AF27" s="1633">
        <v>83000</v>
      </c>
      <c r="AG27" s="1633">
        <v>106000</v>
      </c>
      <c r="AH27" s="1633">
        <v>1896.05</v>
      </c>
      <c r="AI27" s="1633">
        <v>2421.46</v>
      </c>
      <c r="AJ27" s="1633">
        <v>11376.25</v>
      </c>
      <c r="AK27" s="1633">
        <v>14528.7</v>
      </c>
      <c r="AL27" s="1633" t="s">
        <v>1326</v>
      </c>
      <c r="AM27" s="1633" t="s">
        <v>1326</v>
      </c>
      <c r="AN27" s="1633">
        <v>27.71</v>
      </c>
      <c r="AO27" s="1633" t="s">
        <v>3236</v>
      </c>
      <c r="AP27" s="1633" t="s">
        <v>1326</v>
      </c>
      <c r="AQ27" s="1633" t="s">
        <v>1326</v>
      </c>
      <c r="AR27" s="1633" t="s">
        <v>1326</v>
      </c>
      <c r="AS27" s="1633" t="s">
        <v>3237</v>
      </c>
    </row>
  </sheetData>
  <autoFilter ref="A1:AS27"/>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95" t="s">
        <v>2645</v>
      </c>
      <c r="S4" s="3196"/>
      <c r="T4" s="3195" t="s">
        <v>2646</v>
      </c>
      <c r="U4" s="3196"/>
      <c r="V4" s="3201" t="s">
        <v>2647</v>
      </c>
      <c r="W4" s="3201"/>
      <c r="X4" s="1811"/>
      <c r="Y4" s="3195" t="s">
        <v>2649</v>
      </c>
      <c r="Z4" s="3196"/>
      <c r="AA4" s="3182" t="s">
        <v>2645</v>
      </c>
      <c r="AB4" s="3183" t="s">
        <v>2646</v>
      </c>
      <c r="AC4" s="3182" t="s">
        <v>2647</v>
      </c>
    </row>
    <row r="5" spans="1:29">
      <c r="A5" s="404"/>
      <c r="B5" s="405"/>
      <c r="C5" s="3204" t="s">
        <v>2540</v>
      </c>
      <c r="D5" s="3205"/>
      <c r="E5" s="3211" t="s">
        <v>2541</v>
      </c>
      <c r="F5" s="3212"/>
      <c r="G5" s="3204" t="s">
        <v>2542</v>
      </c>
      <c r="H5" s="3205"/>
      <c r="I5" s="3204" t="s">
        <v>2543</v>
      </c>
      <c r="J5" s="3205"/>
      <c r="K5" s="610"/>
      <c r="L5" s="1130"/>
      <c r="M5" s="1131"/>
      <c r="N5" s="1131"/>
      <c r="O5" s="1131"/>
      <c r="P5" s="3191"/>
      <c r="Q5" s="3192"/>
      <c r="R5" s="3197"/>
      <c r="S5" s="3198"/>
      <c r="T5" s="3197"/>
      <c r="U5" s="3198"/>
      <c r="V5" s="3201"/>
      <c r="W5" s="3201"/>
      <c r="X5" s="1811"/>
      <c r="Y5" s="3197"/>
      <c r="Z5" s="3198"/>
      <c r="AA5" s="3183"/>
      <c r="AB5" s="3183"/>
      <c r="AC5" s="3183"/>
    </row>
    <row r="6" spans="1:29" ht="15" thickBot="1">
      <c r="A6" s="406"/>
      <c r="B6" s="407"/>
      <c r="C6" s="3233" t="s">
        <v>2795</v>
      </c>
      <c r="D6" s="3234"/>
      <c r="E6" s="3235" t="s">
        <v>2795</v>
      </c>
      <c r="F6" s="3236"/>
      <c r="G6" s="3233" t="s">
        <v>2795</v>
      </c>
      <c r="H6" s="3234"/>
      <c r="I6" s="3233" t="s">
        <v>2795</v>
      </c>
      <c r="J6" s="3234"/>
      <c r="K6" s="610" t="s">
        <v>2545</v>
      </c>
      <c r="L6" s="1130"/>
      <c r="M6" s="1131"/>
      <c r="N6" s="1131"/>
      <c r="O6" s="1131"/>
      <c r="P6" s="3193"/>
      <c r="Q6" s="3194"/>
      <c r="R6" s="3197"/>
      <c r="S6" s="3198"/>
      <c r="T6" s="3199"/>
      <c r="U6" s="3200"/>
      <c r="V6" s="3201"/>
      <c r="W6" s="3201"/>
      <c r="X6" s="1811"/>
      <c r="Y6" s="3199"/>
      <c r="Z6" s="3200"/>
      <c r="AA6" s="3184"/>
      <c r="AB6" s="3184"/>
      <c r="AC6" s="3184"/>
    </row>
    <row r="7" spans="1:29" s="117" customFormat="1" ht="15" thickBot="1">
      <c r="A7" s="408" t="s">
        <v>2546</v>
      </c>
      <c r="B7" s="409"/>
      <c r="C7" s="410">
        <f>'数据-取费表'!B2</f>
        <v>43918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6" t="s">
        <v>2547</v>
      </c>
      <c r="Q7" s="3208"/>
      <c r="R7" s="770" t="s">
        <v>17</v>
      </c>
      <c r="S7" s="771">
        <f t="shared" ref="S7:S15" si="0">F7</f>
        <v>0</v>
      </c>
      <c r="T7" s="770" t="s">
        <v>17</v>
      </c>
      <c r="U7" s="771">
        <f t="shared" ref="U7:U15" si="1">H7</f>
        <v>0</v>
      </c>
      <c r="V7" s="770" t="s">
        <v>17</v>
      </c>
      <c r="W7" s="771">
        <f t="shared" ref="W7:W15" si="2">J7</f>
        <v>0</v>
      </c>
      <c r="X7" s="772"/>
      <c r="Y7" s="3206" t="s">
        <v>2547</v>
      </c>
      <c r="Z7" s="3207"/>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2550</v>
      </c>
      <c r="Q8" s="3207"/>
      <c r="R8" s="770" t="s">
        <v>17</v>
      </c>
      <c r="S8" s="771">
        <f t="shared" si="0"/>
        <v>0</v>
      </c>
      <c r="T8" s="770" t="s">
        <v>17</v>
      </c>
      <c r="U8" s="771">
        <f t="shared" si="1"/>
        <v>0</v>
      </c>
      <c r="V8" s="770" t="s">
        <v>17</v>
      </c>
      <c r="W8" s="771">
        <f t="shared" si="2"/>
        <v>0</v>
      </c>
      <c r="X8" s="772"/>
      <c r="Y8" s="3206" t="s">
        <v>2550</v>
      </c>
      <c r="Z8" s="3207"/>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0" t="s">
        <v>2553</v>
      </c>
      <c r="Q9" s="1793" t="str">
        <f t="shared" ref="Q9:Q15" si="6">B9</f>
        <v>用途</v>
      </c>
      <c r="R9" s="770" t="s">
        <v>17</v>
      </c>
      <c r="S9" s="771">
        <f t="shared" si="0"/>
        <v>100</v>
      </c>
      <c r="T9" s="770" t="s">
        <v>17</v>
      </c>
      <c r="U9" s="771">
        <f t="shared" si="1"/>
        <v>100</v>
      </c>
      <c r="V9" s="770" t="s">
        <v>17</v>
      </c>
      <c r="W9" s="771">
        <f t="shared" si="2"/>
        <v>100</v>
      </c>
      <c r="X9" s="772"/>
      <c r="Y9" s="2995"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70"/>
      <c r="Q10" s="1793" t="str">
        <f t="shared" si="6"/>
        <v>土地使用年限（年）</v>
      </c>
      <c r="R10" s="770" t="s">
        <v>17</v>
      </c>
      <c r="S10" s="771">
        <f t="shared" si="0"/>
        <v>110</v>
      </c>
      <c r="T10" s="770" t="s">
        <v>17</v>
      </c>
      <c r="U10" s="771">
        <f t="shared" si="1"/>
        <v>110</v>
      </c>
      <c r="V10" s="770" t="s">
        <v>17</v>
      </c>
      <c r="W10" s="771">
        <f t="shared" si="2"/>
        <v>110</v>
      </c>
      <c r="X10" s="772"/>
      <c r="Y10" s="2995"/>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0"/>
      <c r="Q11" s="1793"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0"/>
      <c r="Q12" s="1793">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0"/>
      <c r="Q13" s="1793">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0"/>
      <c r="Q14" s="1793">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2" t="s">
        <v>2558</v>
      </c>
      <c r="Q15" s="1808" t="str">
        <f t="shared" si="6"/>
        <v>产业集聚程度</v>
      </c>
      <c r="R15" s="774" t="s">
        <v>17</v>
      </c>
      <c r="S15" s="775">
        <f t="shared" si="0"/>
        <v>100</v>
      </c>
      <c r="T15" s="774" t="s">
        <v>17</v>
      </c>
      <c r="U15" s="775">
        <f t="shared" si="1"/>
        <v>100</v>
      </c>
      <c r="V15" s="774" t="s">
        <v>17</v>
      </c>
      <c r="W15" s="775">
        <f t="shared" si="2"/>
        <v>100</v>
      </c>
      <c r="X15" s="1811"/>
      <c r="Y15" s="3172" t="s">
        <v>2558</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40"/>
      <c r="M16" s="1131"/>
      <c r="N16" s="1131"/>
      <c r="O16" s="1139"/>
      <c r="P16" s="3173"/>
      <c r="Q16" s="1808"/>
      <c r="R16" s="774"/>
      <c r="S16" s="775"/>
      <c r="T16" s="774"/>
      <c r="U16" s="775"/>
      <c r="V16" s="774"/>
      <c r="W16" s="775"/>
      <c r="X16" s="1811"/>
      <c r="Y16" s="3173"/>
      <c r="Z16" s="1812"/>
      <c r="AA16" s="1809">
        <v>1</v>
      </c>
      <c r="AB16" s="1809">
        <v>1</v>
      </c>
      <c r="AC16" s="1809">
        <v>1</v>
      </c>
    </row>
    <row r="17" spans="1:29" ht="96.6">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3"/>
      <c r="Q17" s="1808" t="str">
        <f>B17</f>
        <v>交通便捷度</v>
      </c>
      <c r="R17" s="774" t="s">
        <v>17</v>
      </c>
      <c r="S17" s="775">
        <f>F17</f>
        <v>100</v>
      </c>
      <c r="T17" s="774" t="s">
        <v>17</v>
      </c>
      <c r="U17" s="775">
        <f>H17</f>
        <v>100</v>
      </c>
      <c r="V17" s="774" t="s">
        <v>17</v>
      </c>
      <c r="W17" s="775">
        <f>J17</f>
        <v>100</v>
      </c>
      <c r="X17" s="1811"/>
      <c r="Y17" s="3173"/>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40"/>
      <c r="M18" s="1131"/>
      <c r="N18" s="1131"/>
      <c r="O18" s="1139"/>
      <c r="P18" s="3173"/>
      <c r="Q18" s="1808"/>
      <c r="R18" s="774"/>
      <c r="S18" s="775"/>
      <c r="T18" s="774"/>
      <c r="U18" s="775"/>
      <c r="V18" s="774"/>
      <c r="W18" s="775"/>
      <c r="X18" s="1811"/>
      <c r="Y18" s="3173"/>
      <c r="Z18" s="1812"/>
      <c r="AA18" s="1809">
        <v>1</v>
      </c>
      <c r="AB18" s="1809">
        <v>1</v>
      </c>
      <c r="AC18" s="1809">
        <v>1</v>
      </c>
    </row>
    <row r="19" spans="1:29" ht="28.8">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3"/>
      <c r="Q19" s="1808" t="str">
        <f t="shared" ref="Q19:Q33" si="8">B19</f>
        <v>区域土地利用方向</v>
      </c>
      <c r="R19" s="774" t="s">
        <v>17</v>
      </c>
      <c r="S19" s="775">
        <f>F19</f>
        <v>100</v>
      </c>
      <c r="T19" s="774" t="s">
        <v>17</v>
      </c>
      <c r="U19" s="775">
        <f>H19</f>
        <v>100</v>
      </c>
      <c r="V19" s="774" t="s">
        <v>17</v>
      </c>
      <c r="W19" s="775">
        <f>J19</f>
        <v>100</v>
      </c>
      <c r="X19" s="1811"/>
      <c r="Y19" s="3173"/>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12"/>
      <c r="L20" s="1140"/>
      <c r="M20" s="1131"/>
      <c r="N20" s="1131"/>
      <c r="O20" s="1139"/>
      <c r="P20" s="3173"/>
      <c r="Q20" s="1808"/>
      <c r="R20" s="774"/>
      <c r="S20" s="775"/>
      <c r="T20" s="774"/>
      <c r="U20" s="775"/>
      <c r="V20" s="774"/>
      <c r="W20" s="775"/>
      <c r="X20" s="1811"/>
      <c r="Y20" s="3173"/>
      <c r="Z20" s="1812"/>
      <c r="AA20" s="1809"/>
      <c r="AB20" s="1809"/>
      <c r="AC20" s="1809"/>
    </row>
    <row r="21" spans="1:29" ht="82.8">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3"/>
      <c r="Q21" s="1808" t="str">
        <f t="shared" si="8"/>
        <v>环境状况</v>
      </c>
      <c r="R21" s="774" t="s">
        <v>17</v>
      </c>
      <c r="S21" s="775">
        <f>F21</f>
        <v>100</v>
      </c>
      <c r="T21" s="774" t="s">
        <v>17</v>
      </c>
      <c r="U21" s="775">
        <f>H21</f>
        <v>100</v>
      </c>
      <c r="V21" s="774" t="s">
        <v>17</v>
      </c>
      <c r="W21" s="775">
        <f>J21</f>
        <v>100</v>
      </c>
      <c r="X21" s="1811"/>
      <c r="Y21" s="3173"/>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40"/>
      <c r="M22" s="1131"/>
      <c r="N22" s="1131"/>
      <c r="O22" s="1139"/>
      <c r="P22" s="3173"/>
      <c r="Q22" s="1808"/>
      <c r="R22" s="774"/>
      <c r="S22" s="775"/>
      <c r="T22" s="774"/>
      <c r="U22" s="775"/>
      <c r="V22" s="774"/>
      <c r="W22" s="775"/>
      <c r="X22" s="1811"/>
      <c r="Y22" s="3173"/>
      <c r="Z22" s="1812"/>
      <c r="AA22" s="1809">
        <v>1</v>
      </c>
      <c r="AB22" s="1809">
        <v>1</v>
      </c>
      <c r="AC22" s="1809">
        <v>1</v>
      </c>
    </row>
    <row r="23" spans="1:29" s="117" customFormat="1" ht="41.4">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3"/>
      <c r="Q23" s="1793" t="str">
        <f t="shared" si="8"/>
        <v>公共配套设施</v>
      </c>
      <c r="R23" s="770" t="s">
        <v>17</v>
      </c>
      <c r="S23" s="771">
        <f>F23</f>
        <v>100</v>
      </c>
      <c r="T23" s="770" t="s">
        <v>17</v>
      </c>
      <c r="U23" s="771">
        <f>H23</f>
        <v>100</v>
      </c>
      <c r="V23" s="770" t="s">
        <v>17</v>
      </c>
      <c r="W23" s="771">
        <f>J23</f>
        <v>100</v>
      </c>
      <c r="X23" s="772"/>
      <c r="Y23" s="3173"/>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2"/>
      <c r="M24" s="1133"/>
      <c r="N24" s="1133"/>
      <c r="O24" s="1134"/>
      <c r="P24" s="3173"/>
      <c r="Q24" s="1793"/>
      <c r="R24" s="770"/>
      <c r="S24" s="771"/>
      <c r="T24" s="770"/>
      <c r="U24" s="771"/>
      <c r="V24" s="770"/>
      <c r="W24" s="771"/>
      <c r="X24" s="772"/>
      <c r="Y24" s="3173"/>
      <c r="Z24" s="55"/>
      <c r="AA24" s="773">
        <v>1</v>
      </c>
      <c r="AB24" s="773">
        <v>1</v>
      </c>
      <c r="AC24" s="773">
        <v>1</v>
      </c>
    </row>
    <row r="25" spans="1:29" s="117" customFormat="1" ht="41.4">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3"/>
      <c r="Q25" s="1793" t="str">
        <f t="shared" ref="Q25" si="9">B25</f>
        <v>基础设施水平</v>
      </c>
      <c r="R25" s="770" t="s">
        <v>17</v>
      </c>
      <c r="S25" s="771">
        <f>F25</f>
        <v>100</v>
      </c>
      <c r="T25" s="770" t="s">
        <v>17</v>
      </c>
      <c r="U25" s="771">
        <f>H25</f>
        <v>100</v>
      </c>
      <c r="V25" s="770" t="s">
        <v>17</v>
      </c>
      <c r="W25" s="771">
        <f>J25</f>
        <v>100</v>
      </c>
      <c r="X25" s="772"/>
      <c r="Y25" s="3173"/>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2"/>
      <c r="M26" s="1133"/>
      <c r="N26" s="1133"/>
      <c r="O26" s="1134"/>
      <c r="P26" s="3173"/>
      <c r="Q26" s="1793"/>
      <c r="R26" s="770"/>
      <c r="S26" s="771"/>
      <c r="T26" s="770"/>
      <c r="U26" s="771"/>
      <c r="V26" s="770"/>
      <c r="W26" s="771"/>
      <c r="X26" s="772"/>
      <c r="Y26" s="3173"/>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3"/>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73"/>
      <c r="Z27" s="1812" t="str">
        <f t="shared" ref="Z27:Z40" si="13">Q27</f>
        <v>临街状况</v>
      </c>
      <c r="AA27" s="1809">
        <f t="shared" si="3"/>
        <v>1</v>
      </c>
      <c r="AB27" s="1809">
        <f t="shared" si="4"/>
        <v>1</v>
      </c>
      <c r="AC27" s="1809">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3"/>
      <c r="Q28" s="1808" t="str">
        <f t="shared" si="8"/>
        <v>毗邻道路的类型与等级</v>
      </c>
      <c r="R28" s="774" t="s">
        <v>17</v>
      </c>
      <c r="S28" s="775">
        <f t="shared" si="10"/>
        <v>100</v>
      </c>
      <c r="T28" s="774" t="s">
        <v>17</v>
      </c>
      <c r="U28" s="775">
        <f t="shared" si="11"/>
        <v>100</v>
      </c>
      <c r="V28" s="774" t="s">
        <v>17</v>
      </c>
      <c r="W28" s="775">
        <f t="shared" si="12"/>
        <v>100</v>
      </c>
      <c r="X28" s="1811"/>
      <c r="Y28" s="3173"/>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40"/>
      <c r="M29" s="1131"/>
      <c r="N29" s="1131"/>
      <c r="O29" s="1139"/>
      <c r="P29" s="3173"/>
      <c r="Q29" s="1808"/>
      <c r="R29" s="774"/>
      <c r="S29" s="775"/>
      <c r="T29" s="774"/>
      <c r="U29" s="775"/>
      <c r="V29" s="774"/>
      <c r="W29" s="775"/>
      <c r="X29" s="1811"/>
      <c r="Y29" s="3173"/>
      <c r="Z29" s="1812"/>
      <c r="AA29" s="1809">
        <v>1</v>
      </c>
      <c r="AB29" s="1809">
        <v>1</v>
      </c>
      <c r="AC29" s="1809">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3"/>
      <c r="Q30" s="1808" t="str">
        <f t="shared" si="8"/>
        <v>土地级别</v>
      </c>
      <c r="R30" s="774" t="s">
        <v>17</v>
      </c>
      <c r="S30" s="775">
        <f t="shared" si="10"/>
        <v>100</v>
      </c>
      <c r="T30" s="774" t="s">
        <v>17</v>
      </c>
      <c r="U30" s="775">
        <f t="shared" si="11"/>
        <v>100</v>
      </c>
      <c r="V30" s="774" t="s">
        <v>17</v>
      </c>
      <c r="W30" s="775">
        <f t="shared" si="12"/>
        <v>100</v>
      </c>
      <c r="X30" s="1811"/>
      <c r="Y30" s="3173"/>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3"/>
      <c r="Q31" s="1808">
        <f t="shared" si="8"/>
        <v>111</v>
      </c>
      <c r="R31" s="774" t="s">
        <v>17</v>
      </c>
      <c r="S31" s="775">
        <f t="shared" si="10"/>
        <v>100</v>
      </c>
      <c r="T31" s="774" t="s">
        <v>17</v>
      </c>
      <c r="U31" s="775">
        <f t="shared" si="11"/>
        <v>100</v>
      </c>
      <c r="V31" s="774" t="s">
        <v>17</v>
      </c>
      <c r="W31" s="775">
        <f t="shared" si="12"/>
        <v>100</v>
      </c>
      <c r="X31" s="1811"/>
      <c r="Y31" s="3173"/>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8" t="s">
        <v>2563</v>
      </c>
      <c r="Q32" s="1808">
        <f t="shared" si="8"/>
        <v>111</v>
      </c>
      <c r="R32" s="774" t="s">
        <v>17</v>
      </c>
      <c r="S32" s="775">
        <f t="shared" si="10"/>
        <v>100</v>
      </c>
      <c r="T32" s="774" t="s">
        <v>17</v>
      </c>
      <c r="U32" s="775">
        <f t="shared" si="11"/>
        <v>100</v>
      </c>
      <c r="V32" s="774" t="s">
        <v>17</v>
      </c>
      <c r="W32" s="775">
        <f t="shared" si="12"/>
        <v>100</v>
      </c>
      <c r="X32" s="1811"/>
      <c r="Y32" s="3177" t="s">
        <v>2563</v>
      </c>
      <c r="Z32" s="1812">
        <f t="shared" si="13"/>
        <v>111</v>
      </c>
      <c r="AA32" s="1809">
        <f t="shared" si="3"/>
        <v>1</v>
      </c>
      <c r="AB32" s="1809">
        <f t="shared" si="4"/>
        <v>1</v>
      </c>
      <c r="AC32" s="1809">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7"/>
      <c r="Q33" s="1808">
        <f t="shared" si="8"/>
        <v>111</v>
      </c>
      <c r="R33" s="777" t="s">
        <v>17</v>
      </c>
      <c r="S33" s="778">
        <f t="shared" si="10"/>
        <v>100</v>
      </c>
      <c r="T33" s="777" t="s">
        <v>17</v>
      </c>
      <c r="U33" s="778">
        <f t="shared" si="11"/>
        <v>100</v>
      </c>
      <c r="V33" s="777" t="s">
        <v>17</v>
      </c>
      <c r="W33" s="778">
        <f t="shared" si="12"/>
        <v>100</v>
      </c>
      <c r="X33" s="779"/>
      <c r="Y33" s="3177"/>
      <c r="Z33" s="780">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7"/>
      <c r="Q34" s="1808" t="str">
        <f>B34</f>
        <v>宗地面积</v>
      </c>
      <c r="R34" s="774" t="s">
        <v>17</v>
      </c>
      <c r="S34" s="775" t="e">
        <f t="shared" si="10"/>
        <v>#N/A</v>
      </c>
      <c r="T34" s="774" t="s">
        <v>17</v>
      </c>
      <c r="U34" s="775" t="e">
        <f t="shared" si="11"/>
        <v>#N/A</v>
      </c>
      <c r="V34" s="774" t="s">
        <v>17</v>
      </c>
      <c r="W34" s="775" t="e">
        <f t="shared" si="12"/>
        <v>#N/A</v>
      </c>
      <c r="X34" s="1811"/>
      <c r="Y34" s="3177"/>
      <c r="Z34" s="1812" t="str">
        <f t="shared" si="13"/>
        <v>宗地面积</v>
      </c>
      <c r="AA34" s="1809" t="e">
        <f t="shared" si="3"/>
        <v>#N/A</v>
      </c>
      <c r="AB34" s="1809" t="e">
        <f t="shared" si="4"/>
        <v>#N/A</v>
      </c>
      <c r="AC34" s="1809"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77"/>
      <c r="Q35" s="1808" t="str">
        <f t="shared" ref="Q35:Q40" si="14">B35</f>
        <v>宗地形状</v>
      </c>
      <c r="R35" s="774" t="s">
        <v>17</v>
      </c>
      <c r="S35" s="775">
        <f t="shared" si="10"/>
        <v>100</v>
      </c>
      <c r="T35" s="774" t="s">
        <v>17</v>
      </c>
      <c r="U35" s="775">
        <f t="shared" si="11"/>
        <v>100</v>
      </c>
      <c r="V35" s="774" t="s">
        <v>17</v>
      </c>
      <c r="W35" s="775">
        <f t="shared" si="12"/>
        <v>100</v>
      </c>
      <c r="X35" s="1811"/>
      <c r="Y35" s="3177"/>
      <c r="Z35" s="1812" t="str">
        <f t="shared" si="13"/>
        <v>宗地形状</v>
      </c>
      <c r="AA35" s="1809">
        <f t="shared" si="3"/>
        <v>1</v>
      </c>
      <c r="AB35" s="1809">
        <f t="shared" si="4"/>
        <v>1</v>
      </c>
      <c r="AC35" s="1809">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77"/>
      <c r="Q36" s="1808"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77" t="s">
        <v>2563</v>
      </c>
      <c r="Q37" s="1808" t="str">
        <f t="shared" si="14"/>
        <v>工程地质条件</v>
      </c>
      <c r="R37" s="774" t="s">
        <v>17</v>
      </c>
      <c r="S37" s="775">
        <f t="shared" si="10"/>
        <v>100</v>
      </c>
      <c r="T37" s="774" t="s">
        <v>17</v>
      </c>
      <c r="U37" s="775">
        <f t="shared" si="11"/>
        <v>100</v>
      </c>
      <c r="V37" s="774" t="s">
        <v>17</v>
      </c>
      <c r="W37" s="775">
        <f t="shared" si="12"/>
        <v>100</v>
      </c>
      <c r="X37" s="1811"/>
      <c r="Y37" s="3177" t="s">
        <v>2563</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7"/>
      <c r="Q38" s="1808">
        <f t="shared" si="14"/>
        <v>111</v>
      </c>
      <c r="R38" s="774" t="s">
        <v>17</v>
      </c>
      <c r="S38" s="775">
        <f t="shared" si="10"/>
        <v>100</v>
      </c>
      <c r="T38" s="774" t="s">
        <v>17</v>
      </c>
      <c r="U38" s="775">
        <f t="shared" si="11"/>
        <v>100</v>
      </c>
      <c r="V38" s="774" t="s">
        <v>17</v>
      </c>
      <c r="W38" s="775">
        <f t="shared" si="12"/>
        <v>100</v>
      </c>
      <c r="X38" s="1811"/>
      <c r="Y38" s="3177"/>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7"/>
      <c r="Q39" s="1808">
        <f t="shared" si="14"/>
        <v>111</v>
      </c>
      <c r="R39" s="774" t="s">
        <v>17</v>
      </c>
      <c r="S39" s="775">
        <f t="shared" si="10"/>
        <v>100</v>
      </c>
      <c r="T39" s="774" t="s">
        <v>17</v>
      </c>
      <c r="U39" s="775">
        <f t="shared" si="11"/>
        <v>100</v>
      </c>
      <c r="V39" s="774" t="s">
        <v>17</v>
      </c>
      <c r="W39" s="775">
        <f t="shared" si="12"/>
        <v>100</v>
      </c>
      <c r="X39" s="1811"/>
      <c r="Y39" s="3177"/>
      <c r="Z39" s="1812">
        <f t="shared" si="13"/>
        <v>111</v>
      </c>
      <c r="AA39" s="1809">
        <f t="shared" si="3"/>
        <v>1</v>
      </c>
      <c r="AB39" s="1809">
        <f t="shared" si="4"/>
        <v>1</v>
      </c>
      <c r="AC39" s="1809">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7"/>
      <c r="Q40" s="1808">
        <f t="shared" si="14"/>
        <v>111</v>
      </c>
      <c r="R40" s="777" t="s">
        <v>17</v>
      </c>
      <c r="S40" s="778">
        <f t="shared" si="10"/>
        <v>100</v>
      </c>
      <c r="T40" s="777" t="s">
        <v>17</v>
      </c>
      <c r="U40" s="778">
        <f t="shared" si="11"/>
        <v>100</v>
      </c>
      <c r="V40" s="777" t="s">
        <v>17</v>
      </c>
      <c r="W40" s="778">
        <f t="shared" si="12"/>
        <v>100</v>
      </c>
      <c r="X40" s="779"/>
      <c r="Y40" s="3177"/>
      <c r="Z40" s="780">
        <f t="shared" si="13"/>
        <v>111</v>
      </c>
      <c r="AA40" s="1809">
        <f t="shared" si="3"/>
        <v>1</v>
      </c>
      <c r="AB40" s="1809">
        <f t="shared" si="4"/>
        <v>1</v>
      </c>
      <c r="AC40" s="1809">
        <f t="shared" si="5"/>
        <v>1</v>
      </c>
    </row>
    <row r="41" spans="1:29" ht="14.4">
      <c r="A41" s="479" t="s">
        <v>2718</v>
      </c>
      <c r="B41" s="2702" t="s">
        <v>2798</v>
      </c>
      <c r="C41" s="682" t="s">
        <v>1</v>
      </c>
      <c r="D41" s="481"/>
      <c r="E41" s="482"/>
      <c r="F41" s="483"/>
      <c r="G41" s="484"/>
      <c r="H41" s="485"/>
      <c r="I41" s="482"/>
      <c r="J41" s="485"/>
      <c r="K41" s="783"/>
      <c r="L41" s="1143"/>
      <c r="M41" s="1131"/>
      <c r="N41" s="1131"/>
      <c r="O41" s="1144"/>
      <c r="P41" s="3170" t="str">
        <f>A41</f>
        <v>成交单价</v>
      </c>
      <c r="Q41" s="3170"/>
      <c r="R41" s="3201">
        <f>E41</f>
        <v>0</v>
      </c>
      <c r="S41" s="3201"/>
      <c r="T41" s="3201">
        <f>G41</f>
        <v>0</v>
      </c>
      <c r="U41" s="3201"/>
      <c r="V41" s="3201">
        <f>I41</f>
        <v>0</v>
      </c>
      <c r="W41" s="3201"/>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0" t="str">
        <f>A42</f>
        <v>比较价值（元/平方米）</v>
      </c>
      <c r="Q42" s="3170"/>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167" t="str">
        <f>A43</f>
        <v>估价对象XX用房的比较价值（楼面单价，元/平方米）</v>
      </c>
      <c r="Q43" s="3168"/>
      <c r="R43" s="3230" t="e">
        <f>ROUND(AVERAGE(R42:V42),0)</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185" t="s">
        <v>2762</v>
      </c>
      <c r="H50" s="3231"/>
      <c r="I50" s="1812" t="s">
        <v>2799</v>
      </c>
      <c r="J50" s="1812">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33499</v>
      </c>
      <c r="F51" s="691" t="e">
        <f t="shared" ref="F51:F60" si="15">ROUND(B51*E51/10000,0)</f>
        <v>#DIV/0!</v>
      </c>
      <c r="G51" s="3181"/>
      <c r="H51" s="3170"/>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32"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32"/>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32"/>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32"/>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7"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六级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六级</v>
      </c>
      <c r="I60" s="942">
        <f>SUMIF(修正!A45:A56,H60,修正!H45:H56)</f>
        <v>0.2</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6"/>
      <c r="N66" s="1566"/>
      <c r="O66" s="1567"/>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2816</v>
      </c>
      <c r="B3" s="248" t="e">
        <f>ROUND(B2*10000/D1,0)</f>
        <v>#DIV/0!</v>
      </c>
      <c r="C3" s="2719" t="s">
        <v>2817</v>
      </c>
      <c r="D3" s="2720" t="s">
        <v>2818</v>
      </c>
      <c r="E3" s="2725"/>
      <c r="F3" s="2726" t="s">
        <v>2819</v>
      </c>
      <c r="G3" s="916" t="e">
        <f>IF(F3="宗地容积率",'数据-汇总表'!I4,IF(F3="估价对象容积率",'数据-汇总表'!I6,'数据-汇总表'!I7))</f>
        <v>#DIV/0!</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40"/>
      <c r="B4" s="3241"/>
      <c r="C4" s="3241"/>
      <c r="D4" s="3242"/>
      <c r="E4" s="3242"/>
      <c r="F4" s="3242"/>
      <c r="G4" s="3242"/>
      <c r="H4" s="3242"/>
      <c r="I4" s="3242"/>
      <c r="J4" s="3243"/>
      <c r="K4" s="1370"/>
      <c r="L4" s="2724" t="s">
        <v>2823</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6" thickBot="1">
      <c r="A5" s="2727" t="s">
        <v>807</v>
      </c>
      <c r="B5" s="2728" t="s">
        <v>2824</v>
      </c>
      <c r="C5" s="917" t="e">
        <f>ROUND(IF(E2="商业",C6*C7+C16,(IF(E2="住宅",C6*C12+C16,C6+C16))),0)</f>
        <v>#DIV/0!</v>
      </c>
      <c r="D5" s="1785" t="e">
        <f>ROUND(C6+C16,0)</f>
        <v>#DIV/0!</v>
      </c>
      <c r="E5" s="1785"/>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0"/>
      <c r="L6" s="2724" t="s">
        <v>2829</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44" t="str">
        <f>IF(E2="商业",IF(C8="不临58条商业街","",2),"")</f>
        <v/>
      </c>
      <c r="B7" s="2743" t="s">
        <v>2830</v>
      </c>
      <c r="C7" s="919" t="e">
        <f>IF(C8="不临58条商业街",1,ROUND(1+(1.6*E8+1.2*E9+0.8*E10+0.4*E11)*C9,4))</f>
        <v>#DIV/0!</v>
      </c>
      <c r="D7" s="2744" t="s">
        <v>2831</v>
      </c>
      <c r="E7" s="945"/>
      <c r="F7" s="2745"/>
      <c r="G7" s="2746"/>
      <c r="H7" s="2746"/>
      <c r="I7" s="2746"/>
      <c r="J7" s="2747"/>
      <c r="K7" s="1840"/>
      <c r="L7" s="2724" t="s">
        <v>2832</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2833</v>
      </c>
      <c r="X7" s="1602">
        <f>G2</f>
        <v>0</v>
      </c>
      <c r="Y7" s="1602" t="s">
        <v>2834</v>
      </c>
      <c r="Z7" s="1603" t="e">
        <f>G3</f>
        <v>#DIV/0!</v>
      </c>
      <c r="AA7" s="1604"/>
      <c r="AB7" s="1604"/>
      <c r="AC7" s="1605"/>
      <c r="AD7" s="1606"/>
      <c r="AE7" s="1606"/>
      <c r="AF7" s="1606"/>
      <c r="AG7" s="1606"/>
      <c r="AH7" s="1606"/>
      <c r="AI7" s="1606"/>
      <c r="AJ7" s="1607"/>
    </row>
    <row r="8" spans="1:36" ht="15">
      <c r="A8" s="3245"/>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237" t="s">
        <v>2838</v>
      </c>
      <c r="X8" s="3238"/>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45"/>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239"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5"/>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23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45"/>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239"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44"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239"/>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46"/>
      <c r="B13" s="2762" t="s">
        <v>2869</v>
      </c>
      <c r="C13" s="2763" t="s">
        <v>2870</v>
      </c>
      <c r="D13" s="1806" t="s">
        <v>2871</v>
      </c>
      <c r="E13" s="1806" t="s">
        <v>2872</v>
      </c>
      <c r="F13" s="30" t="s">
        <v>2873</v>
      </c>
      <c r="G13" s="2764" t="s">
        <v>2874</v>
      </c>
      <c r="H13" s="2764" t="s">
        <v>2874</v>
      </c>
      <c r="I13" s="2764" t="s">
        <v>2874</v>
      </c>
      <c r="J13" s="2765" t="s">
        <v>2874</v>
      </c>
      <c r="K13" s="1370"/>
      <c r="L13" s="1370"/>
      <c r="M13" s="1370"/>
      <c r="N13" s="1370"/>
      <c r="O13" s="1370"/>
      <c r="P13" s="1370"/>
      <c r="Q13" s="1370"/>
      <c r="R13" s="1600">
        <v>12</v>
      </c>
      <c r="S13" s="1601"/>
      <c r="T13" s="1600" t="e">
        <f t="shared" si="0"/>
        <v>#DIV/0!</v>
      </c>
      <c r="U13" s="1601"/>
      <c r="V13" s="1600" t="e">
        <f t="shared" si="1"/>
        <v>#DIV/0!</v>
      </c>
      <c r="W13" s="323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46"/>
      <c r="B14" s="2766"/>
      <c r="C14" s="2767"/>
      <c r="D14" s="2768"/>
      <c r="E14" s="2768"/>
      <c r="F14" s="2769"/>
      <c r="G14" s="2770" t="s">
        <v>2875</v>
      </c>
      <c r="H14" s="2771"/>
      <c r="I14" s="2772"/>
      <c r="J14" s="2773"/>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47"/>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44" t="s">
        <v>2881</v>
      </c>
      <c r="B16" s="2743" t="s">
        <v>2882</v>
      </c>
      <c r="C16" s="2930" t="e">
        <f>ROUND(IF(F17="与级别开发程度一致",0,(G17-E17)/C17),0)</f>
        <v>#DIV/0!</v>
      </c>
      <c r="D16" s="3258" t="s">
        <v>2886</v>
      </c>
      <c r="E16" s="3259"/>
      <c r="F16" s="3258" t="s">
        <v>2883</v>
      </c>
      <c r="G16" s="3259"/>
      <c r="H16" s="2777"/>
      <c r="I16" s="2777"/>
      <c r="J16" s="2934"/>
      <c r="K16" s="2777"/>
      <c r="L16" s="2777"/>
      <c r="M16" s="2777"/>
      <c r="N16" s="2777"/>
      <c r="O16" s="2778"/>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248"/>
      <c r="B17" s="2941" t="s">
        <v>2885</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808</v>
      </c>
      <c r="B18" s="2936" t="s">
        <v>2888</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ROUND(IF(H19="按公示增长率计算",SUMPRODUCT((地价!A3:A29=YEAR(G19)&amp;"-"&amp;ROUNDUP(MONTH(G19)/3,0))*(地价!X2:AB2=E2)*(地价!X3:AB29)),IF(H19="地价指数",M20/M19,(1+I19)^O19)),4)</f>
        <v>#VALUE!</v>
      </c>
      <c r="D19" s="2787" t="s">
        <v>2890</v>
      </c>
      <c r="E19" s="925">
        <v>41640</v>
      </c>
      <c r="F19" s="2787" t="s">
        <v>2891</v>
      </c>
      <c r="G19" s="926">
        <f>'数据-取费表'!B2</f>
        <v>43918</v>
      </c>
      <c r="H19" s="2788"/>
      <c r="I19" s="927" t="str">
        <f>IF(H19="季度增幅（自定义）",SUMIF(N21:N24,E2,O21:O24),"")</f>
        <v/>
      </c>
      <c r="J19" s="2785"/>
      <c r="K19" s="1377"/>
      <c r="L19" s="2789" t="s">
        <v>2892</v>
      </c>
      <c r="M19" s="1732">
        <f>ROUND(SUMIF(地价!B2:F2,E2,地价!B29:F29),0)</f>
        <v>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2894</v>
      </c>
      <c r="C20" s="929" t="e">
        <f>ROUND(POWER(1+G20,J20-I20)*(POWER(1+G20,I20)-1)/(POWER(1+G20,J20)-1),4)</f>
        <v>#DIV/0!</v>
      </c>
      <c r="D20" s="2796" t="s">
        <v>2895</v>
      </c>
      <c r="E20" s="1766">
        <f ca="1">存贷款利率!D4/100</f>
        <v>4.3499999999999997E-2</v>
      </c>
      <c r="F20" s="2796" t="s">
        <v>2887</v>
      </c>
      <c r="G20" s="934">
        <f>SUMIF(M26:P26,E2,M28:P28)</f>
        <v>0</v>
      </c>
      <c r="H20" s="2796" t="s">
        <v>2896</v>
      </c>
      <c r="I20" s="935" t="e">
        <f>SUMIF('数据-取费表'!C6:C15,E2,'数据-取费表'!F6:F15)/COUNTIF('数据-取费表'!C6:C15,E2)</f>
        <v>#DIV/0!</v>
      </c>
      <c r="J20" s="936">
        <f>IF(E2="住宅",70,IF(E2="商业",40,50))</f>
        <v>50</v>
      </c>
      <c r="K20" s="1377"/>
      <c r="L20" s="2797" t="s">
        <v>2897</v>
      </c>
      <c r="M20" s="1733">
        <f>ROUND(SUMPRODUCT((地价!A4:A29=YEAR(G19)&amp;"-"&amp;ROUNDUP(MONTH(G19)/3,0))*(地价!B2:F2=E2)*(地价!B4:F29)),0)</f>
        <v>0</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2901</v>
      </c>
      <c r="C21" s="937" t="e">
        <f>IF(B21="容积率修正",IF(G3&lt;=10,D22,J22),C23)</f>
        <v>#DIV/0!</v>
      </c>
      <c r="D21" s="2803"/>
      <c r="E21" s="2803"/>
      <c r="F21" s="2803"/>
      <c r="G21" s="2803"/>
      <c r="H21" s="2803"/>
      <c r="I21" s="2803"/>
      <c r="J21" s="2804"/>
      <c r="K21" s="1377"/>
      <c r="N21" s="2805" t="s">
        <v>2902</v>
      </c>
      <c r="O21" s="1560"/>
      <c r="P21" s="1561">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4">
      <c r="A22" s="2662" t="s">
        <v>2903</v>
      </c>
      <c r="B22" s="2806" t="s">
        <v>2904</v>
      </c>
      <c r="C22" s="1808" t="s">
        <v>2905</v>
      </c>
      <c r="D22" s="1808" t="e">
        <f>IF(E22=G22,F22,IF(G3&lt;=10,ROUND(F22+(H22-F22)*(G3-E22)/(G22-E22),4),"——"))</f>
        <v>#DIV/0!</v>
      </c>
      <c r="E22" s="916"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05" t="s">
        <v>2906</v>
      </c>
      <c r="O22" s="1560"/>
      <c r="P22" s="1561">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2" t="s">
        <v>2907</v>
      </c>
      <c r="B23" s="2807" t="s">
        <v>2908</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2909</v>
      </c>
      <c r="O23" s="1560"/>
      <c r="P23" s="1561">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2910</v>
      </c>
      <c r="C24" s="924">
        <f>SUMIF(A45:A88,E2,B45:B88)</f>
        <v>0</v>
      </c>
      <c r="D24" s="2784"/>
      <c r="E24" s="2813"/>
      <c r="F24" s="2813"/>
      <c r="G24" s="2813"/>
      <c r="H24" s="2813"/>
      <c r="I24" s="2813"/>
      <c r="J24" s="2814"/>
      <c r="K24" s="1377"/>
      <c r="N24" s="2815" t="s">
        <v>2911</v>
      </c>
      <c r="O24" s="1562"/>
      <c r="P24" s="1563">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2912</v>
      </c>
      <c r="C25" s="930"/>
      <c r="D25" s="2746"/>
      <c r="E25" s="2746"/>
      <c r="F25" s="2817"/>
      <c r="G25" s="2746"/>
      <c r="H25" s="2746"/>
      <c r="I25" s="2746"/>
      <c r="J25" s="2747"/>
      <c r="K25" s="1370"/>
      <c r="N25" s="2818" t="s">
        <v>2913</v>
      </c>
      <c r="O25" s="1564"/>
      <c r="P25" s="1563">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19"/>
      <c r="B26" s="2806" t="s">
        <v>2914</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2915</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2916</v>
      </c>
      <c r="C28" s="2830" t="s">
        <v>2917</v>
      </c>
      <c r="D28" s="2830" t="s">
        <v>2918</v>
      </c>
      <c r="E28" s="2831" t="s">
        <v>2919</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2920</v>
      </c>
      <c r="C29" s="206" t="e">
        <f>ROUND(C5*C18*C19*C20*C21*C24,0)</f>
        <v>#DIV/0!</v>
      </c>
      <c r="D29" s="2835"/>
      <c r="E29" s="942" t="e">
        <f>ROUND(C29*D29/10000,0)</f>
        <v>#DIV/0!</v>
      </c>
      <c r="F29" s="2836" t="s">
        <v>2921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2922</v>
      </c>
      <c r="C30" s="229" t="e">
        <f>ROUND(IF(E2="工业",C29*M39,C29*M38),0)</f>
        <v>#DIV/0!</v>
      </c>
      <c r="D30" s="2841"/>
      <c r="E30" s="942" t="e">
        <f>ROUND(C30*D30/10000,0)</f>
        <v>#DIV/0!</v>
      </c>
      <c r="F30" s="2842" t="s">
        <v>2923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2924</v>
      </c>
      <c r="C31" s="2847" t="s">
        <v>2925</v>
      </c>
      <c r="D31" s="2759"/>
      <c r="E31" s="2847"/>
      <c r="F31" s="2847"/>
      <c r="G31" s="2757" t="s">
        <v>2926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2917</v>
      </c>
      <c r="D32" s="498" t="s">
        <v>2918</v>
      </c>
      <c r="E32" s="498" t="s">
        <v>2919</v>
      </c>
      <c r="F32" s="388" t="s">
        <v>2927</v>
      </c>
      <c r="G32" s="2850" t="s">
        <v>2917</v>
      </c>
      <c r="H32" s="2850" t="s">
        <v>2918</v>
      </c>
      <c r="I32" s="2850"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5" t="s">
        <v>2928</v>
      </c>
      <c r="B33" s="2851" t="s">
        <v>2929</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56"/>
      <c r="B34" s="2763" t="s">
        <v>2930</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6"/>
      <c r="B35" s="2763" t="s">
        <v>2931</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257"/>
      <c r="B36" s="2763" t="s">
        <v>2932</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2933</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2934</v>
      </c>
      <c r="M37" s="2855"/>
      <c r="N37" s="1370"/>
      <c r="O37" s="1370"/>
      <c r="P37" s="1370"/>
      <c r="Q37" s="1370"/>
      <c r="R37" s="1370"/>
      <c r="S37" s="1370"/>
      <c r="T37" s="1370"/>
      <c r="U37" s="1370"/>
      <c r="V37" s="1370"/>
      <c r="W37" s="1370"/>
      <c r="X37" s="1370"/>
      <c r="Y37" s="1370"/>
      <c r="Z37" s="1371"/>
    </row>
    <row r="38" spans="1:37">
      <c r="A38" s="2853"/>
      <c r="B38" s="2763" t="s">
        <v>2935</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5" t="s">
        <v>2936</v>
      </c>
      <c r="M38" s="2856">
        <v>0.25</v>
      </c>
      <c r="N38" s="1370"/>
      <c r="O38" s="1370"/>
      <c r="P38" s="1370"/>
      <c r="Q38" s="1370"/>
      <c r="R38" s="1370"/>
      <c r="S38" s="1370"/>
      <c r="T38" s="1370"/>
      <c r="U38" s="1370"/>
      <c r="V38" s="1370"/>
      <c r="W38" s="1370"/>
      <c r="X38" s="1370"/>
      <c r="Y38" s="1370"/>
      <c r="Z38" s="1371"/>
    </row>
    <row r="39" spans="1:37" ht="13.8" thickBot="1">
      <c r="A39" s="2839"/>
      <c r="B39" s="2857" t="s">
        <v>2937</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3045</v>
      </c>
      <c r="C41" s="388" t="e">
        <f>ROUND(POWER(1+E41,H41-G41)*(POWER(1+E41,G41)-1)/(POWER(1+E41,H41)-1),4)</f>
        <v>#DIV/0!</v>
      </c>
      <c r="D41" s="200" t="s">
        <v>2887</v>
      </c>
      <c r="E41" s="2927">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2939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2940</v>
      </c>
      <c r="B47" s="1807" t="s">
        <v>2941</v>
      </c>
      <c r="C47" s="1807" t="s">
        <v>2942</v>
      </c>
      <c r="D47" s="1807" t="s">
        <v>2943</v>
      </c>
      <c r="E47" s="819" t="s">
        <v>2944</v>
      </c>
      <c r="F47" s="2869" t="s">
        <v>2945</v>
      </c>
      <c r="G47" s="1807" t="s">
        <v>754</v>
      </c>
      <c r="H47" s="2870" t="s">
        <v>2946</v>
      </c>
      <c r="I47" s="1807"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2948</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2949</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2950</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2951</v>
      </c>
      <c r="B51" s="2873" t="s">
        <v>2952</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2953</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2954</v>
      </c>
      <c r="B53" s="2874" t="s">
        <v>2955</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2956</v>
      </c>
      <c r="B54" s="1723"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2957</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2958</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2959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2940</v>
      </c>
      <c r="B58" s="1807"/>
      <c r="C58" s="1807" t="s">
        <v>2942</v>
      </c>
      <c r="D58" s="1807" t="s">
        <v>2943</v>
      </c>
      <c r="E58" s="819" t="s">
        <v>2944</v>
      </c>
      <c r="F58" s="2869" t="s">
        <v>2960</v>
      </c>
      <c r="G58" s="1807" t="s">
        <v>754</v>
      </c>
      <c r="H58" s="2870" t="s">
        <v>2946</v>
      </c>
      <c r="I58" s="1807"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2961</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2949</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2950</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2951</v>
      </c>
      <c r="B62" s="2873" t="s">
        <v>2952</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2953</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2954</v>
      </c>
      <c r="B64" s="2874" t="s">
        <v>2955</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2956</v>
      </c>
      <c r="B65" s="1723"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2957</v>
      </c>
      <c r="B66" s="1723"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2958</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2940</v>
      </c>
      <c r="B69" s="1807"/>
      <c r="C69" s="1807" t="s">
        <v>2942</v>
      </c>
      <c r="D69" s="1807" t="s">
        <v>2943</v>
      </c>
      <c r="E69" s="819" t="s">
        <v>2944</v>
      </c>
      <c r="F69" s="2869" t="s">
        <v>2960</v>
      </c>
      <c r="G69" s="1807" t="s">
        <v>754</v>
      </c>
      <c r="H69" s="2870" t="s">
        <v>2946</v>
      </c>
      <c r="I69" s="1807"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2963</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2949</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2950</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2964</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2956</v>
      </c>
      <c r="B74" s="1723"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2957</v>
      </c>
      <c r="B75" s="1723"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2954</v>
      </c>
      <c r="B76" s="2874" t="s">
        <v>2955</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2958</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2965</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2966</v>
      </c>
      <c r="B79" s="2865">
        <f>1+E81</f>
        <v>1</v>
      </c>
      <c r="C79" s="814"/>
      <c r="D79" s="814"/>
      <c r="E79" s="815"/>
      <c r="F79" s="2867"/>
      <c r="G79" s="6"/>
      <c r="H79" s="6"/>
      <c r="I79" s="6"/>
      <c r="J79" s="7"/>
      <c r="K79" s="7"/>
      <c r="L79" s="7"/>
      <c r="M79" s="7"/>
      <c r="N79" s="7"/>
      <c r="Z79" s="2718"/>
      <c r="AA79" s="2786"/>
      <c r="AG79" s="1372"/>
      <c r="AK79" s="2786"/>
    </row>
    <row r="80" spans="1:37" ht="25.2">
      <c r="A80" s="2868" t="s">
        <v>2940</v>
      </c>
      <c r="B80" s="1807"/>
      <c r="C80" s="1807" t="s">
        <v>2942</v>
      </c>
      <c r="D80" s="1807" t="s">
        <v>2943</v>
      </c>
      <c r="E80" s="819" t="s">
        <v>2944</v>
      </c>
      <c r="F80" s="2869" t="s">
        <v>2960</v>
      </c>
      <c r="G80" s="1807" t="s">
        <v>754</v>
      </c>
      <c r="H80" s="2870" t="s">
        <v>2946</v>
      </c>
      <c r="I80" s="1807" t="s">
        <v>2947</v>
      </c>
      <c r="J80" s="603" t="s">
        <v>2595</v>
      </c>
      <c r="K80" s="603" t="s">
        <v>2596</v>
      </c>
      <c r="L80" s="603" t="s">
        <v>2597</v>
      </c>
      <c r="M80" s="603" t="s">
        <v>2598</v>
      </c>
      <c r="N80" s="603" t="s">
        <v>2599</v>
      </c>
      <c r="Z80" s="2718"/>
      <c r="AA80" s="2786"/>
      <c r="AG80" s="1372"/>
      <c r="AK80" s="2786"/>
    </row>
    <row r="81" spans="1:37" ht="39.6">
      <c r="A81" s="2868" t="s">
        <v>2967</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2949</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2950</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2964</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2956</v>
      </c>
      <c r="B85" s="1723"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2957</v>
      </c>
      <c r="B86" s="1723"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2954</v>
      </c>
      <c r="B87" s="2874" t="s">
        <v>2968</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2969</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49" t="s">
        <v>2970</v>
      </c>
      <c r="B90" s="3249"/>
      <c r="C90" s="3249"/>
      <c r="D90" s="3249"/>
      <c r="E90" s="3249"/>
      <c r="F90" s="3249"/>
      <c r="G90" s="3249"/>
      <c r="H90" s="3249"/>
      <c r="I90" s="3249"/>
      <c r="J90" s="3249"/>
      <c r="K90" s="2882"/>
      <c r="L90" s="2882"/>
      <c r="M90" s="2882"/>
      <c r="N90" s="2882"/>
    </row>
    <row r="91" spans="1:37">
      <c r="A91" s="3251" t="s">
        <v>2971</v>
      </c>
      <c r="B91" s="3251" t="s">
        <v>2972</v>
      </c>
      <c r="C91" s="2836" t="s">
        <v>2973</v>
      </c>
      <c r="D91" s="2837"/>
      <c r="E91" s="2837"/>
      <c r="F91" s="2837"/>
      <c r="G91" s="2837"/>
      <c r="H91" s="2837"/>
      <c r="I91" s="2837"/>
      <c r="J91" s="2883"/>
      <c r="K91" s="2884"/>
      <c r="L91" s="2884"/>
      <c r="M91" s="2884"/>
      <c r="N91" s="2884"/>
    </row>
    <row r="92" spans="1:37">
      <c r="A92" s="3251"/>
      <c r="B92" s="3251"/>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2"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3"/>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2" t="s">
        <v>2975</v>
      </c>
      <c r="B101" s="2889" t="s">
        <v>2976</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53"/>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53"/>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53"/>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53"/>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53"/>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53"/>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53"/>
      <c r="B108" s="3110"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4"/>
      <c r="B109" s="3111"/>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50" t="s">
        <v>2978</v>
      </c>
      <c r="B110" s="3250"/>
      <c r="C110" s="3250"/>
      <c r="D110" s="3250"/>
      <c r="E110" s="3250"/>
      <c r="F110" s="3250"/>
      <c r="G110" s="3250"/>
      <c r="H110" s="3250"/>
      <c r="I110" s="3250"/>
      <c r="J110" s="3250"/>
      <c r="K110" s="2891"/>
      <c r="L110" s="2891"/>
      <c r="M110" s="2891"/>
      <c r="N110" s="2891"/>
    </row>
    <row r="112" spans="1:14" ht="13.8" thickBot="1"/>
    <row r="113" spans="1:13" ht="25.8" thickBot="1">
      <c r="A113" s="903" t="s">
        <v>2979</v>
      </c>
      <c r="B113" s="1287" t="e">
        <f>G3</f>
        <v>#DIV/0!</v>
      </c>
      <c r="C113" s="904" t="s">
        <v>2980</v>
      </c>
      <c r="D113" s="905" t="e">
        <f>SUMPRODUCT((A115:A118=F113)*(B114:M114=H113)*B115:M118)</f>
        <v>#DIV/0!</v>
      </c>
      <c r="E113" s="2722" t="s">
        <v>2812</v>
      </c>
      <c r="F113" s="2893">
        <f>E2</f>
        <v>0</v>
      </c>
      <c r="G113" s="2722" t="s">
        <v>2813</v>
      </c>
      <c r="H113" s="2893">
        <f>G2</f>
        <v>0</v>
      </c>
      <c r="I113" s="2722"/>
      <c r="J113" s="2894"/>
      <c r="K113" s="2894"/>
      <c r="L113" s="2894"/>
      <c r="M113" s="2894"/>
    </row>
    <row r="114" spans="1:13">
      <c r="A114" s="908"/>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0" t="s">
        <v>183</v>
      </c>
      <c r="B18" s="882" t="s">
        <v>560</v>
      </c>
      <c r="C18" s="883" t="s">
        <v>561</v>
      </c>
      <c r="D18" s="884"/>
      <c r="E18" s="882">
        <v>1</v>
      </c>
      <c r="F18" s="885" t="s">
        <v>562</v>
      </c>
      <c r="G18" s="886"/>
      <c r="H18" s="878"/>
      <c r="I18" s="878"/>
    </row>
    <row r="19" spans="1:9" s="887" customFormat="1" ht="19.5" customHeight="1">
      <c r="A19" s="3260"/>
      <c r="B19" s="3260" t="s">
        <v>563</v>
      </c>
      <c r="C19" s="883" t="s">
        <v>564</v>
      </c>
      <c r="D19" s="884"/>
      <c r="E19" s="882">
        <v>0.9</v>
      </c>
      <c r="F19" s="885" t="s">
        <v>565</v>
      </c>
      <c r="G19" s="886"/>
      <c r="H19" s="878"/>
      <c r="I19" s="878"/>
    </row>
    <row r="20" spans="1:9" s="887" customFormat="1" ht="19.5" customHeight="1">
      <c r="A20" s="3260"/>
      <c r="B20" s="3260"/>
      <c r="C20" s="883" t="s">
        <v>566</v>
      </c>
      <c r="D20" s="884"/>
      <c r="E20" s="882">
        <v>1.1000000000000001</v>
      </c>
      <c r="F20" s="885" t="s">
        <v>567</v>
      </c>
      <c r="G20" s="886"/>
      <c r="H20" s="878"/>
      <c r="I20" s="878"/>
    </row>
    <row r="21" spans="1:9" s="887" customFormat="1" ht="19.5" customHeight="1">
      <c r="A21" s="3260"/>
      <c r="B21" s="3260"/>
      <c r="C21" s="883" t="s">
        <v>568</v>
      </c>
      <c r="D21" s="884"/>
      <c r="E21" s="882">
        <v>0.8</v>
      </c>
      <c r="F21" s="885" t="s">
        <v>569</v>
      </c>
      <c r="G21" s="886"/>
      <c r="H21" s="878"/>
      <c r="I21" s="878"/>
    </row>
    <row r="22" spans="1:9" s="887" customFormat="1" ht="19.5" customHeight="1">
      <c r="A22" s="3260"/>
      <c r="B22" s="3260"/>
      <c r="C22" s="883" t="s">
        <v>570</v>
      </c>
      <c r="D22" s="884"/>
      <c r="E22" s="882">
        <v>0.5</v>
      </c>
      <c r="F22" s="885"/>
      <c r="G22" s="886"/>
      <c r="H22" s="878"/>
      <c r="I22" s="878"/>
    </row>
    <row r="23" spans="1:9" s="887" customFormat="1" ht="19.5" customHeight="1">
      <c r="A23" s="3260" t="s">
        <v>184</v>
      </c>
      <c r="B23" s="882" t="s">
        <v>560</v>
      </c>
      <c r="C23" s="883" t="s">
        <v>571</v>
      </c>
      <c r="D23" s="884"/>
      <c r="E23" s="882">
        <v>1</v>
      </c>
      <c r="F23" s="885" t="s">
        <v>572</v>
      </c>
      <c r="G23" s="886"/>
      <c r="H23" s="878"/>
      <c r="I23" s="878"/>
    </row>
    <row r="24" spans="1:9" s="887" customFormat="1" ht="19.5" customHeight="1">
      <c r="A24" s="3260"/>
      <c r="B24" s="3260" t="s">
        <v>563</v>
      </c>
      <c r="C24" s="883" t="s">
        <v>573</v>
      </c>
      <c r="D24" s="884"/>
      <c r="E24" s="882">
        <v>0.5</v>
      </c>
      <c r="F24" s="885"/>
      <c r="G24" s="886"/>
      <c r="H24" s="878"/>
      <c r="I24" s="878"/>
    </row>
    <row r="25" spans="1:9" s="887" customFormat="1" ht="19.5" customHeight="1">
      <c r="A25" s="3260"/>
      <c r="B25" s="3260"/>
      <c r="C25" s="883" t="s">
        <v>574</v>
      </c>
      <c r="D25" s="884"/>
      <c r="E25" s="882">
        <v>1.1000000000000001</v>
      </c>
      <c r="F25" s="885"/>
      <c r="G25" s="886"/>
      <c r="H25" s="878"/>
      <c r="I25" s="878"/>
    </row>
    <row r="26" spans="1:9" s="887" customFormat="1" ht="19.5" customHeight="1">
      <c r="A26" s="3260"/>
      <c r="B26" s="3260"/>
      <c r="C26" s="883" t="s">
        <v>575</v>
      </c>
      <c r="D26" s="884"/>
      <c r="E26" s="882">
        <v>1.1000000000000001</v>
      </c>
      <c r="F26" s="885"/>
      <c r="G26" s="886"/>
      <c r="H26" s="878"/>
      <c r="I26" s="878"/>
    </row>
    <row r="27" spans="1:9" s="887" customFormat="1" ht="19.5" customHeight="1">
      <c r="A27" s="3260"/>
      <c r="B27" s="3260"/>
      <c r="C27" s="883" t="s">
        <v>576</v>
      </c>
      <c r="D27" s="884"/>
      <c r="E27" s="882">
        <v>0.9</v>
      </c>
      <c r="F27" s="885" t="s">
        <v>577</v>
      </c>
      <c r="G27" s="886"/>
      <c r="H27" s="878"/>
      <c r="I27" s="878"/>
    </row>
    <row r="28" spans="1:9" s="887" customFormat="1" ht="19.5" customHeight="1">
      <c r="A28" s="3260"/>
      <c r="B28" s="3260"/>
      <c r="C28" s="883" t="s">
        <v>578</v>
      </c>
      <c r="D28" s="884"/>
      <c r="E28" s="882">
        <v>0.9</v>
      </c>
      <c r="F28" s="885" t="s">
        <v>579</v>
      </c>
      <c r="G28" s="886"/>
      <c r="H28" s="878"/>
      <c r="I28" s="878"/>
    </row>
    <row r="29" spans="1:9" s="887" customFormat="1" ht="19.5" customHeight="1">
      <c r="A29" s="3260"/>
      <c r="B29" s="3260"/>
      <c r="C29" s="883" t="s">
        <v>580</v>
      </c>
      <c r="D29" s="884"/>
      <c r="E29" s="882">
        <v>0.9</v>
      </c>
      <c r="F29" s="885" t="s">
        <v>581</v>
      </c>
      <c r="G29" s="886"/>
      <c r="H29" s="878"/>
      <c r="I29" s="878"/>
    </row>
    <row r="30" spans="1:9" s="887" customFormat="1" ht="19.5" customHeight="1">
      <c r="A30" s="3260"/>
      <c r="B30" s="3260"/>
      <c r="C30" s="883" t="s">
        <v>582</v>
      </c>
      <c r="D30" s="884"/>
      <c r="E30" s="882">
        <v>0.9</v>
      </c>
      <c r="F30" s="885" t="s">
        <v>583</v>
      </c>
      <c r="G30" s="886"/>
      <c r="H30" s="878"/>
      <c r="I30" s="878"/>
    </row>
    <row r="31" spans="1:9" s="887" customFormat="1" ht="19.5" customHeight="1">
      <c r="A31" s="3260"/>
      <c r="B31" s="3260"/>
      <c r="C31" s="883" t="s">
        <v>584</v>
      </c>
      <c r="D31" s="884"/>
      <c r="E31" s="882">
        <v>0.8</v>
      </c>
      <c r="F31" s="885" t="s">
        <v>585</v>
      </c>
      <c r="G31" s="886"/>
      <c r="H31" s="878"/>
      <c r="I31" s="878"/>
    </row>
    <row r="32" spans="1:9" s="887" customFormat="1" ht="19.5" customHeight="1">
      <c r="A32" s="3260"/>
      <c r="B32" s="3260"/>
      <c r="C32" s="883" t="s">
        <v>586</v>
      </c>
      <c r="D32" s="884"/>
      <c r="E32" s="882">
        <v>0.8</v>
      </c>
      <c r="F32" s="885" t="s">
        <v>587</v>
      </c>
      <c r="G32" s="886"/>
      <c r="H32" s="878"/>
      <c r="I32" s="878"/>
    </row>
    <row r="33" spans="1:9" s="887" customFormat="1" ht="19.5" customHeight="1">
      <c r="A33" s="3260" t="s">
        <v>185</v>
      </c>
      <c r="B33" s="882" t="s">
        <v>560</v>
      </c>
      <c r="C33" s="883" t="s">
        <v>588</v>
      </c>
      <c r="D33" s="884"/>
      <c r="E33" s="882">
        <v>1</v>
      </c>
      <c r="F33" s="885" t="s">
        <v>589</v>
      </c>
      <c r="G33" s="886"/>
      <c r="H33" s="878"/>
      <c r="I33" s="878"/>
    </row>
    <row r="34" spans="1:9" s="887" customFormat="1" ht="19.5" customHeight="1">
      <c r="A34" s="3260"/>
      <c r="B34" s="882" t="s">
        <v>563</v>
      </c>
      <c r="C34" s="883" t="s">
        <v>590</v>
      </c>
      <c r="D34" s="884"/>
      <c r="E34" s="882">
        <v>1.5</v>
      </c>
      <c r="F34" s="885" t="s">
        <v>591</v>
      </c>
      <c r="G34" s="886"/>
      <c r="H34" s="878"/>
      <c r="I34" s="878"/>
    </row>
    <row r="35" spans="1:9" s="887" customFormat="1" ht="19.5" customHeight="1">
      <c r="A35" s="3260" t="s">
        <v>186</v>
      </c>
      <c r="B35" s="882" t="s">
        <v>560</v>
      </c>
      <c r="C35" s="883" t="s">
        <v>592</v>
      </c>
      <c r="D35" s="884"/>
      <c r="E35" s="882">
        <v>1</v>
      </c>
      <c r="F35" s="885" t="s">
        <v>593</v>
      </c>
      <c r="G35" s="886"/>
      <c r="H35" s="878"/>
      <c r="I35" s="878"/>
    </row>
    <row r="36" spans="1:9" s="887" customFormat="1" ht="19.5" customHeight="1">
      <c r="A36" s="3260"/>
      <c r="B36" s="3260" t="s">
        <v>563</v>
      </c>
      <c r="C36" s="883" t="s">
        <v>594</v>
      </c>
      <c r="D36" s="884"/>
      <c r="E36" s="882">
        <v>1</v>
      </c>
      <c r="F36" s="885" t="s">
        <v>595</v>
      </c>
      <c r="G36" s="886"/>
      <c r="H36" s="878"/>
      <c r="I36" s="878"/>
    </row>
    <row r="37" spans="1:9" s="887" customFormat="1" ht="19.5" customHeight="1">
      <c r="A37" s="3260"/>
      <c r="B37" s="3260"/>
      <c r="C37" s="883" t="s">
        <v>596</v>
      </c>
      <c r="D37" s="884"/>
      <c r="E37" s="882">
        <v>1.5</v>
      </c>
      <c r="F37" s="885" t="s">
        <v>597</v>
      </c>
      <c r="G37" s="886"/>
      <c r="H37" s="878"/>
      <c r="I37" s="878"/>
    </row>
    <row r="38" spans="1:9" s="887" customFormat="1" ht="19.5" customHeight="1">
      <c r="A38" s="3260"/>
      <c r="B38" s="3260"/>
      <c r="C38" s="883" t="s">
        <v>598</v>
      </c>
      <c r="D38" s="884"/>
      <c r="E38" s="882">
        <v>1</v>
      </c>
      <c r="F38" s="885" t="s">
        <v>599</v>
      </c>
      <c r="G38" s="886"/>
      <c r="H38" s="878"/>
      <c r="I38" s="878"/>
    </row>
    <row r="39" spans="1:9" s="887" customFormat="1" ht="19.5" customHeight="1">
      <c r="A39" s="3260"/>
      <c r="B39" s="32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0" t="s">
        <v>614</v>
      </c>
      <c r="C61" s="818" t="s">
        <v>615</v>
      </c>
      <c r="D61" s="818" t="s">
        <v>616</v>
      </c>
      <c r="E61" s="895">
        <v>0.5</v>
      </c>
      <c r="F61" s="882">
        <v>80</v>
      </c>
    </row>
    <row r="62" spans="1:8" s="878" customFormat="1" ht="36">
      <c r="A62" s="882">
        <v>2</v>
      </c>
      <c r="B62" s="3260"/>
      <c r="C62" s="818" t="s">
        <v>617</v>
      </c>
      <c r="D62" s="818" t="s">
        <v>618</v>
      </c>
      <c r="E62" s="895">
        <v>0.5</v>
      </c>
      <c r="F62" s="882">
        <v>80</v>
      </c>
    </row>
    <row r="63" spans="1:8" s="878" customFormat="1" ht="48">
      <c r="A63" s="882">
        <v>3</v>
      </c>
      <c r="B63" s="3260"/>
      <c r="C63" s="818" t="s">
        <v>619</v>
      </c>
      <c r="D63" s="818" t="s">
        <v>620</v>
      </c>
      <c r="E63" s="895">
        <v>0.5</v>
      </c>
      <c r="F63" s="882">
        <v>80</v>
      </c>
    </row>
    <row r="64" spans="1:8" s="878" customFormat="1" ht="48">
      <c r="A64" s="882">
        <v>4</v>
      </c>
      <c r="B64" s="3260"/>
      <c r="C64" s="818" t="s">
        <v>621</v>
      </c>
      <c r="D64" s="818" t="s">
        <v>622</v>
      </c>
      <c r="E64" s="895">
        <v>0.4</v>
      </c>
      <c r="F64" s="882">
        <v>60</v>
      </c>
    </row>
    <row r="65" spans="1:6" s="878" customFormat="1" ht="48">
      <c r="A65" s="882">
        <v>5</v>
      </c>
      <c r="B65" s="3260"/>
      <c r="C65" s="818" t="s">
        <v>623</v>
      </c>
      <c r="D65" s="818" t="s">
        <v>624</v>
      </c>
      <c r="E65" s="895">
        <v>0.2</v>
      </c>
      <c r="F65" s="882">
        <v>30</v>
      </c>
    </row>
    <row r="66" spans="1:6" s="878" customFormat="1" ht="48">
      <c r="A66" s="882">
        <v>6</v>
      </c>
      <c r="B66" s="3260"/>
      <c r="C66" s="818" t="s">
        <v>625</v>
      </c>
      <c r="D66" s="818" t="s">
        <v>626</v>
      </c>
      <c r="E66" s="895">
        <v>0.3</v>
      </c>
      <c r="F66" s="882">
        <v>50</v>
      </c>
    </row>
    <row r="67" spans="1:6" s="878" customFormat="1" ht="48">
      <c r="A67" s="882">
        <v>7</v>
      </c>
      <c r="B67" s="3260"/>
      <c r="C67" s="818" t="s">
        <v>627</v>
      </c>
      <c r="D67" s="818" t="s">
        <v>628</v>
      </c>
      <c r="E67" s="895">
        <v>0.2</v>
      </c>
      <c r="F67" s="882">
        <v>30</v>
      </c>
    </row>
    <row r="68" spans="1:6" s="878" customFormat="1" ht="48">
      <c r="A68" s="882">
        <v>8</v>
      </c>
      <c r="B68" s="3260"/>
      <c r="C68" s="818" t="s">
        <v>629</v>
      </c>
      <c r="D68" s="818" t="s">
        <v>630</v>
      </c>
      <c r="E68" s="895">
        <v>0.2</v>
      </c>
      <c r="F68" s="882">
        <v>30</v>
      </c>
    </row>
    <row r="69" spans="1:6" s="878" customFormat="1" ht="48">
      <c r="A69" s="882">
        <v>9</v>
      </c>
      <c r="B69" s="3260"/>
      <c r="C69" s="818" t="s">
        <v>631</v>
      </c>
      <c r="D69" s="818" t="s">
        <v>632</v>
      </c>
      <c r="E69" s="895">
        <v>0.2</v>
      </c>
      <c r="F69" s="882">
        <v>30</v>
      </c>
    </row>
    <row r="70" spans="1:6" s="878" customFormat="1" ht="60">
      <c r="A70" s="882">
        <v>10</v>
      </c>
      <c r="B70" s="3260"/>
      <c r="C70" s="818" t="s">
        <v>633</v>
      </c>
      <c r="D70" s="818" t="s">
        <v>634</v>
      </c>
      <c r="E70" s="895">
        <v>0.2</v>
      </c>
      <c r="F70" s="882">
        <v>30</v>
      </c>
    </row>
    <row r="71" spans="1:6" s="878" customFormat="1" ht="60">
      <c r="A71" s="882">
        <v>11</v>
      </c>
      <c r="B71" s="3260"/>
      <c r="C71" s="818" t="s">
        <v>635</v>
      </c>
      <c r="D71" s="818" t="s">
        <v>636</v>
      </c>
      <c r="E71" s="895">
        <v>0.2</v>
      </c>
      <c r="F71" s="882">
        <v>30</v>
      </c>
    </row>
    <row r="72" spans="1:6" s="878" customFormat="1" ht="36">
      <c r="A72" s="882">
        <v>12</v>
      </c>
      <c r="B72" s="3260"/>
      <c r="C72" s="818" t="s">
        <v>637</v>
      </c>
      <c r="D72" s="818" t="s">
        <v>638</v>
      </c>
      <c r="E72" s="895">
        <v>0.5</v>
      </c>
      <c r="F72" s="882">
        <v>80</v>
      </c>
    </row>
    <row r="73" spans="1:6" s="878" customFormat="1" ht="36">
      <c r="A73" s="882">
        <v>13</v>
      </c>
      <c r="B73" s="3260"/>
      <c r="C73" s="818" t="s">
        <v>639</v>
      </c>
      <c r="D73" s="818" t="s">
        <v>640</v>
      </c>
      <c r="E73" s="895">
        <v>0.4</v>
      </c>
      <c r="F73" s="882">
        <v>60</v>
      </c>
    </row>
    <row r="74" spans="1:6" s="878" customFormat="1" ht="36">
      <c r="A74" s="882">
        <v>14</v>
      </c>
      <c r="B74" s="3260"/>
      <c r="C74" s="818" t="s">
        <v>641</v>
      </c>
      <c r="D74" s="818" t="s">
        <v>642</v>
      </c>
      <c r="E74" s="895">
        <v>0.2</v>
      </c>
      <c r="F74" s="882">
        <v>30</v>
      </c>
    </row>
    <row r="75" spans="1:6" s="878" customFormat="1" ht="36">
      <c r="A75" s="882">
        <v>15</v>
      </c>
      <c r="B75" s="3260"/>
      <c r="C75" s="818" t="s">
        <v>643</v>
      </c>
      <c r="D75" s="818" t="s">
        <v>644</v>
      </c>
      <c r="E75" s="895">
        <v>0.2</v>
      </c>
      <c r="F75" s="882">
        <v>30</v>
      </c>
    </row>
    <row r="76" spans="1:6" s="878" customFormat="1" ht="36">
      <c r="A76" s="882">
        <v>16</v>
      </c>
      <c r="B76" s="3260" t="s">
        <v>645</v>
      </c>
      <c r="C76" s="818" t="s">
        <v>646</v>
      </c>
      <c r="D76" s="818" t="s">
        <v>647</v>
      </c>
      <c r="E76" s="895">
        <v>0.5</v>
      </c>
      <c r="F76" s="882">
        <v>80</v>
      </c>
    </row>
    <row r="77" spans="1:6" s="878" customFormat="1" ht="36">
      <c r="A77" s="882">
        <v>17</v>
      </c>
      <c r="B77" s="3260"/>
      <c r="C77" s="818" t="s">
        <v>648</v>
      </c>
      <c r="D77" s="818" t="s">
        <v>649</v>
      </c>
      <c r="E77" s="895">
        <v>0.5</v>
      </c>
      <c r="F77" s="882">
        <v>80</v>
      </c>
    </row>
    <row r="78" spans="1:6" s="878" customFormat="1" ht="36">
      <c r="A78" s="882">
        <v>18</v>
      </c>
      <c r="B78" s="3260"/>
      <c r="C78" s="818" t="s">
        <v>650</v>
      </c>
      <c r="D78" s="818" t="s">
        <v>651</v>
      </c>
      <c r="E78" s="895">
        <v>0.2</v>
      </c>
      <c r="F78" s="882">
        <v>30</v>
      </c>
    </row>
    <row r="79" spans="1:6" s="878" customFormat="1" ht="36">
      <c r="A79" s="882">
        <v>19</v>
      </c>
      <c r="B79" s="3260"/>
      <c r="C79" s="818" t="s">
        <v>652</v>
      </c>
      <c r="D79" s="818" t="s">
        <v>653</v>
      </c>
      <c r="E79" s="895">
        <v>0.5</v>
      </c>
      <c r="F79" s="882">
        <v>80</v>
      </c>
    </row>
    <row r="80" spans="1:6" s="878" customFormat="1" ht="36">
      <c r="A80" s="882">
        <v>20</v>
      </c>
      <c r="B80" s="3260"/>
      <c r="C80" s="818" t="s">
        <v>654</v>
      </c>
      <c r="D80" s="818" t="s">
        <v>655</v>
      </c>
      <c r="E80" s="895">
        <v>0.2</v>
      </c>
      <c r="F80" s="882">
        <v>30</v>
      </c>
    </row>
    <row r="81" spans="1:6" s="878" customFormat="1" ht="36">
      <c r="A81" s="882">
        <v>21</v>
      </c>
      <c r="B81" s="3260"/>
      <c r="C81" s="818" t="s">
        <v>656</v>
      </c>
      <c r="D81" s="818" t="s">
        <v>657</v>
      </c>
      <c r="E81" s="895">
        <v>0.2</v>
      </c>
      <c r="F81" s="882">
        <v>30</v>
      </c>
    </row>
    <row r="82" spans="1:6" s="878" customFormat="1" ht="60">
      <c r="A82" s="882">
        <v>22</v>
      </c>
      <c r="B82" s="3260"/>
      <c r="C82" s="818" t="s">
        <v>658</v>
      </c>
      <c r="D82" s="818" t="s">
        <v>659</v>
      </c>
      <c r="E82" s="895">
        <v>0.2</v>
      </c>
      <c r="F82" s="882">
        <v>30</v>
      </c>
    </row>
    <row r="83" spans="1:6" s="878" customFormat="1" ht="60">
      <c r="A83" s="882">
        <v>23</v>
      </c>
      <c r="B83" s="3260"/>
      <c r="C83" s="818" t="s">
        <v>660</v>
      </c>
      <c r="D83" s="818" t="s">
        <v>661</v>
      </c>
      <c r="E83" s="895">
        <v>0.2</v>
      </c>
      <c r="F83" s="882">
        <v>30</v>
      </c>
    </row>
    <row r="84" spans="1:6" s="878" customFormat="1" ht="48">
      <c r="A84" s="882">
        <v>24</v>
      </c>
      <c r="B84" s="3260"/>
      <c r="C84" s="818" t="s">
        <v>662</v>
      </c>
      <c r="D84" s="818" t="s">
        <v>663</v>
      </c>
      <c r="E84" s="895">
        <v>0.2</v>
      </c>
      <c r="F84" s="882">
        <v>30</v>
      </c>
    </row>
    <row r="85" spans="1:6" s="878" customFormat="1" ht="36">
      <c r="A85" s="882">
        <v>25</v>
      </c>
      <c r="B85" s="3260"/>
      <c r="C85" s="818" t="s">
        <v>664</v>
      </c>
      <c r="D85" s="818" t="s">
        <v>665</v>
      </c>
      <c r="E85" s="895">
        <v>0.5</v>
      </c>
      <c r="F85" s="882">
        <v>80</v>
      </c>
    </row>
    <row r="86" spans="1:6" s="878" customFormat="1" ht="36">
      <c r="A86" s="882">
        <v>26</v>
      </c>
      <c r="B86" s="3260"/>
      <c r="C86" s="818" t="s">
        <v>666</v>
      </c>
      <c r="D86" s="818" t="s">
        <v>667</v>
      </c>
      <c r="E86" s="895">
        <v>0.2</v>
      </c>
      <c r="F86" s="882">
        <v>30</v>
      </c>
    </row>
    <row r="87" spans="1:6" s="878" customFormat="1" ht="36">
      <c r="A87" s="882">
        <v>27</v>
      </c>
      <c r="B87" s="3260"/>
      <c r="C87" s="818" t="s">
        <v>668</v>
      </c>
      <c r="D87" s="818" t="s">
        <v>669</v>
      </c>
      <c r="E87" s="895">
        <v>0.2</v>
      </c>
      <c r="F87" s="882">
        <v>30</v>
      </c>
    </row>
    <row r="88" spans="1:6" s="878" customFormat="1" ht="36">
      <c r="A88" s="882">
        <v>28</v>
      </c>
      <c r="B88" s="3260"/>
      <c r="C88" s="818" t="s">
        <v>670</v>
      </c>
      <c r="D88" s="818" t="s">
        <v>671</v>
      </c>
      <c r="E88" s="895">
        <v>0.2</v>
      </c>
      <c r="F88" s="882">
        <v>30</v>
      </c>
    </row>
    <row r="89" spans="1:6" s="878" customFormat="1" ht="36">
      <c r="A89" s="882">
        <v>29</v>
      </c>
      <c r="B89" s="3260"/>
      <c r="C89" s="818" t="s">
        <v>672</v>
      </c>
      <c r="D89" s="818" t="s">
        <v>673</v>
      </c>
      <c r="E89" s="895">
        <v>0.2</v>
      </c>
      <c r="F89" s="882">
        <v>30</v>
      </c>
    </row>
    <row r="90" spans="1:6" s="878" customFormat="1" ht="36">
      <c r="A90" s="882">
        <v>30</v>
      </c>
      <c r="B90" s="3260"/>
      <c r="C90" s="818" t="s">
        <v>674</v>
      </c>
      <c r="D90" s="818" t="s">
        <v>675</v>
      </c>
      <c r="E90" s="895">
        <v>0.2</v>
      </c>
      <c r="F90" s="882">
        <v>30</v>
      </c>
    </row>
    <row r="91" spans="1:6" s="878" customFormat="1" ht="48">
      <c r="A91" s="882">
        <v>31</v>
      </c>
      <c r="B91" s="3260"/>
      <c r="C91" s="818" t="s">
        <v>676</v>
      </c>
      <c r="D91" s="818" t="s">
        <v>677</v>
      </c>
      <c r="E91" s="895">
        <v>0.2</v>
      </c>
      <c r="F91" s="882">
        <v>30</v>
      </c>
    </row>
    <row r="92" spans="1:6" s="878" customFormat="1" ht="36">
      <c r="A92" s="882">
        <v>32</v>
      </c>
      <c r="B92" s="3260" t="s">
        <v>678</v>
      </c>
      <c r="C92" s="882" t="s">
        <v>679</v>
      </c>
      <c r="D92" s="818" t="s">
        <v>680</v>
      </c>
      <c r="E92" s="895">
        <v>0.2</v>
      </c>
      <c r="F92" s="882">
        <v>30</v>
      </c>
    </row>
    <row r="93" spans="1:6" s="878" customFormat="1" ht="36">
      <c r="A93" s="882">
        <v>33</v>
      </c>
      <c r="B93" s="3260"/>
      <c r="C93" s="882" t="s">
        <v>681</v>
      </c>
      <c r="D93" s="818" t="s">
        <v>682</v>
      </c>
      <c r="E93" s="895">
        <v>0.2</v>
      </c>
      <c r="F93" s="882">
        <v>30</v>
      </c>
    </row>
    <row r="94" spans="1:6" s="878" customFormat="1" ht="60">
      <c r="A94" s="882">
        <v>34</v>
      </c>
      <c r="B94" s="3260"/>
      <c r="C94" s="882" t="s">
        <v>683</v>
      </c>
      <c r="D94" s="818" t="s">
        <v>684</v>
      </c>
      <c r="E94" s="895">
        <v>0.2</v>
      </c>
      <c r="F94" s="882">
        <v>30</v>
      </c>
    </row>
    <row r="95" spans="1:6" s="878" customFormat="1" ht="48">
      <c r="A95" s="882">
        <v>35</v>
      </c>
      <c r="B95" s="3260"/>
      <c r="C95" s="882" t="s">
        <v>685</v>
      </c>
      <c r="D95" s="818" t="s">
        <v>686</v>
      </c>
      <c r="E95" s="895">
        <v>0.2</v>
      </c>
      <c r="F95" s="882">
        <v>30</v>
      </c>
    </row>
    <row r="96" spans="1:6" s="878" customFormat="1" ht="72">
      <c r="A96" s="882">
        <v>36</v>
      </c>
      <c r="B96" s="3260"/>
      <c r="C96" s="818" t="s">
        <v>687</v>
      </c>
      <c r="D96" s="818" t="s">
        <v>688</v>
      </c>
      <c r="E96" s="895">
        <v>0.2</v>
      </c>
      <c r="F96" s="882">
        <v>30</v>
      </c>
    </row>
    <row r="97" spans="1:6" s="878" customFormat="1" ht="36">
      <c r="A97" s="882">
        <v>37</v>
      </c>
      <c r="B97" s="3260"/>
      <c r="C97" s="882" t="s">
        <v>689</v>
      </c>
      <c r="D97" s="818" t="s">
        <v>690</v>
      </c>
      <c r="E97" s="895">
        <v>0.2</v>
      </c>
      <c r="F97" s="882">
        <v>30</v>
      </c>
    </row>
    <row r="98" spans="1:6" s="878" customFormat="1" ht="36">
      <c r="A98" s="882">
        <v>38</v>
      </c>
      <c r="B98" s="3260"/>
      <c r="C98" s="882" t="s">
        <v>691</v>
      </c>
      <c r="D98" s="818" t="s">
        <v>692</v>
      </c>
      <c r="E98" s="895">
        <v>0.2</v>
      </c>
      <c r="F98" s="882">
        <v>30</v>
      </c>
    </row>
    <row r="99" spans="1:6" s="878" customFormat="1" ht="36">
      <c r="A99" s="882">
        <v>39</v>
      </c>
      <c r="B99" s="3260" t="s">
        <v>693</v>
      </c>
      <c r="C99" s="882" t="s">
        <v>694</v>
      </c>
      <c r="D99" s="818" t="s">
        <v>695</v>
      </c>
      <c r="E99" s="895">
        <v>0.3</v>
      </c>
      <c r="F99" s="882">
        <v>50</v>
      </c>
    </row>
    <row r="100" spans="1:6" s="878" customFormat="1" ht="36">
      <c r="A100" s="882">
        <v>40</v>
      </c>
      <c r="B100" s="3260"/>
      <c r="C100" s="882" t="s">
        <v>696</v>
      </c>
      <c r="D100" s="818" t="s">
        <v>697</v>
      </c>
      <c r="E100" s="895">
        <v>0.2</v>
      </c>
      <c r="F100" s="882">
        <v>30</v>
      </c>
    </row>
    <row r="101" spans="1:6" s="878" customFormat="1" ht="36">
      <c r="A101" s="882">
        <v>41</v>
      </c>
      <c r="B101" s="326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0" t="s">
        <v>708</v>
      </c>
      <c r="C105" s="882" t="s">
        <v>709</v>
      </c>
      <c r="D105" s="818" t="s">
        <v>710</v>
      </c>
      <c r="E105" s="895">
        <v>0.2</v>
      </c>
      <c r="F105" s="882">
        <v>30</v>
      </c>
    </row>
    <row r="106" spans="1:6" s="878" customFormat="1" ht="48">
      <c r="A106" s="882">
        <v>46</v>
      </c>
      <c r="B106" s="3260"/>
      <c r="C106" s="882" t="s">
        <v>711</v>
      </c>
      <c r="D106" s="818" t="s">
        <v>712</v>
      </c>
      <c r="E106" s="895">
        <v>0.2</v>
      </c>
      <c r="F106" s="882">
        <v>30</v>
      </c>
    </row>
    <row r="107" spans="1:6" s="878" customFormat="1" ht="36">
      <c r="A107" s="882">
        <v>47</v>
      </c>
      <c r="B107" s="3260" t="s">
        <v>713</v>
      </c>
      <c r="C107" s="882" t="s">
        <v>714</v>
      </c>
      <c r="D107" s="818" t="s">
        <v>715</v>
      </c>
      <c r="E107" s="895">
        <v>0.3</v>
      </c>
      <c r="F107" s="882">
        <v>50</v>
      </c>
    </row>
    <row r="108" spans="1:6" s="878" customFormat="1" ht="48">
      <c r="A108" s="882">
        <v>48</v>
      </c>
      <c r="B108" s="32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0" t="s">
        <v>724</v>
      </c>
      <c r="C111" s="882" t="s">
        <v>725</v>
      </c>
      <c r="D111" s="818" t="s">
        <v>726</v>
      </c>
      <c r="E111" s="895">
        <v>0.2</v>
      </c>
      <c r="F111" s="882">
        <v>30</v>
      </c>
    </row>
    <row r="112" spans="1:6" s="878" customFormat="1" ht="36">
      <c r="A112" s="882">
        <v>52</v>
      </c>
      <c r="B112" s="3260"/>
      <c r="C112" s="882" t="s">
        <v>727</v>
      </c>
      <c r="D112" s="818" t="s">
        <v>728</v>
      </c>
      <c r="E112" s="895">
        <v>0.2</v>
      </c>
      <c r="F112" s="882">
        <v>30</v>
      </c>
    </row>
    <row r="113" spans="1:6" s="878" customFormat="1" ht="36">
      <c r="A113" s="882">
        <v>53</v>
      </c>
      <c r="B113" s="326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0" t="s">
        <v>737</v>
      </c>
      <c r="C116" s="882" t="s">
        <v>738</v>
      </c>
      <c r="D116" s="818" t="s">
        <v>739</v>
      </c>
      <c r="E116" s="895">
        <v>0.2</v>
      </c>
      <c r="F116" s="882">
        <v>30</v>
      </c>
    </row>
    <row r="117" spans="1:6" ht="36">
      <c r="A117" s="882">
        <v>57</v>
      </c>
      <c r="B117" s="326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9" t="s">
        <v>3001</v>
      </c>
    </row>
    <row r="2" spans="1:5" ht="15.6">
      <c r="A2" s="2900" t="s">
        <v>2993</v>
      </c>
      <c r="B2" s="2901" t="e">
        <f ca="1">SUMIF(B6:B13,"&lt;&gt;#ref!",B6:B13)</f>
        <v>#DIV/0!</v>
      </c>
      <c r="C2" s="2900" t="s">
        <v>2994</v>
      </c>
      <c r="D2" s="2900" t="s">
        <v>2995</v>
      </c>
      <c r="E2" s="2901">
        <f ca="1">SUMIF(E6:E13,"&lt;&gt;#ref!",E6:E13)</f>
        <v>0</v>
      </c>
    </row>
    <row r="3" spans="1:5" ht="15.6">
      <c r="A3" s="2900" t="s">
        <v>2996</v>
      </c>
      <c r="B3" s="2901" t="e">
        <f ca="1">ROUND(B2*10000/E2,0)</f>
        <v>#DIV/0!</v>
      </c>
      <c r="C3" s="2900" t="s">
        <v>3002</v>
      </c>
      <c r="D3" s="2902"/>
      <c r="E3" s="2902"/>
    </row>
    <row r="4" spans="1:5" ht="15.6">
      <c r="A4" s="2903"/>
      <c r="B4" s="2902"/>
      <c r="C4" s="2902"/>
      <c r="D4" s="2902"/>
      <c r="E4" s="2902"/>
    </row>
    <row r="5" spans="1:5" ht="31.2">
      <c r="A5" s="2904" t="s">
        <v>2997</v>
      </c>
      <c r="B5" s="2900" t="s">
        <v>2998</v>
      </c>
      <c r="C5" s="2901"/>
      <c r="D5" s="2902"/>
      <c r="E5" s="2900" t="s">
        <v>2999</v>
      </c>
    </row>
    <row r="6" spans="1:5" ht="15.6">
      <c r="A6" s="2905" t="s">
        <v>3000</v>
      </c>
      <c r="B6" s="2901" t="e">
        <f ca="1">SUMIF(INDIRECT("'"&amp;A6&amp;"'"&amp;"!A:A"),"总价",INDIRECT("'"&amp;A6&amp;"'"&amp;"!B:B"))</f>
        <v>#DIV/0!</v>
      </c>
      <c r="C6" s="2900" t="s">
        <v>2994</v>
      </c>
      <c r="D6" s="2902"/>
      <c r="E6" s="2573">
        <f ca="1">SUMIF(INDIRECT("'"&amp;A6&amp;"'"&amp;"!C:C"),"建筑面积",INDIRECT("'"&amp;A6&amp;"'"&amp;"!D:D"))</f>
        <v>0</v>
      </c>
    </row>
    <row r="7" spans="1:5" ht="15.6">
      <c r="A7" s="2905"/>
      <c r="B7" s="2901" t="e">
        <f ca="1">SUMIF(INDIRECT("'"&amp;A7&amp;"'"&amp;"!A:A"),"总价",INDIRECT("'"&amp;A7&amp;"'"&amp;"!B:B"))</f>
        <v>#REF!</v>
      </c>
      <c r="C7" s="2900" t="s">
        <v>2994</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2994</v>
      </c>
      <c r="D8" s="2902"/>
      <c r="E8" s="2573" t="e">
        <f t="shared" ca="1" si="0"/>
        <v>#REF!</v>
      </c>
    </row>
    <row r="9" spans="1:5" ht="15.6">
      <c r="A9" s="2905"/>
      <c r="B9" s="2901" t="e">
        <f t="shared" ca="1" si="1"/>
        <v>#REF!</v>
      </c>
      <c r="C9" s="2900" t="s">
        <v>2994</v>
      </c>
      <c r="D9" s="2902"/>
      <c r="E9" s="2573" t="e">
        <f t="shared" ca="1" si="0"/>
        <v>#REF!</v>
      </c>
    </row>
    <row r="10" spans="1:5" ht="15.6">
      <c r="A10" s="2905"/>
      <c r="B10" s="2901" t="e">
        <f t="shared" ca="1" si="1"/>
        <v>#REF!</v>
      </c>
      <c r="C10" s="2900" t="s">
        <v>2994</v>
      </c>
      <c r="D10" s="2902"/>
      <c r="E10" s="2573" t="e">
        <f t="shared" ca="1" si="0"/>
        <v>#REF!</v>
      </c>
    </row>
    <row r="11" spans="1:5" ht="15.6">
      <c r="A11" s="2905"/>
      <c r="B11" s="2901" t="e">
        <f t="shared" ca="1" si="1"/>
        <v>#REF!</v>
      </c>
      <c r="C11" s="2900" t="s">
        <v>2994</v>
      </c>
      <c r="D11" s="2902"/>
      <c r="E11" s="2573" t="e">
        <f t="shared" ca="1" si="0"/>
        <v>#REF!</v>
      </c>
    </row>
    <row r="12" spans="1:5" ht="15.6">
      <c r="A12" s="2905"/>
      <c r="B12" s="2901" t="e">
        <f t="shared" ca="1" si="1"/>
        <v>#REF!</v>
      </c>
      <c r="C12" s="2900" t="s">
        <v>2994</v>
      </c>
      <c r="D12" s="2902"/>
      <c r="E12" s="2573" t="e">
        <f t="shared" ca="1" si="0"/>
        <v>#REF!</v>
      </c>
    </row>
    <row r="13" spans="1:5" ht="15.6">
      <c r="A13" s="2905"/>
      <c r="B13" s="2901" t="e">
        <f t="shared" ca="1" si="1"/>
        <v>#REF!</v>
      </c>
      <c r="C13" s="2900" t="s">
        <v>2994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7.399999999999999">
      <c r="A3" s="2957" t="str">
        <f>IF(项目基本情况!B9="房地产市场价值","估价结果一览表（市场价值不需“结果表-1”）","估价结果一览表")</f>
        <v>估价结果一览表</v>
      </c>
      <c r="B3" s="2957"/>
      <c r="C3" s="2957"/>
      <c r="D3" s="2957"/>
      <c r="E3" s="2957"/>
    </row>
    <row r="4" spans="1:5" ht="18" thickBot="1">
      <c r="A4" s="1958"/>
      <c r="B4" s="2955" t="s">
        <v>1624</v>
      </c>
      <c r="C4" s="2955"/>
      <c r="D4" s="2955"/>
      <c r="E4" s="1958"/>
    </row>
    <row r="5" spans="1:5" ht="16.2" thickTop="1">
      <c r="A5" s="1956"/>
      <c r="B5" s="2953" t="s">
        <v>1616</v>
      </c>
      <c r="C5" s="1959" t="s">
        <v>1617</v>
      </c>
      <c r="D5" s="1040">
        <f ca="1">结果表!H101</f>
        <v>92308</v>
      </c>
      <c r="E5" s="1956"/>
    </row>
    <row r="6" spans="1:5" ht="15.6">
      <c r="A6" s="1956"/>
      <c r="B6" s="2953"/>
      <c r="C6" s="1959" t="s">
        <v>1618</v>
      </c>
      <c r="D6" s="1040" t="str">
        <f ca="1">NUMBERSTRING(INT(D5*10000),2)&amp;"元整"</f>
        <v>玖亿贰仟叁佰零捌万元整</v>
      </c>
      <c r="E6" s="1956"/>
    </row>
    <row r="7" spans="1:5" ht="15.6">
      <c r="A7" s="1956"/>
      <c r="B7" s="2958"/>
      <c r="C7" s="1960" t="s">
        <v>1619</v>
      </c>
      <c r="D7" s="1041">
        <f ca="1">结果表!H102</f>
        <v>19166</v>
      </c>
      <c r="E7" s="1956"/>
    </row>
    <row r="8" spans="1:5" ht="15.6">
      <c r="A8" s="1956"/>
      <c r="B8" s="2959" t="str">
        <f>结果表!E103</f>
        <v>2.估价师知悉的法定优先受偿款</v>
      </c>
      <c r="C8" s="1961" t="s">
        <v>1620</v>
      </c>
      <c r="D8" s="1041">
        <f>结果表!H103</f>
        <v>0</v>
      </c>
      <c r="E8" s="1956"/>
    </row>
    <row r="9" spans="1:5" ht="15.6">
      <c r="A9" s="1956"/>
      <c r="B9" s="2961"/>
      <c r="C9" s="1959" t="s">
        <v>1618</v>
      </c>
      <c r="D9" s="1040" t="str">
        <f>NUMBERSTRING(INT(D8*10000),2)&amp;"元整"</f>
        <v>零元整</v>
      </c>
      <c r="E9" s="1956"/>
    </row>
    <row r="10" spans="1:5" ht="15.6">
      <c r="A10" s="1956"/>
      <c r="B10" s="1962" t="s">
        <v>1623</v>
      </c>
      <c r="C10" s="1963" t="s">
        <v>1621</v>
      </c>
      <c r="D10" s="1042">
        <f>结果表!H104</f>
        <v>0</v>
      </c>
      <c r="E10" s="1956"/>
    </row>
    <row r="11" spans="1:5" ht="15.6">
      <c r="A11" s="1956"/>
      <c r="B11" s="1962" t="s">
        <v>1625</v>
      </c>
      <c r="C11" s="1963" t="s">
        <v>1626</v>
      </c>
      <c r="D11" s="1042">
        <f>结果表!H105</f>
        <v>0</v>
      </c>
      <c r="E11" s="1956"/>
    </row>
    <row r="12" spans="1:5" ht="15.6">
      <c r="A12" s="1956"/>
      <c r="B12" s="1962" t="s">
        <v>1627</v>
      </c>
      <c r="C12" s="1963" t="s">
        <v>1626</v>
      </c>
      <c r="D12" s="1042">
        <f>结果表!H106</f>
        <v>0</v>
      </c>
      <c r="E12" s="1956"/>
    </row>
    <row r="13" spans="1:5" ht="15.6">
      <c r="A13" s="1956"/>
      <c r="B13" s="2952" t="str">
        <f>结果表!E107</f>
        <v>3.房地产抵押价值</v>
      </c>
      <c r="C13" s="1964" t="s">
        <v>1617</v>
      </c>
      <c r="D13" s="1043">
        <f ca="1">结果表!H107</f>
        <v>92308</v>
      </c>
      <c r="E13" s="1956"/>
    </row>
    <row r="14" spans="1:5" ht="15.6">
      <c r="A14" s="1956"/>
      <c r="B14" s="2953"/>
      <c r="C14" s="1959" t="s">
        <v>1618</v>
      </c>
      <c r="D14" s="1040" t="str">
        <f ca="1">NUMBERSTRING(INT(D13*10000),2)&amp;"元整"</f>
        <v>玖亿贰仟叁佰零捌万元整</v>
      </c>
      <c r="E14" s="1956"/>
    </row>
    <row r="15" spans="1:5" ht="15.6">
      <c r="A15" s="1956"/>
      <c r="B15" s="2958"/>
      <c r="C15" s="1960" t="s">
        <v>1628</v>
      </c>
      <c r="D15" s="1052">
        <f ca="1">结果表!H108</f>
        <v>19166</v>
      </c>
      <c r="E15" s="1956"/>
    </row>
    <row r="16" spans="1:5" ht="15.6">
      <c r="A16" s="1956"/>
      <c r="B16" s="2959" t="str">
        <f>结果表!E109</f>
        <v>——</v>
      </c>
      <c r="C16" s="1964" t="s">
        <v>1629</v>
      </c>
      <c r="D16" s="1965" t="str">
        <f>结果表!H109</f>
        <v>——</v>
      </c>
      <c r="E16" s="1956"/>
    </row>
    <row r="17" spans="1:5" ht="15.6">
      <c r="A17" s="1956"/>
      <c r="B17" s="2960"/>
      <c r="C17" s="1959" t="s">
        <v>1630</v>
      </c>
      <c r="D17" s="1040" t="e">
        <f>NUMBERSTRING(INT(D16*10000),2)&amp;"元整"</f>
        <v>#VALUE!</v>
      </c>
      <c r="E17" s="1956"/>
    </row>
    <row r="18" spans="1:5" ht="15.6">
      <c r="A18" s="1956"/>
      <c r="B18" s="2961"/>
      <c r="C18" s="1960" t="s">
        <v>1619</v>
      </c>
      <c r="D18" s="1052" t="str">
        <f>结果表!H110</f>
        <v>——</v>
      </c>
      <c r="E18" s="1956"/>
    </row>
    <row r="19" spans="1:5" ht="15.6">
      <c r="A19" s="1956"/>
      <c r="B19" s="2952" t="str">
        <f>结果表!E111</f>
        <v>——</v>
      </c>
      <c r="C19" s="1964" t="s">
        <v>1617</v>
      </c>
      <c r="D19" s="1041" t="str">
        <f>结果表!H111</f>
        <v>——</v>
      </c>
      <c r="E19" s="1956"/>
    </row>
    <row r="20" spans="1:5" ht="15.6">
      <c r="A20" s="1956"/>
      <c r="B20" s="2953"/>
      <c r="C20" s="1959" t="s">
        <v>1630</v>
      </c>
      <c r="D20" s="1040" t="e">
        <f>NUMBERSTRING(INT(D19*10000),2)&amp;"元整"</f>
        <v>#VALUE!</v>
      </c>
      <c r="E20" s="1956"/>
    </row>
    <row r="21" spans="1:5" ht="16.2" thickBot="1">
      <c r="A21" s="1956"/>
      <c r="B21" s="2954"/>
      <c r="C21" s="1966" t="s">
        <v>1628</v>
      </c>
      <c r="D21" s="1053" t="str">
        <f>结果表!H112</f>
        <v>——</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66" t="s">
        <v>1145</v>
      </c>
      <c r="C1" s="3266"/>
      <c r="D1" s="3266"/>
      <c r="E1" s="3266"/>
      <c r="F1" s="3266"/>
      <c r="G1" s="3265" t="s">
        <v>1146</v>
      </c>
      <c r="H1" s="3265"/>
      <c r="I1" s="3265"/>
      <c r="J1" s="3265"/>
      <c r="K1" s="3265"/>
      <c r="L1" s="3265"/>
      <c r="N1" s="3265" t="s">
        <v>1147</v>
      </c>
      <c r="O1" s="3265"/>
      <c r="P1" s="3265"/>
      <c r="Q1" s="3265"/>
      <c r="R1" s="1445"/>
      <c r="S1" s="3265" t="s">
        <v>1148</v>
      </c>
      <c r="T1" s="3265"/>
      <c r="U1" s="3265"/>
      <c r="V1" s="3265"/>
      <c r="X1" s="3264" t="s">
        <v>1149</v>
      </c>
      <c r="Y1" s="3265"/>
      <c r="Z1" s="3265"/>
      <c r="AA1" s="3265"/>
      <c r="AB1" s="3265"/>
      <c r="AD1" s="3264" t="s">
        <v>1150</v>
      </c>
      <c r="AE1" s="3265"/>
      <c r="AF1" s="3265"/>
      <c r="AG1" s="3265"/>
      <c r="AH1" s="3265"/>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6" customFormat="1" ht="14.4">
      <c r="A3" s="2925" t="s">
        <v>3036</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2" customFormat="1" ht="14.4">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3055</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0">
        <v>2020</v>
      </c>
      <c r="H5" s="1728">
        <v>1</v>
      </c>
      <c r="I5" s="2912">
        <v>0</v>
      </c>
      <c r="J5" s="2912">
        <v>0</v>
      </c>
      <c r="K5" s="2912">
        <v>0</v>
      </c>
      <c r="L5" s="2912">
        <v>0</v>
      </c>
      <c r="N5" s="1466">
        <f t="shared" ref="N5" si="7">I5/100</f>
        <v>0</v>
      </c>
      <c r="O5" s="1466">
        <f t="shared" ref="O5" si="8">J5/100</f>
        <v>0</v>
      </c>
      <c r="P5" s="1466">
        <f t="shared" ref="P5" si="9">K5/100</f>
        <v>0</v>
      </c>
      <c r="Q5" s="1466">
        <f t="shared" ref="Q5" si="10">L5/100</f>
        <v>0</v>
      </c>
      <c r="R5" s="1730"/>
      <c r="S5" s="1731"/>
      <c r="T5" s="1730"/>
      <c r="U5" s="1730"/>
      <c r="V5" s="1730"/>
      <c r="W5" s="2915" t="s">
        <v>3037</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0">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5" customFormat="1" ht="13.8" thickBot="1">
      <c r="A7" s="1460" t="s">
        <v>3050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9">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5" customFormat="1">
      <c r="A8" s="1460" t="s">
        <v>3048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5">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5" customFormat="1" ht="13.8" thickBot="1">
      <c r="A9" s="1460" t="s">
        <v>3046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9">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5" customFormat="1">
      <c r="A10" s="1460" t="s">
        <v>3049</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6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5" customFormat="1" ht="14.4" customHeight="1">
      <c r="A11" s="1460" t="s">
        <v>3043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6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5" customFormat="1" ht="14.4" customHeight="1">
      <c r="A12" s="1460" t="s">
        <v>3042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6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5" customFormat="1" ht="15" customHeight="1" thickBot="1">
      <c r="A13" s="1460" t="s">
        <v>3035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71"/>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60" t="s">
        <v>3032</v>
      </c>
      <c r="B14" s="1468">
        <v>439</v>
      </c>
      <c r="C14" s="1468">
        <v>327</v>
      </c>
      <c r="D14" s="1468">
        <f>C14</f>
        <v>327</v>
      </c>
      <c r="E14" s="1468">
        <v>627</v>
      </c>
      <c r="F14" s="1469">
        <v>283</v>
      </c>
      <c r="G14" s="3267">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 customHeight="1">
      <c r="A15" s="1460" t="s">
        <v>3033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6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6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2"/>
      <c r="AD16" s="1787">
        <f>ROUND(AVERAGE(I16:I$29)/100,4)</f>
        <v>2.46E-2</v>
      </c>
      <c r="AE16" s="1787">
        <f>ROUND(AVERAGE(J16:J$29)/100,4)</f>
        <v>1.6E-2</v>
      </c>
      <c r="AF16" s="1787">
        <f t="shared" si="1"/>
        <v>1.6E-2</v>
      </c>
      <c r="AG16" s="1787">
        <f>ROUND(AVERAGE(K16:K$29)/100,4)</f>
        <v>2.75E-2</v>
      </c>
      <c r="AH16" s="1787">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71"/>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60" t="s">
        <v>154</v>
      </c>
      <c r="B18" s="1468">
        <v>392</v>
      </c>
      <c r="C18" s="1468">
        <v>302</v>
      </c>
      <c r="D18" s="1468">
        <f>C18</f>
        <v>302</v>
      </c>
      <c r="E18" s="1468">
        <v>553</v>
      </c>
      <c r="F18" s="1469">
        <v>266</v>
      </c>
      <c r="G18" s="3267">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6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6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6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26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6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6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6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26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6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6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6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5">
        <f>I29/100</f>
        <v>2.9700000000000001E-2</v>
      </c>
      <c r="AE29" s="1725">
        <f>J29/100</f>
        <v>2.3399999999999997E-2</v>
      </c>
      <c r="AF29" s="1725">
        <f>AE29</f>
        <v>2.3399999999999997E-2</v>
      </c>
      <c r="AG29" s="1725">
        <f>K29/100</f>
        <v>3.2799999999999996E-2</v>
      </c>
      <c r="AH29" s="1725">
        <f>L29/100</f>
        <v>1.3600000000000001E-2</v>
      </c>
    </row>
    <row r="30" spans="1:34" ht="13.8" thickBot="1">
      <c r="A30" s="1460" t="s">
        <v>1158</v>
      </c>
      <c r="B30" s="1468">
        <v>299</v>
      </c>
      <c r="C30" s="1468">
        <v>252</v>
      </c>
      <c r="D30" s="1468">
        <f t="shared" si="119"/>
        <v>252</v>
      </c>
      <c r="E30" s="1468">
        <v>409</v>
      </c>
      <c r="F30" s="1469">
        <v>227</v>
      </c>
      <c r="G30" s="3268">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69"/>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69"/>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0"/>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26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6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6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26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26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6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6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6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26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6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6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6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26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6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6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6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26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6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6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6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26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6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6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6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26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6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6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6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26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6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6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6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26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6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6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6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26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6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62">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263">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26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6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62">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263">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3" t="s">
        <v>3004</v>
      </c>
      <c r="D1" s="3274"/>
      <c r="E1" s="3274"/>
      <c r="F1" s="3274"/>
      <c r="G1" s="3274"/>
      <c r="H1" s="3274"/>
      <c r="I1" s="3274"/>
      <c r="J1" s="3274"/>
      <c r="K1" s="3274"/>
      <c r="L1" s="3274"/>
      <c r="M1" s="3274"/>
      <c r="N1" s="3274"/>
      <c r="O1" s="3274"/>
      <c r="P1" s="3274"/>
      <c r="Q1" s="3274"/>
      <c r="R1" s="3274"/>
      <c r="S1" s="3275"/>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3007</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3008</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3009</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3013</v>
      </c>
      <c r="B17" s="2907"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3015</v>
      </c>
      <c r="E19" s="1790"/>
      <c r="F19" s="1790"/>
      <c r="G19" s="1790"/>
      <c r="H19" s="1280"/>
      <c r="I19" s="168"/>
      <c r="J19" s="168"/>
      <c r="K19" s="168"/>
      <c r="L19" s="168"/>
      <c r="M19" s="168"/>
      <c r="N19" s="168"/>
      <c r="O19" s="168"/>
      <c r="P19" s="168"/>
      <c r="Q19" s="168"/>
      <c r="R19" s="788"/>
      <c r="S19" s="138"/>
    </row>
    <row r="20" spans="1:45" ht="16.2" thickBot="1">
      <c r="A20" s="715" t="s">
        <v>3016</v>
      </c>
      <c r="B20" s="338" t="e">
        <f ca="1">IF(D20="——",S22,S22-F20)</f>
        <v>#REF!</v>
      </c>
      <c r="C20" s="168"/>
      <c r="D20" s="2909" t="s">
        <v>3017</v>
      </c>
      <c r="E20" s="1791"/>
      <c r="F20" s="1204" t="e">
        <f ca="1">SUMIF(INDIRECT("'"&amp;H20&amp;"'"&amp;"!A:A"),"承租人权益价值",INDIRECT("'"&amp;H20&amp;"'"&amp;"!c:c"))</f>
        <v>#REF!</v>
      </c>
      <c r="G20" s="1204" t="s">
        <v>3018</v>
      </c>
      <c r="H20" s="2910"/>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2" t="s">
        <v>33</v>
      </c>
      <c r="D22" s="3133"/>
      <c r="E22" s="3133"/>
      <c r="F22" s="3133"/>
      <c r="G22" s="3133"/>
      <c r="H22" s="3133"/>
      <c r="I22" s="3133"/>
      <c r="J22" s="3133"/>
      <c r="K22" s="3133"/>
      <c r="L22" s="3133"/>
      <c r="M22" s="3133"/>
      <c r="N22" s="3133"/>
      <c r="O22" s="3133"/>
      <c r="P22" s="3133"/>
      <c r="Q22" s="3272"/>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70898</v>
      </c>
      <c r="C2" s="2" t="s">
        <v>133</v>
      </c>
      <c r="D2" s="243"/>
      <c r="E2" s="243"/>
      <c r="F2" s="243"/>
      <c r="G2" s="243"/>
    </row>
    <row r="3" spans="1:7" s="244" customFormat="1" ht="18" customHeight="1" thickBot="1">
      <c r="A3" s="247" t="s">
        <v>85</v>
      </c>
      <c r="B3" s="248">
        <f ca="1">ROUND(B2*10000/'数据-汇总表'!E3,0)</f>
        <v>14721</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963</v>
      </c>
      <c r="D10" s="1032">
        <f>'数据-汇总表'!E6</f>
        <v>48162.54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963</v>
      </c>
      <c r="D19" s="1036">
        <f>'数据-汇总表'!E3</f>
        <v>48162.54</v>
      </c>
      <c r="E19" s="255">
        <f>'数据-取费表'!B31</f>
        <v>200</v>
      </c>
      <c r="F19" s="275"/>
      <c r="G19" s="1" t="s">
        <v>1070</v>
      </c>
    </row>
    <row r="20" spans="1:7" s="258" customFormat="1" ht="13.5" customHeight="1">
      <c r="A20" s="948" t="s">
        <v>1053</v>
      </c>
      <c r="B20" s="254" t="s">
        <v>104</v>
      </c>
      <c r="C20" s="276">
        <f>ROUND((C5+C19)*F20,0)</f>
        <v>431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2118</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94</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3301</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3301</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29691</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31160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28897</v>
      </c>
      <c r="D34" s="261"/>
      <c r="E34" s="264"/>
      <c r="F34" s="301">
        <f>IF('数据-取费表'!B24=0,1,'数据-取费表'!N16)</f>
        <v>1</v>
      </c>
      <c r="G34" s="263" t="s">
        <v>116</v>
      </c>
    </row>
    <row r="35" spans="1:7" ht="13.5" customHeight="1">
      <c r="A35" s="951" t="s">
        <v>796</v>
      </c>
      <c r="B35" s="259" t="s">
        <v>60</v>
      </c>
      <c r="C35" s="264">
        <f>ROUND(C34*F35,0)</f>
        <v>867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963</v>
      </c>
      <c r="D37" s="261">
        <f>'数据-汇总表'!E3</f>
        <v>48162.54</v>
      </c>
      <c r="E37" s="293">
        <f>'数据-取费表'!B35</f>
        <v>200</v>
      </c>
      <c r="F37" s="303"/>
      <c r="G37" s="305" t="s">
        <v>119</v>
      </c>
    </row>
    <row r="38" spans="1:7" ht="13.5" customHeight="1">
      <c r="A38" s="951" t="s">
        <v>799</v>
      </c>
      <c r="B38" s="259" t="s">
        <v>63</v>
      </c>
      <c r="C38" s="264">
        <f>ROUND(C34*F38,0)</f>
        <v>433</v>
      </c>
      <c r="D38" s="264"/>
      <c r="E38" s="264"/>
      <c r="F38" s="303">
        <f>'数据-取费表'!B36</f>
        <v>1.4999999999999999E-2</v>
      </c>
      <c r="G38" s="263" t="s">
        <v>117</v>
      </c>
    </row>
    <row r="39" spans="1:7" s="258" customFormat="1" ht="13.5" customHeight="1">
      <c r="A39" s="948" t="s">
        <v>783</v>
      </c>
      <c r="B39" s="254" t="s">
        <v>104</v>
      </c>
      <c r="C39" s="276">
        <f>ROUND(C33*F20,0)</f>
        <v>623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1510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1480</v>
      </c>
      <c r="D42" s="282"/>
      <c r="E42" s="282"/>
      <c r="F42" s="283"/>
      <c r="G42" s="3137" t="s">
        <v>121</v>
      </c>
    </row>
    <row r="43" spans="1:7" ht="13.5" customHeight="1">
      <c r="A43" s="951" t="s">
        <v>792</v>
      </c>
      <c r="B43" s="259" t="s">
        <v>1060</v>
      </c>
      <c r="C43" s="282">
        <f ca="1">ROUND(IF('数据-取费表'!B22&lt;=1,C39*F22*'数据-取费表'!B21/2,C39*(POWER((1+F22),'数据-取费表'!B21/2)-1)),0)</f>
        <v>30</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4767</v>
      </c>
      <c r="D45" s="279">
        <f>C47</f>
        <v>3.0000000000000001E-3</v>
      </c>
      <c r="E45" s="280" t="s">
        <v>129</v>
      </c>
      <c r="F45" s="290"/>
      <c r="G45" s="291" t="s">
        <v>1068</v>
      </c>
    </row>
    <row r="46" spans="1:7" s="258" customFormat="1" ht="13.5" customHeight="1">
      <c r="A46" s="951" t="s">
        <v>794</v>
      </c>
      <c r="B46" s="292" t="s">
        <v>1061</v>
      </c>
      <c r="C46" s="293">
        <f>ROUND((C33+C39)*F27,0)</f>
        <v>4767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41207</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41207</v>
      </c>
      <c r="D51" s="276"/>
      <c r="E51" s="276"/>
      <c r="F51" s="308"/>
      <c r="G51" s="278" t="s">
        <v>64</v>
      </c>
    </row>
    <row r="52" spans="1:7" s="252" customFormat="1" ht="16.8" thickBot="1">
      <c r="A52" s="309" t="s">
        <v>65</v>
      </c>
      <c r="B52" s="310"/>
      <c r="C52" s="311">
        <f ca="1">C31+C51</f>
        <v>70898</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6" t="s">
        <v>867</v>
      </c>
      <c r="B1" s="3276"/>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43918</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1635</v>
      </c>
      <c r="B2" s="2972" t="s">
        <v>1636</v>
      </c>
      <c r="C2" s="2972" t="s">
        <v>1637</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6">
      <c r="A3" s="2966"/>
      <c r="B3" s="2966"/>
      <c r="C3" s="2966"/>
      <c r="D3" s="1044" t="s">
        <v>1632</v>
      </c>
      <c r="E3" s="1044" t="s">
        <v>1638</v>
      </c>
      <c r="F3" s="1044" t="s">
        <v>1632</v>
      </c>
      <c r="G3" s="1044" t="s">
        <v>1633</v>
      </c>
      <c r="H3" s="1044" t="s">
        <v>1632</v>
      </c>
      <c r="I3" s="1044" t="s">
        <v>1633</v>
      </c>
    </row>
    <row r="4" spans="1:9" ht="30">
      <c r="A4" s="1970" t="str">
        <f>项目基本情况!S2</f>
        <v>北京市通州区新华东街289号院2号楼房地产</v>
      </c>
      <c r="B4" s="1044">
        <f>项目基本情况!C17</f>
        <v>48162.54</v>
      </c>
      <c r="C4" s="1044">
        <f>项目基本情况!C18</f>
        <v>0</v>
      </c>
      <c r="D4" s="1044" t="e">
        <f ca="1">结果表!D118</f>
        <v>#REF!</v>
      </c>
      <c r="E4" s="1044" t="e">
        <f ca="1">结果表!E118</f>
        <v>#REF!</v>
      </c>
      <c r="F4" s="1044" t="e">
        <f ca="1">结果表!F118</f>
        <v>#REF!</v>
      </c>
      <c r="G4" s="1044" t="e">
        <f ca="1">结果表!G118</f>
        <v>#REF!</v>
      </c>
      <c r="H4" s="1044">
        <f ca="1">结果表!H118</f>
        <v>92308</v>
      </c>
      <c r="I4" s="1044">
        <f ca="1">结果表!I118</f>
        <v>19166</v>
      </c>
    </row>
    <row r="5" spans="1:9" ht="30" customHeight="1">
      <c r="A5" s="2966" t="s">
        <v>1634</v>
      </c>
      <c r="B5" s="2966"/>
      <c r="C5" s="2966"/>
      <c r="D5" s="2967" t="e">
        <f ca="1">结果表!D119</f>
        <v>#REF!</v>
      </c>
      <c r="E5" s="2967"/>
      <c r="F5" s="2967" t="e">
        <f ca="1">结果表!F119</f>
        <v>#REF!</v>
      </c>
      <c r="G5" s="2967"/>
      <c r="H5" s="2967" t="str">
        <f ca="1">结果表!H119</f>
        <v>玖亿贰仟叁佰零捌万元整</v>
      </c>
      <c r="I5" s="2967"/>
    </row>
    <row r="6" spans="1:9" ht="15.6">
      <c r="A6" s="2965" t="str">
        <f>结果表!A120</f>
        <v>估价师知悉的法定优先受偿款</v>
      </c>
      <c r="B6" s="2965"/>
      <c r="C6" s="2965"/>
      <c r="D6" s="2965">
        <f>结果表!D120</f>
        <v>0</v>
      </c>
      <c r="E6" s="2965"/>
      <c r="F6" s="2965"/>
      <c r="G6" s="2965"/>
      <c r="H6" s="2965"/>
      <c r="I6" s="2965"/>
    </row>
    <row r="7" spans="1:9" ht="15">
      <c r="A7" s="2966" t="s">
        <v>1634</v>
      </c>
      <c r="B7" s="2966"/>
      <c r="C7" s="2966"/>
      <c r="D7" s="2968" t="str">
        <f>结果表!D121</f>
        <v>零元整</v>
      </c>
      <c r="E7" s="2969"/>
      <c r="F7" s="2969"/>
      <c r="G7" s="2969"/>
      <c r="H7" s="2969"/>
      <c r="I7" s="2970"/>
    </row>
    <row r="8" spans="1:9" ht="15.6">
      <c r="A8" s="2965" t="str">
        <f>结果表!A122</f>
        <v>房地产抵押价值</v>
      </c>
      <c r="B8" s="2965"/>
      <c r="C8" s="2965"/>
      <c r="D8" s="2965">
        <f ca="1">结果表!D122</f>
        <v>92308</v>
      </c>
      <c r="E8" s="2965"/>
      <c r="F8" s="2965"/>
      <c r="G8" s="2965"/>
      <c r="H8" s="2965"/>
      <c r="I8" s="2965"/>
    </row>
    <row r="9" spans="1:9" ht="15">
      <c r="A9" s="2966" t="s">
        <v>1634</v>
      </c>
      <c r="B9" s="2966"/>
      <c r="C9" s="2966"/>
      <c r="D9" s="2967" t="str">
        <f ca="1">结果表!D123</f>
        <v>玖亿贰仟叁佰零捌万元整</v>
      </c>
      <c r="E9" s="2967"/>
      <c r="F9" s="2967"/>
      <c r="G9" s="2967"/>
      <c r="H9" s="2967"/>
      <c r="I9" s="2967"/>
    </row>
    <row r="10" spans="1:9" ht="15.6">
      <c r="A10" s="2965" t="str">
        <f>结果表!A124</f>
        <v/>
      </c>
      <c r="B10" s="2965"/>
      <c r="C10" s="2965"/>
      <c r="D10" s="2965" t="str">
        <f>结果表!D124</f>
        <v>——</v>
      </c>
      <c r="E10" s="2965"/>
      <c r="F10" s="2965"/>
      <c r="G10" s="2965"/>
      <c r="H10" s="2965"/>
      <c r="I10" s="2965"/>
    </row>
    <row r="11" spans="1:9" ht="15">
      <c r="A11" s="2966" t="s">
        <v>1634</v>
      </c>
      <c r="B11" s="2966"/>
      <c r="C11" s="2966"/>
      <c r="D11" s="2967" t="e">
        <f>结果表!D125</f>
        <v>#VALUE!</v>
      </c>
      <c r="E11" s="2967"/>
      <c r="F11" s="2967"/>
      <c r="G11" s="2967"/>
      <c r="H11" s="2967"/>
      <c r="I11" s="2967"/>
    </row>
    <row r="12" spans="1:9" ht="15.6">
      <c r="A12" s="2965" t="str">
        <f>结果表!A126</f>
        <v/>
      </c>
      <c r="B12" s="2965"/>
      <c r="C12" s="2965"/>
      <c r="D12" s="2965" t="str">
        <f>结果表!D126</f>
        <v>——</v>
      </c>
      <c r="E12" s="2965"/>
      <c r="F12" s="2965"/>
      <c r="G12" s="2965"/>
      <c r="H12" s="2965"/>
      <c r="I12" s="2965"/>
    </row>
    <row r="13" spans="1:9" ht="15.6" thickBot="1">
      <c r="A13" s="2962" t="s">
        <v>1634</v>
      </c>
      <c r="B13" s="2962"/>
      <c r="C13" s="2962"/>
      <c r="D13" s="2963" t="e">
        <f>结果表!D127</f>
        <v>#VALUE!</v>
      </c>
      <c r="E13" s="2963"/>
      <c r="F13" s="2963"/>
      <c r="G13" s="2963"/>
      <c r="H13" s="2963"/>
      <c r="I13" s="2963"/>
    </row>
    <row r="14" spans="1:9" ht="14.4" thickTop="1">
      <c r="A14" s="2964" t="s">
        <v>1639</v>
      </c>
      <c r="B14" s="2964"/>
      <c r="C14" s="2964"/>
      <c r="D14" s="2964"/>
      <c r="E14" s="2964"/>
      <c r="F14" s="2964"/>
      <c r="G14" s="2964"/>
      <c r="H14" s="2964"/>
      <c r="I14" s="2964"/>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2979" t="s">
        <v>1656</v>
      </c>
      <c r="B1" s="2979"/>
      <c r="C1" s="2979"/>
      <c r="D1" s="2979"/>
    </row>
    <row r="2" spans="1:4" ht="17.399999999999999">
      <c r="A2" s="2980" t="s">
        <v>1640</v>
      </c>
      <c r="B2" s="2980"/>
      <c r="C2" s="2980"/>
      <c r="D2" s="2980"/>
    </row>
    <row r="3" spans="1:4" ht="17.399999999999999">
      <c r="A3" s="1974" t="s">
        <v>1641</v>
      </c>
      <c r="B3" s="1974" t="s">
        <v>1642</v>
      </c>
      <c r="C3" s="1974" t="s">
        <v>1643</v>
      </c>
      <c r="D3" s="1974" t="s">
        <v>1644</v>
      </c>
    </row>
    <row r="4" spans="1:4" ht="56.25" customHeight="1">
      <c r="A4" s="1975" t="str">
        <f>项目基本情况!B4</f>
        <v>吴薇</v>
      </c>
      <c r="B4" s="1976">
        <f ca="1">项目基本情况!C4</f>
        <v>1419970001</v>
      </c>
      <c r="C4" s="1977"/>
      <c r="D4" s="1978" t="s">
        <v>1645</v>
      </c>
    </row>
    <row r="5" spans="1:4" ht="56.25" customHeight="1">
      <c r="A5" s="1975" t="str">
        <f>项目基本情况!D4</f>
        <v>郑燚</v>
      </c>
      <c r="B5" s="1976">
        <f ca="1">项目基本情况!E4</f>
        <v>1120070131</v>
      </c>
      <c r="C5" s="1979"/>
      <c r="D5" s="1978" t="s">
        <v>1645</v>
      </c>
    </row>
    <row r="6" spans="1:4" ht="17.399999999999999">
      <c r="A6" s="2980" t="s">
        <v>1646</v>
      </c>
      <c r="B6" s="2980"/>
      <c r="C6" s="2980"/>
      <c r="D6" s="2980"/>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8"/>
      <c r="B9" s="728"/>
      <c r="C9" s="728"/>
      <c r="D9" s="728"/>
    </row>
    <row r="10" spans="1:4" ht="17.399999999999999">
      <c r="A10" s="1981" t="s">
        <v>1648</v>
      </c>
      <c r="B10" s="728"/>
      <c r="C10" s="728"/>
      <c r="D10" s="728"/>
    </row>
    <row r="11" spans="1:4" ht="30" customHeight="1">
      <c r="A11" s="2981" t="s">
        <v>1649</v>
      </c>
      <c r="B11" s="2973"/>
      <c r="C11" s="2973"/>
      <c r="D11" s="2973"/>
    </row>
    <row r="12" spans="1:4" ht="15.6">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3"/>
      <c r="C15" s="2973"/>
      <c r="D15" s="2973"/>
    </row>
    <row r="16" spans="1:4" ht="30" customHeight="1">
      <c r="A16" s="2975" t="s">
        <v>1650</v>
      </c>
      <c r="B16" s="2975"/>
      <c r="C16" s="2975"/>
      <c r="D16" s="2975"/>
    </row>
    <row r="17" spans="1:4" ht="144" customHeight="1">
      <c r="A17" s="2975" t="s">
        <v>1651</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1652</v>
      </c>
      <c r="B22" s="2977"/>
      <c r="C22" s="2977"/>
      <c r="D22" s="2977"/>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2987" t="s">
        <v>1663</v>
      </c>
      <c r="B15" s="2982" t="s">
        <v>136</v>
      </c>
      <c r="C15" s="2983"/>
    </row>
    <row r="16" spans="1:7" ht="14.4">
      <c r="A16" s="2988"/>
      <c r="B16" s="2982" t="s">
        <v>69</v>
      </c>
      <c r="C16" s="2983"/>
    </row>
    <row r="17" spans="1:3" ht="14.4">
      <c r="A17" s="2988"/>
      <c r="B17" s="2985" t="s">
        <v>1664</v>
      </c>
      <c r="C17" s="1997" t="s">
        <v>1663</v>
      </c>
    </row>
    <row r="18" spans="1:3" ht="14.4">
      <c r="A18" s="2988"/>
      <c r="B18" s="2985"/>
      <c r="C18" s="1997" t="s">
        <v>1665</v>
      </c>
    </row>
    <row r="19" spans="1:3" ht="14.4">
      <c r="A19" s="2988"/>
      <c r="B19" s="2985"/>
      <c r="C19" s="1997" t="s">
        <v>1666</v>
      </c>
    </row>
    <row r="20" spans="1:3" ht="14.4">
      <c r="A20" s="2989"/>
      <c r="B20" s="2984" t="s">
        <v>1667</v>
      </c>
      <c r="C20" s="2983"/>
    </row>
    <row r="21" spans="1:3" ht="14.4">
      <c r="A21" s="1998" t="s">
        <v>1668</v>
      </c>
      <c r="B21" s="1999"/>
      <c r="C21" s="2000"/>
    </row>
    <row r="22" spans="1:3" ht="14.4">
      <c r="A22" s="2986" t="s">
        <v>1669</v>
      </c>
      <c r="B22" s="2984" t="s">
        <v>1670</v>
      </c>
      <c r="C22" s="2983"/>
    </row>
    <row r="23" spans="1:3" ht="14.4">
      <c r="A23" s="2986"/>
      <c r="B23" s="2984" t="s">
        <v>1671</v>
      </c>
      <c r="C23" s="2983"/>
    </row>
    <row r="24" spans="1:3" ht="14.4">
      <c r="A24" s="2986"/>
      <c r="B24" s="2984" t="s">
        <v>1672</v>
      </c>
      <c r="C24" s="2983"/>
    </row>
    <row r="25" spans="1:3" ht="14.4">
      <c r="A25" s="2986"/>
      <c r="B25" s="2985" t="s">
        <v>1673</v>
      </c>
      <c r="C25" s="1997" t="s">
        <v>1674</v>
      </c>
    </row>
    <row r="26" spans="1:3" ht="14.4">
      <c r="A26" s="2986"/>
      <c r="B26" s="2985"/>
      <c r="C26" s="1997" t="s">
        <v>1675</v>
      </c>
    </row>
    <row r="27" spans="1:3" ht="14.4">
      <c r="A27" s="2986"/>
      <c r="B27" s="2985"/>
      <c r="C27" s="1997" t="s">
        <v>1676</v>
      </c>
    </row>
    <row r="28" spans="1:3" ht="14.4">
      <c r="A28" s="2986"/>
      <c r="B28" s="2985"/>
      <c r="C28" s="1997" t="s">
        <v>1677</v>
      </c>
    </row>
    <row r="29" spans="1:3" ht="14.4">
      <c r="A29" s="2986"/>
      <c r="B29" s="2985"/>
      <c r="C29" s="1997" t="s">
        <v>1678</v>
      </c>
    </row>
    <row r="30" spans="1:3" ht="14.4">
      <c r="A30" s="2986"/>
      <c r="B30" s="2985"/>
      <c r="C30" s="1997" t="s">
        <v>1679</v>
      </c>
    </row>
    <row r="31" spans="1:3" ht="14.4">
      <c r="A31" s="2986"/>
      <c r="B31" s="2985"/>
      <c r="C31" s="1997" t="s">
        <v>1680</v>
      </c>
    </row>
    <row r="32" spans="1:3" ht="14.4">
      <c r="A32" s="2986"/>
      <c r="B32" s="2985"/>
      <c r="C32" s="1997" t="s">
        <v>1681</v>
      </c>
    </row>
    <row r="33" spans="1:3" ht="14.4">
      <c r="A33" s="2986"/>
      <c r="B33" s="2985"/>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43919</v>
      </c>
      <c r="C2" s="1019" t="s">
        <v>826</v>
      </c>
      <c r="D2" s="1019"/>
    </row>
    <row r="3" spans="1:6" ht="24" customHeight="1">
      <c r="A3" s="1020" t="s">
        <v>827</v>
      </c>
      <c r="B3" s="1021" t="s">
        <v>828</v>
      </c>
      <c r="C3" s="2343" t="s">
        <v>829</v>
      </c>
      <c r="D3" s="2346" t="s">
        <v>830</v>
      </c>
      <c r="E3" s="1022" t="s">
        <v>831</v>
      </c>
      <c r="F3" s="1021" t="s">
        <v>829</v>
      </c>
    </row>
    <row r="4" spans="1:6" ht="24" customHeight="1">
      <c r="A4" s="1700" t="s">
        <v>832</v>
      </c>
      <c r="B4" s="1022">
        <f ca="1">IF(C4&lt;B2,"已过期",1119970066)</f>
        <v>1119970066</v>
      </c>
      <c r="C4" s="2926">
        <v>44876</v>
      </c>
      <c r="D4" s="2347" t="s">
        <v>832</v>
      </c>
      <c r="E4" s="1022">
        <f ca="1">IF(F4&lt;B2,"已过期",96010014)</f>
        <v>96010014</v>
      </c>
      <c r="F4" s="1030">
        <v>47118</v>
      </c>
    </row>
    <row r="5" spans="1:6" ht="24" customHeight="1">
      <c r="A5" s="1700"/>
      <c r="B5" s="1022"/>
      <c r="C5" s="2344"/>
      <c r="D5" s="2347"/>
      <c r="E5" s="1022"/>
      <c r="F5" s="1030"/>
    </row>
    <row r="6" spans="1:6" ht="24" customHeight="1">
      <c r="A6" s="1700" t="s">
        <v>833</v>
      </c>
      <c r="B6" s="1022">
        <f ca="1">IF(C6&lt;B2,"已过期",1119970111)</f>
        <v>1119970111</v>
      </c>
      <c r="C6" s="2344">
        <v>44876</v>
      </c>
      <c r="D6" s="2347" t="s">
        <v>833</v>
      </c>
      <c r="E6" s="1022">
        <f ca="1">IF(F6&lt;B2,"已过期",94010078)</f>
        <v>94010078</v>
      </c>
      <c r="F6" s="1030">
        <v>46387</v>
      </c>
    </row>
    <row r="7" spans="1:6" ht="24" customHeight="1">
      <c r="A7" s="1700" t="s">
        <v>834</v>
      </c>
      <c r="B7" s="1022">
        <f ca="1">IF(C7&lt;B2,"已过期",1120050019)</f>
        <v>1120050019</v>
      </c>
      <c r="C7" s="2344">
        <v>44395</v>
      </c>
      <c r="D7" s="2347" t="s">
        <v>834</v>
      </c>
      <c r="E7" s="1022">
        <f ca="1">IF(F7&lt;B2,"已过期",2002110030)</f>
        <v>2002110030</v>
      </c>
      <c r="F7" s="1030">
        <v>46387</v>
      </c>
    </row>
    <row r="8" spans="1:6" ht="24" customHeight="1">
      <c r="A8" s="1700" t="s">
        <v>835</v>
      </c>
      <c r="B8" s="1022">
        <f ca="1">IF(C8&lt;B2,"已过期",1120000080)</f>
        <v>1120000080</v>
      </c>
      <c r="C8" s="2926">
        <v>44876</v>
      </c>
      <c r="D8" s="2347" t="s">
        <v>835</v>
      </c>
      <c r="E8" s="1022">
        <f ca="1">IF(F8&lt;B2,"已过期",2000110082)</f>
        <v>2000110082</v>
      </c>
      <c r="F8" s="1030">
        <v>46387</v>
      </c>
    </row>
    <row r="9" spans="1:6" ht="24" customHeight="1">
      <c r="A9" s="1700" t="s">
        <v>836</v>
      </c>
      <c r="B9" s="1022">
        <f ca="1">IF(C9&lt;B2,"已过期",1419970001)</f>
        <v>1419970001</v>
      </c>
      <c r="C9" s="2926">
        <v>44899</v>
      </c>
      <c r="D9" s="2347" t="s">
        <v>836</v>
      </c>
      <c r="E9" s="1022">
        <f ca="1">IF(F9&lt;B2,"已过期",2002110125)</f>
        <v>2002110125</v>
      </c>
      <c r="F9" s="1030">
        <v>47118</v>
      </c>
    </row>
    <row r="10" spans="1:6" ht="24" customHeight="1">
      <c r="A10" s="1700" t="s">
        <v>837</v>
      </c>
      <c r="B10" s="1022">
        <f ca="1">IF(C10&lt;B2,"已过期",1120060040)</f>
        <v>1120060040</v>
      </c>
      <c r="C10" s="2344">
        <v>44554</v>
      </c>
      <c r="D10" s="2347" t="s">
        <v>837</v>
      </c>
      <c r="E10" s="1022">
        <f ca="1">IF(F10&lt;B2,"已过期",2004110096)</f>
        <v>2004110096</v>
      </c>
      <c r="F10" s="1030">
        <v>47118</v>
      </c>
    </row>
    <row r="11" spans="1:6" ht="24" customHeight="1">
      <c r="A11" s="1700" t="s">
        <v>838</v>
      </c>
      <c r="B11" s="1022">
        <f ca="1">IF(C11&lt;B2,"已过期",1120100036)</f>
        <v>1120100036</v>
      </c>
      <c r="C11" s="2344">
        <v>44675</v>
      </c>
      <c r="D11" s="2347" t="s">
        <v>838</v>
      </c>
      <c r="E11" s="1022">
        <f ca="1">IF(F11&lt;B2,"已过期",2010110070)</f>
        <v>2010110070</v>
      </c>
      <c r="F11" s="1030">
        <v>47907</v>
      </c>
    </row>
    <row r="12" spans="1:6" ht="24" customHeight="1">
      <c r="A12" s="1700"/>
      <c r="B12" s="1022"/>
      <c r="C12" s="2926"/>
      <c r="D12" s="1700"/>
      <c r="E12" s="1022"/>
      <c r="F12" s="1030"/>
    </row>
    <row r="13" spans="1:6" ht="24" customHeight="1">
      <c r="A13" s="1700" t="s">
        <v>839</v>
      </c>
      <c r="B13" s="1022">
        <f ca="1">IF(C13&lt;B2,"已过期",1120070131)</f>
        <v>1120070131</v>
      </c>
      <c r="C13" s="2344">
        <v>44849</v>
      </c>
      <c r="D13" s="2347" t="s">
        <v>839</v>
      </c>
      <c r="E13" s="1022">
        <f ca="1">IF(F13&lt;B2,"已过期",2014110011)</f>
        <v>2014110011</v>
      </c>
      <c r="F13" s="1030">
        <v>49302</v>
      </c>
    </row>
    <row r="14" spans="1:6" ht="24" customHeight="1">
      <c r="A14" s="1700" t="s">
        <v>3044</v>
      </c>
      <c r="B14" s="1022">
        <f ca="1">IF(C14&lt;B2,"已过期",1120040230)</f>
        <v>1120040230</v>
      </c>
      <c r="C14" s="2344">
        <v>44864</v>
      </c>
      <c r="D14" s="2347" t="s">
        <v>3044</v>
      </c>
      <c r="E14" s="1022">
        <f ca="1">IF(F14&lt;B2,"已过期",98030020)</f>
        <v>98030020</v>
      </c>
      <c r="F14" s="1030">
        <v>47118</v>
      </c>
    </row>
    <row r="15" spans="1:6" ht="24" customHeight="1">
      <c r="A15" s="1701"/>
      <c r="B15" s="1022"/>
      <c r="C15" s="2344"/>
      <c r="D15" s="2348"/>
      <c r="E15" s="1022"/>
      <c r="F15" s="1023"/>
    </row>
    <row r="16" spans="1:6" ht="24" customHeight="1">
      <c r="A16" s="1700"/>
      <c r="B16" s="1022"/>
      <c r="C16" s="2926"/>
      <c r="D16" s="2347"/>
      <c r="E16" s="1022"/>
      <c r="F16" s="1030"/>
    </row>
    <row r="17" spans="1:7" ht="24" customHeight="1">
      <c r="A17" s="1700"/>
      <c r="B17" s="1022"/>
      <c r="C17" s="2344"/>
      <c r="D17" s="2347"/>
      <c r="E17" s="1022"/>
      <c r="F17" s="1030"/>
    </row>
    <row r="18" spans="1:7" ht="24" customHeight="1">
      <c r="A18" s="1700" t="s">
        <v>3051</v>
      </c>
      <c r="B18" s="1022">
        <v>1120190079</v>
      </c>
      <c r="C18" s="2926">
        <v>44826</v>
      </c>
      <c r="D18" s="2347"/>
      <c r="E18" s="1022"/>
      <c r="F18" s="1030"/>
    </row>
    <row r="19" spans="1:7" ht="24" customHeight="1">
      <c r="A19" s="1700"/>
      <c r="B19" s="1022"/>
      <c r="C19" s="2344"/>
      <c r="D19" s="2347"/>
      <c r="E19" s="1022"/>
      <c r="F19" s="1022"/>
    </row>
    <row r="20" spans="1:7" ht="24" customHeight="1">
      <c r="A20" s="1700"/>
      <c r="B20" s="1022"/>
      <c r="C20" s="2344"/>
      <c r="D20" s="2347"/>
      <c r="E20" s="1022"/>
      <c r="F20" s="1022"/>
    </row>
    <row r="21" spans="1:7" ht="24" customHeight="1">
      <c r="A21" s="1700"/>
      <c r="B21" s="1022"/>
      <c r="C21" s="2344"/>
      <c r="D21" s="2347" t="s">
        <v>840</v>
      </c>
      <c r="E21" s="1022">
        <f ca="1">IF(F21&lt;B2,"已过期",2011110090)</f>
        <v>2011110090</v>
      </c>
      <c r="F21" s="1030">
        <v>48302</v>
      </c>
    </row>
    <row r="22" spans="1:7" ht="24" customHeight="1">
      <c r="A22" s="1700" t="s">
        <v>841</v>
      </c>
      <c r="B22" s="1022">
        <f ca="1">IF(C22&lt;B2,"已过期",1120020033)</f>
        <v>1120020033</v>
      </c>
      <c r="C22" s="2926">
        <v>44339</v>
      </c>
      <c r="D22" s="2347" t="s">
        <v>841</v>
      </c>
      <c r="E22" s="1022">
        <f ca="1">IF(F22&lt;B2,"已过期",2000110137)</f>
        <v>2000110137</v>
      </c>
      <c r="F22" s="1030">
        <v>46387</v>
      </c>
    </row>
    <row r="23" spans="1:7" ht="24" customHeight="1">
      <c r="A23" s="1700" t="s">
        <v>3053</v>
      </c>
      <c r="B23" s="1022">
        <v>1119980106</v>
      </c>
      <c r="C23" s="2344">
        <v>43916</v>
      </c>
      <c r="D23" s="1700" t="s">
        <v>3056</v>
      </c>
      <c r="E23" s="1022">
        <v>96010063</v>
      </c>
      <c r="F23" s="1030">
        <v>47118</v>
      </c>
    </row>
    <row r="24" spans="1:7" s="1024" customFormat="1" ht="24" customHeight="1">
      <c r="A24" s="1701" t="s">
        <v>1328</v>
      </c>
      <c r="B24" s="1701" t="s">
        <v>1328</v>
      </c>
      <c r="C24" s="2345" t="s">
        <v>1328</v>
      </c>
      <c r="D24" s="2348" t="s">
        <v>1328</v>
      </c>
      <c r="E24" s="1701" t="s">
        <v>1328</v>
      </c>
      <c r="F24" s="1701" t="s">
        <v>1328</v>
      </c>
    </row>
    <row r="25" spans="1:7" ht="24" customHeight="1">
      <c r="A25" s="2990" t="s">
        <v>842</v>
      </c>
      <c r="B25" s="2990"/>
      <c r="C25" s="2990"/>
      <c r="D25" s="2990"/>
      <c r="E25" s="2990"/>
      <c r="F25" s="2990"/>
      <c r="G25" s="2990"/>
    </row>
    <row r="26" spans="1:7" s="1025" customFormat="1" ht="24" customHeight="1">
      <c r="A26" s="2991" t="s">
        <v>843</v>
      </c>
      <c r="B26" s="2991"/>
      <c r="C26" s="2992"/>
      <c r="D26" s="2993" t="s">
        <v>844</v>
      </c>
      <c r="E26" s="2991"/>
      <c r="F26" s="2991"/>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企业提供面积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2020-03-29T09:14:25Z</dcterms:modified>
</cp:coreProperties>
</file>