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
    </mc:Choice>
  </mc:AlternateContent>
  <bookViews>
    <workbookView xWindow="480" yWindow="210" windowWidth="12120" windowHeight="7620" tabRatio="938" firstSheet="9" activeTab="4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78" r:id="rId23"/>
    <sheet name="收益法-2层" sheetId="77" state="hidden" r:id="rId24"/>
    <sheet name="收益法-1层"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1层" sheetId="79" state="hidden" r:id="rId36"/>
    <sheet name="基准地价修正-2层"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收益法!$A$1:$AK$69</definedName>
    <definedName name="_xlnm.Print_Area" localSheetId="25">'收益法 (元)'!$A$1:$AK$69</definedName>
    <definedName name="_xlnm.Print_Area" localSheetId="24">'收益法-1层'!$A$1:$AK$69</definedName>
    <definedName name="_xlnm.Print_Area" localSheetId="23">'收益法-2层'!$A$1:$AK$69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48" i="34" l="1"/>
  <c r="G48" i="34"/>
  <c r="E48" i="34"/>
  <c r="B25" i="31" l="1"/>
  <c r="B26" i="31"/>
  <c r="B27" i="31"/>
  <c r="B28" i="31"/>
  <c r="B30" i="31"/>
  <c r="B33" i="31"/>
  <c r="B36" i="31"/>
  <c r="B42" i="31"/>
  <c r="B44" i="31"/>
  <c r="A25" i="31"/>
  <c r="A26" i="31"/>
  <c r="A27" i="31"/>
  <c r="A28" i="31"/>
  <c r="A29" i="31"/>
  <c r="A30" i="31"/>
  <c r="A31" i="31"/>
  <c r="A32" i="31"/>
  <c r="A33" i="31"/>
  <c r="A34" i="31"/>
  <c r="A35" i="31"/>
  <c r="A36" i="31"/>
  <c r="A37" i="31"/>
  <c r="A38" i="31"/>
  <c r="A39" i="31"/>
  <c r="A40" i="31"/>
  <c r="A41" i="31"/>
  <c r="A42" i="31"/>
  <c r="A43" i="31"/>
  <c r="A44" i="31"/>
  <c r="A24" i="31"/>
  <c r="B24" i="31"/>
  <c r="C42" i="34"/>
  <c r="C37" i="34"/>
  <c r="C25" i="34"/>
  <c r="I37" i="34"/>
  <c r="I25" i="34"/>
  <c r="G25" i="34"/>
  <c r="E25" i="34"/>
  <c r="F19" i="6"/>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N67" i="79"/>
  <c r="M67" i="79"/>
  <c r="K67" i="79"/>
  <c r="J67" i="79" s="1"/>
  <c r="D67" i="79"/>
  <c r="M66" i="79"/>
  <c r="N66" i="79" s="1"/>
  <c r="K66" i="79"/>
  <c r="J66" i="79"/>
  <c r="D66" i="79"/>
  <c r="N65" i="79"/>
  <c r="M65" i="79"/>
  <c r="K65" i="79"/>
  <c r="J65" i="79" s="1"/>
  <c r="D65" i="79"/>
  <c r="M64" i="79"/>
  <c r="N64" i="79" s="1"/>
  <c r="K64" i="79"/>
  <c r="J64" i="79"/>
  <c r="D64" i="79"/>
  <c r="M63" i="79"/>
  <c r="N63" i="79" s="1"/>
  <c r="K63" i="79"/>
  <c r="J63" i="79" s="1"/>
  <c r="D63" i="79"/>
  <c r="N62" i="79"/>
  <c r="M62" i="79"/>
  <c r="K62" i="79"/>
  <c r="J62" i="79" s="1"/>
  <c r="D62" i="79"/>
  <c r="N61" i="79"/>
  <c r="M61" i="79"/>
  <c r="K61" i="79"/>
  <c r="J61" i="79" s="1"/>
  <c r="D61" i="79"/>
  <c r="B61" i="79"/>
  <c r="M60" i="79"/>
  <c r="N60" i="79" s="1"/>
  <c r="K60" i="79"/>
  <c r="J60" i="79"/>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5" i="79"/>
  <c r="AH12" i="79"/>
  <c r="AD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F61" i="78"/>
  <c r="Q59" i="78"/>
  <c r="F59" i="78"/>
  <c r="Q58" i="78"/>
  <c r="Q51" i="78"/>
  <c r="J50" i="78"/>
  <c r="M47" i="78"/>
  <c r="D46" i="78"/>
  <c r="F33" i="78"/>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N6" i="1"/>
  <c r="Y6" i="1" s="1"/>
  <c r="D29" i="43"/>
  <c r="D29" i="79"/>
  <c r="D1" i="79" s="1"/>
  <c r="A3" i="3"/>
  <c r="AB12" i="79" l="1"/>
  <c r="AF12" i="79"/>
  <c r="AJ12" i="79"/>
  <c r="D54" i="79"/>
  <c r="E81" i="79"/>
  <c r="B79" i="79" s="1"/>
  <c r="E59" i="79"/>
  <c r="B57" i="79" s="1"/>
  <c r="E70" i="79"/>
  <c r="B68" i="79" s="1"/>
  <c r="H81" i="79"/>
  <c r="D48" i="79"/>
  <c r="E48" i="79"/>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C5" i="79" s="1"/>
  <c r="G39" i="79"/>
  <c r="I39" i="79" s="1"/>
  <c r="A21" i="62" l="1"/>
  <c r="A20" i="62"/>
  <c r="A22" i="51"/>
  <c r="A21" i="51"/>
  <c r="A20" i="51"/>
  <c r="A14" i="62" l="1"/>
  <c r="A13" i="62"/>
  <c r="A2" i="53"/>
  <c r="A19" i="62" l="1"/>
  <c r="A12" i="62"/>
  <c r="A120" i="9"/>
  <c r="H2" i="52"/>
  <c r="A1" i="52"/>
  <c r="A3" i="53"/>
  <c r="L5" i="71" l="1"/>
  <c r="Q5" i="71" s="1"/>
  <c r="K5" i="71"/>
  <c r="P5" i="71" s="1"/>
  <c r="J5" i="71"/>
  <c r="O5" i="71" s="1"/>
  <c r="I5" i="71"/>
  <c r="N5" i="71" s="1"/>
  <c r="A15" i="51" l="1"/>
  <c r="B13" i="76"/>
  <c r="B8" i="76"/>
  <c r="B9" i="76"/>
  <c r="E9" i="76"/>
  <c r="B11" i="76"/>
  <c r="B10" i="76"/>
  <c r="E13" i="76"/>
  <c r="E8" i="76"/>
  <c r="E12" i="76"/>
  <c r="E10" i="76"/>
  <c r="E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F6" i="73"/>
  <c r="F4" i="73"/>
  <c r="D7" i="73"/>
  <c r="I1" i="73" l="1"/>
  <c r="B39" i="1" s="1"/>
  <c r="D6" i="73"/>
  <c r="D3" i="73"/>
  <c r="D4" i="73"/>
  <c r="D5" i="73"/>
  <c r="E20" i="79" l="1"/>
  <c r="N17" i="79" s="1"/>
  <c r="E20" i="43"/>
  <c r="P17" i="79"/>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9" l="1"/>
  <c r="M17" i="79"/>
  <c r="G20" i="79" s="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C21" i="21"/>
  <c r="Q21" i="21"/>
  <c r="Z21" i="21" s="1"/>
  <c r="H19" i="21"/>
  <c r="D83" i="21"/>
  <c r="F21" i="21" s="1"/>
  <c r="AA21" i="21" s="1"/>
  <c r="D81" i="21"/>
  <c r="G20" i="20"/>
  <c r="C22" i="20"/>
  <c r="AO9" i="1"/>
  <c r="AO10" i="1"/>
  <c r="AO13" i="1"/>
  <c r="AO12" i="1"/>
  <c r="AO11"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6" i="31"/>
  <c r="G40"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AZ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D78" i="36"/>
  <c r="E78" i="36" s="1"/>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s="1"/>
  <c r="B73" i="35"/>
  <c r="B57" i="35"/>
  <c r="B61" i="35"/>
  <c r="J13" i="35" s="1"/>
  <c r="AC13" i="35" s="1"/>
  <c r="B59" i="35"/>
  <c r="J12" i="35" s="1"/>
  <c r="W12" i="35" s="1"/>
  <c r="B131" i="34"/>
  <c r="B129" i="34"/>
  <c r="B127" i="34"/>
  <c r="J45" i="34" s="1"/>
  <c r="W45" i="34" s="1"/>
  <c r="B99" i="34"/>
  <c r="B97" i="34"/>
  <c r="B95" i="34"/>
  <c r="B93" i="34"/>
  <c r="F29" i="34" s="1"/>
  <c r="S29" i="34" s="1"/>
  <c r="B75" i="34"/>
  <c r="B73" i="34"/>
  <c r="B71" i="34"/>
  <c r="H12" i="34" s="1"/>
  <c r="B130" i="33"/>
  <c r="F46" i="33" s="1"/>
  <c r="AA46" i="33" s="1"/>
  <c r="B128" i="33"/>
  <c r="B126" i="33"/>
  <c r="B98" i="33"/>
  <c r="B96" i="33"/>
  <c r="F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D124" i="34"/>
  <c r="E124" i="34" s="1"/>
  <c r="F124" i="34" s="1"/>
  <c r="G124" i="34" s="1"/>
  <c r="H124" i="34" s="1"/>
  <c r="I124" i="34" s="1"/>
  <c r="J124" i="34" s="1"/>
  <c r="K124" i="34" s="1"/>
  <c r="L124" i="34" s="1"/>
  <c r="M124" i="34" s="1"/>
  <c r="D118" i="34"/>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J12" i="34"/>
  <c r="W12" i="34" s="1"/>
  <c r="F12" i="34"/>
  <c r="S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B96" i="21"/>
  <c r="H30" i="21" s="1"/>
  <c r="U30" i="21" s="1"/>
  <c r="B94" i="21"/>
  <c r="B92" i="21"/>
  <c r="F28" i="21" s="1"/>
  <c r="AA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S5" i="3" s="1"/>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H36" i="39"/>
  <c r="AB36" i="39" s="1"/>
  <c r="J35" i="39"/>
  <c r="AC35" i="39" s="1"/>
  <c r="F35" i="39"/>
  <c r="W40" i="39"/>
  <c r="W25" i="37"/>
  <c r="W31" i="37"/>
  <c r="F29" i="36"/>
  <c r="AA29" i="36" s="1"/>
  <c r="W8" i="36"/>
  <c r="F16" i="36"/>
  <c r="AA16" i="36" s="1"/>
  <c r="U9" i="36"/>
  <c r="S30" i="36"/>
  <c r="AA31" i="36"/>
  <c r="W31" i="36"/>
  <c r="J33" i="36"/>
  <c r="W33" i="36" s="1"/>
  <c r="H22" i="35"/>
  <c r="AB22" i="35" s="1"/>
  <c r="AC27" i="35"/>
  <c r="W28" i="35"/>
  <c r="U31" i="35"/>
  <c r="W22" i="35"/>
  <c r="S31" i="35"/>
  <c r="F36" i="34"/>
  <c r="J35" i="34"/>
  <c r="S34" i="34"/>
  <c r="H39" i="33"/>
  <c r="AB39" i="33" s="1"/>
  <c r="F26" i="33"/>
  <c r="AA26" i="33" s="1"/>
  <c r="U35" i="33"/>
  <c r="S27" i="35"/>
  <c r="F11" i="40"/>
  <c r="AA11" i="40" s="1"/>
  <c r="H11" i="40"/>
  <c r="AB11" i="40" s="1"/>
  <c r="AA9" i="40"/>
  <c r="AC9" i="40"/>
  <c r="S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1" i="39"/>
  <c r="H11" i="39"/>
  <c r="S19" i="39"/>
  <c r="H32" i="33"/>
  <c r="AB32" i="33" s="1"/>
  <c r="H11" i="21"/>
  <c r="J11" i="21"/>
  <c r="W11" i="21" s="1"/>
  <c r="H37" i="40"/>
  <c r="U37" i="40" s="1"/>
  <c r="H36" i="40"/>
  <c r="AB36" i="40" s="1"/>
  <c r="F35" i="40"/>
  <c r="AA35" i="40" s="1"/>
  <c r="H23" i="40"/>
  <c r="AB23" i="40" s="1"/>
  <c r="H17" i="40"/>
  <c r="U17" i="40" s="1"/>
  <c r="J15" i="40"/>
  <c r="W15" i="40" s="1"/>
  <c r="J11" i="40"/>
  <c r="AB8" i="39"/>
  <c r="AB12" i="33"/>
  <c r="AC12" i="34"/>
  <c r="AB12" i="35"/>
  <c r="J34" i="36"/>
  <c r="J30" i="35"/>
  <c r="W30" i="35" s="1"/>
  <c r="H30" i="35"/>
  <c r="AB30" i="35" s="1"/>
  <c r="F22" i="35"/>
  <c r="AA22" i="35" s="1"/>
  <c r="H10" i="35"/>
  <c r="U10" i="35" s="1"/>
  <c r="AC16" i="36"/>
  <c r="F33" i="36"/>
  <c r="AA33" i="36"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AC33" i="37" s="1"/>
  <c r="U42" i="34"/>
  <c r="E114" i="34"/>
  <c r="F114" i="34" s="1"/>
  <c r="G114" i="34" s="1"/>
  <c r="H114" i="34" s="1"/>
  <c r="I114" i="34" s="1"/>
  <c r="J114" i="34" s="1"/>
  <c r="K114" i="34" s="1"/>
  <c r="L114" i="34" s="1"/>
  <c r="M114" i="34" s="1"/>
  <c r="H36" i="34"/>
  <c r="U36" i="34" s="1"/>
  <c r="F37" i="34"/>
  <c r="AA37" i="34" s="1"/>
  <c r="S35" i="34"/>
  <c r="F27" i="34"/>
  <c r="AA27" i="34" s="1"/>
  <c r="H23" i="34"/>
  <c r="J23" i="34"/>
  <c r="F19" i="34"/>
  <c r="H17" i="34"/>
  <c r="U17" i="34" s="1"/>
  <c r="F15" i="34"/>
  <c r="AA15" i="34" s="1"/>
  <c r="H15" i="34"/>
  <c r="AB15" i="34" s="1"/>
  <c r="F41"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U34" i="37"/>
  <c r="S34" i="37"/>
  <c r="AA34" i="37"/>
  <c r="AB42" i="34"/>
  <c r="J40" i="34"/>
  <c r="H38" i="34"/>
  <c r="AB38" i="34" s="1"/>
  <c r="J36" i="34"/>
  <c r="W36" i="34" s="1"/>
  <c r="H37" i="34"/>
  <c r="U37" i="34" s="1"/>
  <c r="F23" i="34"/>
  <c r="AA23" i="34" s="1"/>
  <c r="J19" i="34"/>
  <c r="AC19" i="34" s="1"/>
  <c r="F17" i="34"/>
  <c r="AA17" i="34" s="1"/>
  <c r="J17" i="34"/>
  <c r="W17" i="34" s="1"/>
  <c r="AB17" i="34"/>
  <c r="H37" i="33"/>
  <c r="AB37" i="33" s="1"/>
  <c r="H15" i="33"/>
  <c r="AB15" i="33" s="1"/>
  <c r="H11" i="33"/>
  <c r="AB11" i="33" s="1"/>
  <c r="F28" i="40"/>
  <c r="AA28" i="40" s="1"/>
  <c r="AA42" i="34"/>
  <c r="S42" i="34"/>
  <c r="AA38" i="34"/>
  <c r="J37" i="34"/>
  <c r="J11" i="33"/>
  <c r="W11" i="33" s="1"/>
  <c r="S28" i="34"/>
  <c r="G123" i="21"/>
  <c r="H123" i="21" s="1"/>
  <c r="I123" i="21" s="1"/>
  <c r="J123" i="21" s="1"/>
  <c r="K123" i="21" s="1"/>
  <c r="L123" i="21" s="1"/>
  <c r="M123" i="21" s="1"/>
  <c r="J42" i="21"/>
  <c r="AC42" i="21" s="1"/>
  <c r="H42" i="21"/>
  <c r="U42" i="21" s="1"/>
  <c r="F44" i="34"/>
  <c r="J10" i="35"/>
  <c r="W10" i="35" s="1"/>
  <c r="F14" i="21"/>
  <c r="S14" i="21" s="1"/>
  <c r="H28" i="21"/>
  <c r="AB28" i="21" s="1"/>
  <c r="J28" i="21"/>
  <c r="F30" i="21"/>
  <c r="S30" i="21" s="1"/>
  <c r="J44" i="21"/>
  <c r="AC44" i="21" s="1"/>
  <c r="F44" i="21"/>
  <c r="AA44" i="21" s="1"/>
  <c r="J46" i="21"/>
  <c r="W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J31" i="21"/>
  <c r="AC31"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H13" i="36"/>
  <c r="AB13" i="36" s="1"/>
  <c r="J13" i="36"/>
  <c r="AC13" i="36" s="1"/>
  <c r="F13" i="36"/>
  <c r="S13" i="36" s="1"/>
  <c r="J29" i="37"/>
  <c r="W29" i="37" s="1"/>
  <c r="F29" i="37"/>
  <c r="S29" i="37" s="1"/>
  <c r="H36" i="37"/>
  <c r="AB36" i="37" s="1"/>
  <c r="F107" i="37"/>
  <c r="J37" i="37"/>
  <c r="AC37" i="37" s="1"/>
  <c r="H37" i="37"/>
  <c r="U37" i="37" s="1"/>
  <c r="J40" i="37"/>
  <c r="AC12" i="40"/>
  <c r="F14" i="33"/>
  <c r="S14" i="33" s="1"/>
  <c r="H30" i="33"/>
  <c r="J30" i="33"/>
  <c r="J44" i="33"/>
  <c r="AC44" i="33" s="1"/>
  <c r="J46" i="33"/>
  <c r="AC46" i="33" s="1"/>
  <c r="H46" i="33"/>
  <c r="AB46" i="33" s="1"/>
  <c r="J13" i="34"/>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H13" i="39"/>
  <c r="H14" i="40"/>
  <c r="AB14" i="40" s="1"/>
  <c r="J14" i="40"/>
  <c r="W14" i="40" s="1"/>
  <c r="F14" i="40"/>
  <c r="J14" i="37"/>
  <c r="AC14" i="37" s="1"/>
  <c r="AA47" i="34"/>
  <c r="U46" i="33"/>
  <c r="AA14" i="33"/>
  <c r="J36" i="37"/>
  <c r="AC36" i="37" s="1"/>
  <c r="AB11" i="36"/>
  <c r="J10" i="36"/>
  <c r="AC10" i="36" s="1"/>
  <c r="AB26" i="33"/>
  <c r="AB30" i="21"/>
  <c r="AA14" i="37"/>
  <c r="W13" i="36"/>
  <c r="W11" i="35"/>
  <c r="AB46" i="34"/>
  <c r="AC30" i="34"/>
  <c r="S45" i="33"/>
  <c r="AB45" i="33"/>
  <c r="AB31" i="33"/>
  <c r="U31" i="33"/>
  <c r="W29" i="33"/>
  <c r="U13" i="33"/>
  <c r="F17" i="21"/>
  <c r="AA17" i="21" s="1"/>
  <c r="H17" i="21"/>
  <c r="AB17" i="21" s="1"/>
  <c r="F15" i="21"/>
  <c r="S15" i="21" s="1"/>
  <c r="J41" i="39"/>
  <c r="W41" i="39" s="1"/>
  <c r="W35" i="39"/>
  <c r="G536" i="3"/>
  <c r="G528" i="3"/>
  <c r="G514" i="3"/>
  <c r="G500" i="3"/>
  <c r="G584" i="3"/>
  <c r="G576" i="3"/>
  <c r="G568" i="3"/>
  <c r="G560" i="3"/>
  <c r="BL584" i="3"/>
  <c r="BL580" i="3"/>
  <c r="BL576" i="3"/>
  <c r="BL572" i="3"/>
  <c r="BL568" i="3"/>
  <c r="BL564" i="3"/>
  <c r="BL560" i="3"/>
  <c r="BL554" i="3"/>
  <c r="BL546" i="3"/>
  <c r="BL538" i="3"/>
  <c r="BL530" i="3"/>
  <c r="BL522" i="3"/>
  <c r="BL512" i="3"/>
  <c r="BL502" i="3"/>
  <c r="BL494" i="3"/>
  <c r="BL582" i="3"/>
  <c r="BL578" i="3"/>
  <c r="BL574" i="3"/>
  <c r="BL570" i="3"/>
  <c r="BL566" i="3"/>
  <c r="BL562" i="3"/>
  <c r="BL556" i="3"/>
  <c r="BL552" i="3"/>
  <c r="BL540" i="3"/>
  <c r="G533" i="3"/>
  <c r="G529" i="3"/>
  <c r="G525" i="3"/>
  <c r="BL518" i="3"/>
  <c r="BL510" i="3"/>
  <c r="BL500" i="3"/>
  <c r="G493" i="3"/>
  <c r="BA584" i="3"/>
  <c r="BA582" i="3"/>
  <c r="BA580" i="3"/>
  <c r="BA578" i="3"/>
  <c r="AZ578" i="3" s="1"/>
  <c r="BA576" i="3"/>
  <c r="BA574" i="3"/>
  <c r="BA572" i="3"/>
  <c r="BA570" i="3"/>
  <c r="AZ570" i="3" s="1"/>
  <c r="BA568" i="3"/>
  <c r="BA566" i="3"/>
  <c r="BA564" i="3"/>
  <c r="BA562" i="3"/>
  <c r="AZ562" i="3" s="1"/>
  <c r="BA560" i="3"/>
  <c r="BA558" i="3"/>
  <c r="BA556" i="3"/>
  <c r="AZ556" i="3" s="1"/>
  <c r="BA554" i="3"/>
  <c r="BA552" i="3"/>
  <c r="BA548" i="3"/>
  <c r="BA544" i="3"/>
  <c r="BA540" i="3"/>
  <c r="AZ540" i="3" s="1"/>
  <c r="BA536" i="3"/>
  <c r="BA532" i="3"/>
  <c r="AZ532" i="3" s="1"/>
  <c r="BA530" i="3"/>
  <c r="AZ530" i="3" s="1"/>
  <c r="BA526" i="3"/>
  <c r="BA522" i="3"/>
  <c r="BA518" i="3"/>
  <c r="AZ518" i="3" s="1"/>
  <c r="BA516" i="3"/>
  <c r="BA512" i="3"/>
  <c r="AZ512" i="3" s="1"/>
  <c r="BA508" i="3"/>
  <c r="BA504" i="3"/>
  <c r="BA500" i="3"/>
  <c r="AZ500" i="3" s="1"/>
  <c r="BA496" i="3"/>
  <c r="BA587" i="3"/>
  <c r="BA583" i="3"/>
  <c r="BA581" i="3"/>
  <c r="BA579" i="3"/>
  <c r="BA577" i="3"/>
  <c r="BA575" i="3"/>
  <c r="BA573" i="3"/>
  <c r="BA571" i="3"/>
  <c r="BA569" i="3"/>
  <c r="BA567" i="3"/>
  <c r="BA565" i="3"/>
  <c r="BA563" i="3"/>
  <c r="BA561" i="3"/>
  <c r="BA559" i="3"/>
  <c r="BA555" i="3"/>
  <c r="BA553" i="3"/>
  <c r="BA549" i="3"/>
  <c r="BA545" i="3"/>
  <c r="BA541" i="3"/>
  <c r="BA537" i="3"/>
  <c r="BA533" i="3"/>
  <c r="BA529" i="3"/>
  <c r="BA525" i="3"/>
  <c r="BA519" i="3"/>
  <c r="BA515" i="3"/>
  <c r="BA511" i="3"/>
  <c r="BA505" i="3"/>
  <c r="BA501" i="3"/>
  <c r="BA497"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7" i="3"/>
  <c r="G543" i="3"/>
  <c r="G539" i="3"/>
  <c r="BQ555" i="3"/>
  <c r="BL555" i="3" s="1"/>
  <c r="BQ553" i="3"/>
  <c r="BL553" i="3" s="1"/>
  <c r="AZ553" i="3" s="1"/>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L515" i="3" s="1"/>
  <c r="BQ513" i="3"/>
  <c r="BQ511" i="3"/>
  <c r="BL511" i="3" s="1"/>
  <c r="AC509" i="3"/>
  <c r="BQ509" i="3"/>
  <c r="BL509" i="3"/>
  <c r="G505" i="3"/>
  <c r="G501" i="3"/>
  <c r="G497" i="3"/>
  <c r="BQ507" i="3"/>
  <c r="BL507" i="3" s="1"/>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3" i="36"/>
  <c r="U35" i="35"/>
  <c r="U33" i="37"/>
  <c r="W26" i="37"/>
  <c r="AC8" i="37"/>
  <c r="U26" i="37"/>
  <c r="AC36" i="34"/>
  <c r="AA13" i="33"/>
  <c r="AC45" i="33"/>
  <c r="W44" i="33"/>
  <c r="U11" i="33"/>
  <c r="U19" i="21"/>
  <c r="U26" i="21"/>
  <c r="U12" i="21"/>
  <c r="F43" i="33"/>
  <c r="AA43" i="33" s="1"/>
  <c r="W16" i="35"/>
  <c r="G107" i="37"/>
  <c r="H107" i="37" s="1"/>
  <c r="I107" i="37" s="1"/>
  <c r="J107" i="37" s="1"/>
  <c r="K107" i="37" s="1"/>
  <c r="L107" i="37" s="1"/>
  <c r="M107" i="37" s="1"/>
  <c r="H37" i="21"/>
  <c r="U37" i="21" s="1"/>
  <c r="S42" i="21"/>
  <c r="H19" i="34"/>
  <c r="AB19" i="34"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AC13" i="40"/>
  <c r="AB33" i="40"/>
  <c r="W23" i="39"/>
  <c r="W43" i="39"/>
  <c r="AB45" i="39"/>
  <c r="H25" i="39"/>
  <c r="AB25" i="39" s="1"/>
  <c r="J25" i="39"/>
  <c r="F25" i="39"/>
  <c r="AA25" i="39" s="1"/>
  <c r="F15" i="39"/>
  <c r="AA15" i="39" s="1"/>
  <c r="H15" i="39"/>
  <c r="U15" i="39" s="1"/>
  <c r="J15" i="39"/>
  <c r="W15" i="39" s="1"/>
  <c r="F89" i="39"/>
  <c r="G89" i="39" s="1"/>
  <c r="H41" i="39"/>
  <c r="W12" i="39"/>
  <c r="W27" i="39"/>
  <c r="AB34" i="39"/>
  <c r="U40" i="39"/>
  <c r="S42" i="39"/>
  <c r="W14"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G149" i="3"/>
  <c r="BA151" i="3"/>
  <c r="BL152" i="3"/>
  <c r="AZ152" i="3" s="1"/>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G197" i="3"/>
  <c r="BA199" i="3"/>
  <c r="BL200" i="3"/>
  <c r="G201" i="3"/>
  <c r="BA203" i="3"/>
  <c r="BL204" i="3"/>
  <c r="AZ39" i="3"/>
  <c r="AZ51" i="3"/>
  <c r="AZ55" i="3"/>
  <c r="AZ79" i="3"/>
  <c r="AZ83" i="3"/>
  <c r="AZ144" i="3"/>
  <c r="AZ192" i="3"/>
  <c r="AZ85" i="3"/>
  <c r="AZ89" i="3"/>
  <c r="AZ105"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58" i="3"/>
  <c r="AZ182" i="3"/>
  <c r="BA16" i="3"/>
  <c r="AZ16" i="3" s="1"/>
  <c r="BL303" i="3"/>
  <c r="G304" i="3"/>
  <c r="BA306" i="3"/>
  <c r="AZ306" i="3"/>
  <c r="BL307" i="3"/>
  <c r="AZ307" i="3"/>
  <c r="G308" i="3"/>
  <c r="BA310" i="3"/>
  <c r="BL311" i="3"/>
  <c r="G312" i="3"/>
  <c r="BA314" i="3"/>
  <c r="AZ314" i="3" s="1"/>
  <c r="BL315" i="3"/>
  <c r="G316" i="3"/>
  <c r="BA318" i="3"/>
  <c r="AZ318" i="3" s="1"/>
  <c r="BL319" i="3"/>
  <c r="G320" i="3"/>
  <c r="BA322" i="3"/>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BL374" i="3"/>
  <c r="G375" i="3"/>
  <c r="BA377" i="3"/>
  <c r="AZ377" i="3" s="1"/>
  <c r="AZ241" i="3"/>
  <c r="AZ245" i="3"/>
  <c r="AZ249" i="3"/>
  <c r="AZ253" i="3"/>
  <c r="AZ269" i="3"/>
  <c r="BA379" i="3"/>
  <c r="AZ379" i="3" s="1"/>
  <c r="BL380" i="3"/>
  <c r="G381" i="3"/>
  <c r="BA383" i="3"/>
  <c r="BL384" i="3"/>
  <c r="G385" i="3"/>
  <c r="BA387" i="3"/>
  <c r="AZ387" i="3" s="1"/>
  <c r="BL388" i="3"/>
  <c r="G389" i="3"/>
  <c r="BA391" i="3"/>
  <c r="BL392" i="3"/>
  <c r="G393" i="3"/>
  <c r="AZ295" i="3"/>
  <c r="BO5" i="3"/>
  <c r="AZ341" i="3"/>
  <c r="G548" i="3"/>
  <c r="G538" i="3"/>
  <c r="G520" i="3"/>
  <c r="G502" i="3"/>
  <c r="AZ343" i="3"/>
  <c r="G17" i="3"/>
  <c r="AZ380" i="3"/>
  <c r="AZ388" i="3"/>
  <c r="AZ392" i="3"/>
  <c r="BL493" i="3"/>
  <c r="AZ376" i="3"/>
  <c r="U36" i="40"/>
  <c r="N4" i="43"/>
  <c r="F36" i="43"/>
  <c r="F81" i="43"/>
  <c r="H83" i="43" s="1"/>
  <c r="H113" i="43"/>
  <c r="N7" i="43"/>
  <c r="F70" i="43"/>
  <c r="H73" i="43" s="1"/>
  <c r="M6" i="43"/>
  <c r="M11" i="43"/>
  <c r="E17" i="43"/>
  <c r="F39" i="43"/>
  <c r="I17" i="43"/>
  <c r="F35" i="43"/>
  <c r="J17" i="43"/>
  <c r="F6" i="1"/>
  <c r="I20" i="79" s="1"/>
  <c r="C20" i="79" s="1"/>
  <c r="U17" i="39"/>
  <c r="S14" i="35"/>
  <c r="U43" i="21"/>
  <c r="U35" i="21"/>
  <c r="AC35" i="21"/>
  <c r="U10" i="21"/>
  <c r="G8" i="1"/>
  <c r="O6" i="1"/>
  <c r="P6" i="1" s="1"/>
  <c r="G9" i="1"/>
  <c r="G10" i="1"/>
  <c r="F48" i="9"/>
  <c r="O52" i="9" s="1"/>
  <c r="AC11" i="39"/>
  <c r="AZ563" i="3"/>
  <c r="W37" i="37"/>
  <c r="S15" i="37"/>
  <c r="U12" i="40"/>
  <c r="J37" i="33"/>
  <c r="W37" i="33" s="1"/>
  <c r="AC17" i="34"/>
  <c r="F106" i="33"/>
  <c r="G106" i="33" s="1"/>
  <c r="H106" i="33" s="1"/>
  <c r="I106" i="33" s="1"/>
  <c r="J106" i="33" s="1"/>
  <c r="K106" i="33" s="1"/>
  <c r="L106" i="33" s="1"/>
  <c r="M106" i="33" s="1"/>
  <c r="J34" i="33"/>
  <c r="W34" i="33" s="1"/>
  <c r="AC27" i="34"/>
  <c r="F33" i="34"/>
  <c r="S33" i="34" s="1"/>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C40" i="11"/>
  <c r="AZ240" i="3"/>
  <c r="AZ243" i="3"/>
  <c r="AZ251" i="3"/>
  <c r="AZ256" i="3"/>
  <c r="AZ296" i="3"/>
  <c r="AZ42" i="3"/>
  <c r="AZ53" i="3"/>
  <c r="AZ58" i="3"/>
  <c r="AZ82" i="3"/>
  <c r="AZ102" i="3"/>
  <c r="H75" i="43"/>
  <c r="I20" i="43"/>
  <c r="F23" i="39"/>
  <c r="AA23" i="39" s="1"/>
  <c r="F97" i="39"/>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E8" i="31" l="1"/>
  <c r="F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AZ528" i="3"/>
  <c r="AZ524" i="3"/>
  <c r="AZ514" i="3"/>
  <c r="AZ506" i="3"/>
  <c r="AZ498" i="3"/>
  <c r="AZ119" i="3"/>
  <c r="AZ520" i="3"/>
  <c r="W11" i="40"/>
  <c r="AC11" i="40"/>
  <c r="AB34" i="21"/>
  <c r="U34" i="21"/>
  <c r="BA585" i="3"/>
  <c r="J27" i="21"/>
  <c r="W27" i="21" s="1"/>
  <c r="H27" i="21"/>
  <c r="AB27" i="21" s="1"/>
  <c r="J29" i="21"/>
  <c r="AC29" i="21" s="1"/>
  <c r="H29" i="21"/>
  <c r="U29" i="21" s="1"/>
  <c r="H31" i="21"/>
  <c r="F31" i="21"/>
  <c r="S31" i="21" s="1"/>
  <c r="B71" i="43"/>
  <c r="B49" i="79"/>
  <c r="B71" i="79"/>
  <c r="B60" i="79"/>
  <c r="B74" i="43"/>
  <c r="B74" i="79"/>
  <c r="B65" i="79"/>
  <c r="B54" i="79"/>
  <c r="C27" i="39"/>
  <c r="B81" i="43"/>
  <c r="B81" i="79"/>
  <c r="B85" i="43"/>
  <c r="B85" i="79"/>
  <c r="E116" i="34"/>
  <c r="F116" i="34" s="1"/>
  <c r="G116" i="34" s="1"/>
  <c r="H116" i="34" s="1"/>
  <c r="I116" i="34" s="1"/>
  <c r="J116" i="34" s="1"/>
  <c r="K116" i="34" s="1"/>
  <c r="L116" i="34" s="1"/>
  <c r="M116" i="34" s="1"/>
  <c r="H39" i="34"/>
  <c r="AB39" i="34" s="1"/>
  <c r="AC34" i="35"/>
  <c r="W34" i="35"/>
  <c r="H36" i="35"/>
  <c r="AB36" i="35" s="1"/>
  <c r="J36" i="35"/>
  <c r="U8" i="36"/>
  <c r="AB8" i="36"/>
  <c r="AC28" i="36"/>
  <c r="W28" i="36"/>
  <c r="J12" i="36"/>
  <c r="H12" i="36"/>
  <c r="U12" i="36" s="1"/>
  <c r="H23" i="36"/>
  <c r="AB23" i="36" s="1"/>
  <c r="J23" i="36"/>
  <c r="AC23" i="36" s="1"/>
  <c r="J25" i="36"/>
  <c r="W25" i="36" s="1"/>
  <c r="H25" i="36"/>
  <c r="AB25" i="36" s="1"/>
  <c r="F32" i="36"/>
  <c r="AA32" i="36" s="1"/>
  <c r="H32" i="36"/>
  <c r="AB32" i="36" s="1"/>
  <c r="H27" i="37"/>
  <c r="F27" i="37"/>
  <c r="AA27" i="37" s="1"/>
  <c r="J27" i="37"/>
  <c r="AC27" i="37" s="1"/>
  <c r="H40" i="37"/>
  <c r="U40" i="37" s="1"/>
  <c r="F40" i="37"/>
  <c r="AA40" i="37" s="1"/>
  <c r="J39" i="37"/>
  <c r="AC39" i="37" s="1"/>
  <c r="H39" i="37"/>
  <c r="AB9" i="39"/>
  <c r="U9" i="39"/>
  <c r="H44" i="39"/>
  <c r="J44" i="39"/>
  <c r="J37" i="39"/>
  <c r="F37" i="39"/>
  <c r="AA37" i="39" s="1"/>
  <c r="AC8" i="40"/>
  <c r="W8" i="40"/>
  <c r="AZ127" i="3"/>
  <c r="AZ495" i="3"/>
  <c r="AZ499" i="3"/>
  <c r="AZ531" i="3"/>
  <c r="AZ535" i="3"/>
  <c r="AZ539" i="3"/>
  <c r="AZ543" i="3"/>
  <c r="AZ547" i="3"/>
  <c r="AZ587" i="3"/>
  <c r="AZ536" i="3"/>
  <c r="AZ544" i="3"/>
  <c r="W13" i="34"/>
  <c r="AC13" i="34"/>
  <c r="U11" i="21"/>
  <c r="AB11" i="21"/>
  <c r="AA34" i="33"/>
  <c r="H74" i="43"/>
  <c r="S31" i="39"/>
  <c r="AA12" i="40"/>
  <c r="AZ391" i="3"/>
  <c r="AZ383" i="3"/>
  <c r="AZ373" i="3"/>
  <c r="AZ322" i="3"/>
  <c r="AZ311" i="3"/>
  <c r="AZ371" i="3"/>
  <c r="AZ115" i="3"/>
  <c r="AA41" i="39"/>
  <c r="H37" i="39"/>
  <c r="AB37" i="39" s="1"/>
  <c r="AA25" i="21"/>
  <c r="F36" i="35"/>
  <c r="S36" i="35" s="1"/>
  <c r="AB38" i="21"/>
  <c r="W14" i="37"/>
  <c r="BL497" i="3"/>
  <c r="BL501" i="3"/>
  <c r="AZ501" i="3" s="1"/>
  <c r="BL505" i="3"/>
  <c r="AZ505" i="3" s="1"/>
  <c r="BL513" i="3"/>
  <c r="AZ513" i="3" s="1"/>
  <c r="BL517" i="3"/>
  <c r="AZ517" i="3" s="1"/>
  <c r="BL521" i="3"/>
  <c r="AZ521" i="3" s="1"/>
  <c r="BL525" i="3"/>
  <c r="AZ525" i="3" s="1"/>
  <c r="BL529" i="3"/>
  <c r="BL533" i="3"/>
  <c r="AZ533" i="3" s="1"/>
  <c r="BL537" i="3"/>
  <c r="AZ537" i="3" s="1"/>
  <c r="BL541" i="3"/>
  <c r="AZ541" i="3" s="1"/>
  <c r="BL545" i="3"/>
  <c r="AZ545" i="3" s="1"/>
  <c r="BL549" i="3"/>
  <c r="AZ558" i="3"/>
  <c r="AZ552" i="3"/>
  <c r="AZ560" i="3"/>
  <c r="AZ568" i="3"/>
  <c r="AZ576" i="3"/>
  <c r="AZ584" i="3"/>
  <c r="W28" i="37"/>
  <c r="F13" i="39"/>
  <c r="H13" i="37"/>
  <c r="S13" i="35"/>
  <c r="AA13" i="35"/>
  <c r="AB30" i="33"/>
  <c r="U30" i="33"/>
  <c r="F45" i="21"/>
  <c r="AA45" i="21" s="1"/>
  <c r="F27" i="21"/>
  <c r="AA27" i="21" s="1"/>
  <c r="AA44" i="34"/>
  <c r="S44" i="34"/>
  <c r="W33" i="37"/>
  <c r="S8" i="33"/>
  <c r="W34" i="36"/>
  <c r="AC34" i="36"/>
  <c r="U34" i="40"/>
  <c r="AB39" i="40"/>
  <c r="W33" i="33"/>
  <c r="U34" i="34"/>
  <c r="AA35" i="39"/>
  <c r="S35" i="39"/>
  <c r="H9" i="33"/>
  <c r="AB9" i="33" s="1"/>
  <c r="F9" i="33"/>
  <c r="AC26" i="33"/>
  <c r="W26" i="33"/>
  <c r="AC8" i="34"/>
  <c r="W8" i="34"/>
  <c r="E78" i="34"/>
  <c r="F78" i="34" s="1"/>
  <c r="G78" i="34" s="1"/>
  <c r="J15" i="34"/>
  <c r="F88" i="34"/>
  <c r="F25" i="34"/>
  <c r="S25" i="34" s="1"/>
  <c r="E118" i="34"/>
  <c r="F118" i="34" s="1"/>
  <c r="G118" i="34" s="1"/>
  <c r="H40" i="34"/>
  <c r="U40" i="34" s="1"/>
  <c r="E126" i="34"/>
  <c r="F126" i="34" s="1"/>
  <c r="G126" i="34" s="1"/>
  <c r="J44" i="34"/>
  <c r="W8" i="35"/>
  <c r="AC8" i="35"/>
  <c r="H14" i="33"/>
  <c r="U14" i="33" s="1"/>
  <c r="J14" i="33"/>
  <c r="H44" i="33"/>
  <c r="F44" i="33"/>
  <c r="H13" i="34"/>
  <c r="U13" i="34" s="1"/>
  <c r="F13" i="34"/>
  <c r="AA13" i="34" s="1"/>
  <c r="J31" i="34"/>
  <c r="AC31" i="34" s="1"/>
  <c r="F31" i="34"/>
  <c r="S31" i="34" s="1"/>
  <c r="H47" i="34"/>
  <c r="U47" i="34" s="1"/>
  <c r="J47" i="34"/>
  <c r="H23" i="35"/>
  <c r="J23" i="35"/>
  <c r="J25" i="35"/>
  <c r="W25" i="35" s="1"/>
  <c r="H25" i="35"/>
  <c r="AB25" i="35" s="1"/>
  <c r="F23" i="36"/>
  <c r="AA23" i="36" s="1"/>
  <c r="H34" i="36"/>
  <c r="F34" i="36"/>
  <c r="S34" i="36" s="1"/>
  <c r="U33" i="36"/>
  <c r="AB33" i="36"/>
  <c r="AB31" i="36"/>
  <c r="U31" i="36"/>
  <c r="H13" i="40"/>
  <c r="U13" i="40" s="1"/>
  <c r="F13" i="40"/>
  <c r="AA13" i="40" s="1"/>
  <c r="J39" i="40"/>
  <c r="AC39" i="40" s="1"/>
  <c r="F39" i="40"/>
  <c r="U41" i="21"/>
  <c r="AB41" i="21"/>
  <c r="F37" i="33"/>
  <c r="E113" i="33"/>
  <c r="F113" i="33" s="1"/>
  <c r="G113" i="33" s="1"/>
  <c r="H113" i="33" s="1"/>
  <c r="I113" i="33" s="1"/>
  <c r="J113" i="33" s="1"/>
  <c r="K113" i="33" s="1"/>
  <c r="L113" i="33" s="1"/>
  <c r="M113" i="33" s="1"/>
  <c r="AA40" i="33"/>
  <c r="S40" i="33"/>
  <c r="W38" i="34"/>
  <c r="AC38" i="34"/>
  <c r="M20" i="15"/>
  <c r="F34" i="78"/>
  <c r="F62" i="78" s="1"/>
  <c r="M20" i="78"/>
  <c r="F34" i="77"/>
  <c r="F62" i="77" s="1"/>
  <c r="M20" i="77"/>
  <c r="BC5" i="3"/>
  <c r="B70" i="43"/>
  <c r="B70" i="79"/>
  <c r="B59" i="43"/>
  <c r="B59" i="79"/>
  <c r="B77" i="43"/>
  <c r="B77" i="79"/>
  <c r="B67" i="79"/>
  <c r="B56" i="79"/>
  <c r="B73" i="43"/>
  <c r="B52" i="79"/>
  <c r="B73" i="79"/>
  <c r="B63" i="79"/>
  <c r="B82" i="43"/>
  <c r="B82" i="79"/>
  <c r="B88" i="43"/>
  <c r="B88" i="79"/>
  <c r="G566" i="3"/>
  <c r="G558" i="3"/>
  <c r="G556" i="3"/>
  <c r="G526" i="3"/>
  <c r="C30" i="9"/>
  <c r="G15" i="3"/>
  <c r="BA398" i="3"/>
  <c r="AZ398" i="3" s="1"/>
  <c r="BL400" i="3"/>
  <c r="G401" i="3"/>
  <c r="BA402" i="3"/>
  <c r="G403" i="3"/>
  <c r="BL404" i="3"/>
  <c r="G407" i="3"/>
  <c r="BA408" i="3"/>
  <c r="AZ408" i="3" s="1"/>
  <c r="G409" i="3"/>
  <c r="BL410" i="3"/>
  <c r="G411" i="3"/>
  <c r="BA412" i="3"/>
  <c r="AZ412" i="3" s="1"/>
  <c r="BL412" i="3"/>
  <c r="BA413" i="3"/>
  <c r="AZ413" i="3" s="1"/>
  <c r="BA414" i="3"/>
  <c r="AZ414" i="3" s="1"/>
  <c r="BL416" i="3"/>
  <c r="G417" i="3"/>
  <c r="BA418" i="3"/>
  <c r="G419" i="3"/>
  <c r="BL420" i="3"/>
  <c r="G423" i="3"/>
  <c r="BL424" i="3"/>
  <c r="G427" i="3"/>
  <c r="G433" i="3"/>
  <c r="BL434" i="3"/>
  <c r="BA436" i="3"/>
  <c r="AZ436" i="3" s="1"/>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BA385" i="3"/>
  <c r="AZ385" i="3" s="1"/>
  <c r="BL385" i="3"/>
  <c r="G392" i="3"/>
  <c r="BL393" i="3"/>
  <c r="AZ393" i="3" s="1"/>
  <c r="BL395" i="3"/>
  <c r="BA397" i="3"/>
  <c r="G208" i="3"/>
  <c r="BL209" i="3"/>
  <c r="G210" i="3"/>
  <c r="BL211" i="3"/>
  <c r="G222" i="3"/>
  <c r="G224" i="3"/>
  <c r="BA225" i="3"/>
  <c r="AZ225" i="3" s="1"/>
  <c r="G226" i="3"/>
  <c r="BL227" i="3"/>
  <c r="G228" i="3"/>
  <c r="BA229" i="3"/>
  <c r="G271" i="3"/>
  <c r="BL194" i="3"/>
  <c r="G195" i="3"/>
  <c r="BA196" i="3"/>
  <c r="AZ196" i="3" s="1"/>
  <c r="BL198" i="3"/>
  <c r="G199" i="3"/>
  <c r="BA200" i="3"/>
  <c r="AZ200" i="3" s="1"/>
  <c r="BL202" i="3"/>
  <c r="G203" i="3"/>
  <c r="BA204" i="3"/>
  <c r="AZ204" i="3" s="1"/>
  <c r="G205" i="3"/>
  <c r="G207" i="3"/>
  <c r="BA22" i="3"/>
  <c r="G66" i="3"/>
  <c r="G68" i="3"/>
  <c r="BL69" i="3"/>
  <c r="G72" i="3"/>
  <c r="G96" i="3"/>
  <c r="BL97" i="3"/>
  <c r="G108" i="3"/>
  <c r="BL109" i="3"/>
  <c r="G110" i="3"/>
  <c r="BA111" i="3"/>
  <c r="BL111" i="3"/>
  <c r="AZ111" i="3" s="1"/>
  <c r="BL112" i="3"/>
  <c r="J51" i="15"/>
  <c r="M100" i="43"/>
  <c r="I100" i="43"/>
  <c r="E100" i="43"/>
  <c r="I20" i="66"/>
  <c r="BA271" i="3"/>
  <c r="G272" i="3"/>
  <c r="BL273" i="3"/>
  <c r="G274" i="3"/>
  <c r="BA275" i="3"/>
  <c r="G276" i="3"/>
  <c r="BA277" i="3"/>
  <c r="G278" i="3"/>
  <c r="BL279" i="3"/>
  <c r="BA281" i="3"/>
  <c r="G282" i="3"/>
  <c r="BL283" i="3"/>
  <c r="G284" i="3"/>
  <c r="BL285" i="3"/>
  <c r="G288" i="3"/>
  <c r="BL289" i="3"/>
  <c r="G290" i="3"/>
  <c r="BA292" i="3"/>
  <c r="AZ292" i="3" s="1"/>
  <c r="BA294" i="3"/>
  <c r="BL294" i="3"/>
  <c r="AZ294" i="3" s="1"/>
  <c r="BA298" i="3"/>
  <c r="AZ298" i="3" s="1"/>
  <c r="BA299" i="3"/>
  <c r="AZ299" i="3" s="1"/>
  <c r="BL301" i="3"/>
  <c r="G302" i="3"/>
  <c r="BA113" i="3"/>
  <c r="BL113" i="3"/>
  <c r="BL115" i="3"/>
  <c r="G116" i="3"/>
  <c r="BA117" i="3"/>
  <c r="BL117" i="3"/>
  <c r="BL119" i="3"/>
  <c r="G120" i="3"/>
  <c r="BA121" i="3"/>
  <c r="G122" i="3"/>
  <c r="G124" i="3"/>
  <c r="BL125" i="3"/>
  <c r="BL127" i="3"/>
  <c r="BA129" i="3"/>
  <c r="G130" i="3"/>
  <c r="BL131" i="3"/>
  <c r="AZ131" i="3" s="1"/>
  <c r="BL133" i="3"/>
  <c r="G134" i="3"/>
  <c r="BA136" i="3"/>
  <c r="AZ136" i="3" s="1"/>
  <c r="BA138" i="3"/>
  <c r="G139" i="3"/>
  <c r="BA142" i="3"/>
  <c r="AZ142" i="3" s="1"/>
  <c r="BL142" i="3"/>
  <c r="G143" i="3"/>
  <c r="G146" i="3"/>
  <c r="BL147" i="3"/>
  <c r="AZ147" i="3" s="1"/>
  <c r="G148" i="3"/>
  <c r="BA149" i="3"/>
  <c r="AZ149" i="3" s="1"/>
  <c r="G150" i="3"/>
  <c r="BL151" i="3"/>
  <c r="AZ151" i="3" s="1"/>
  <c r="BA153" i="3"/>
  <c r="G154" i="3"/>
  <c r="BL155" i="3"/>
  <c r="AZ155" i="3" s="1"/>
  <c r="G156" i="3"/>
  <c r="BA157" i="3"/>
  <c r="G158" i="3"/>
  <c r="BA160" i="3"/>
  <c r="AZ160" i="3" s="1"/>
  <c r="BL163" i="3"/>
  <c r="AZ163" i="3" s="1"/>
  <c r="G164" i="3"/>
  <c r="BA166" i="3"/>
  <c r="AZ166" i="3" s="1"/>
  <c r="BL166" i="3"/>
  <c r="BA168" i="3"/>
  <c r="AZ168" i="3" s="1"/>
  <c r="BA170" i="3"/>
  <c r="G171" i="3"/>
  <c r="G175" i="3"/>
  <c r="G186" i="3"/>
  <c r="G19" i="79"/>
  <c r="J51" i="77"/>
  <c r="J51" i="78"/>
  <c r="F43" i="34"/>
  <c r="AA43" i="34" s="1"/>
  <c r="J43" i="34"/>
  <c r="H43" i="34"/>
  <c r="AB43" i="34" s="1"/>
  <c r="AB37" i="34"/>
  <c r="AA41" i="34"/>
  <c r="U31" i="34"/>
  <c r="S15" i="34"/>
  <c r="AA14" i="34"/>
  <c r="BA27" i="3"/>
  <c r="AZ27" i="3" s="1"/>
  <c r="BL29" i="3"/>
  <c r="H5" i="3"/>
  <c r="G1" i="77"/>
  <c r="G1" i="78"/>
  <c r="M8" i="1"/>
  <c r="M6" i="1"/>
  <c r="G7" i="1"/>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BL406" i="3"/>
  <c r="BA407" i="3"/>
  <c r="AZ407" i="3" s="1"/>
  <c r="G410" i="3"/>
  <c r="BL411" i="3"/>
  <c r="G412" i="3"/>
  <c r="G416" i="3"/>
  <c r="BA417" i="3"/>
  <c r="BL417" i="3"/>
  <c r="BA419" i="3"/>
  <c r="BL419" i="3"/>
  <c r="BA420" i="3"/>
  <c r="AZ420" i="3" s="1"/>
  <c r="BA422" i="3"/>
  <c r="BL422" i="3"/>
  <c r="BA423" i="3"/>
  <c r="AZ423" i="3" s="1"/>
  <c r="BA424" i="3"/>
  <c r="AZ424" i="3" s="1"/>
  <c r="BA426" i="3"/>
  <c r="BL426" i="3"/>
  <c r="AZ426" i="3" s="1"/>
  <c r="BL428" i="3"/>
  <c r="AZ459"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BL461" i="3"/>
  <c r="BA463" i="3"/>
  <c r="AZ463" i="3" s="1"/>
  <c r="BA464" i="3"/>
  <c r="AZ464" i="3" s="1"/>
  <c r="BL466" i="3"/>
  <c r="G467" i="3"/>
  <c r="BA468" i="3"/>
  <c r="BL468" i="3"/>
  <c r="G469" i="3"/>
  <c r="BL469" i="3"/>
  <c r="AZ469" i="3" s="1"/>
  <c r="BA470" i="3"/>
  <c r="AZ470" i="3" s="1"/>
  <c r="BA471" i="3"/>
  <c r="AZ471" i="3" s="1"/>
  <c r="BA472" i="3"/>
  <c r="AZ472" i="3" s="1"/>
  <c r="BL474" i="3"/>
  <c r="G475" i="3"/>
  <c r="BA476" i="3"/>
  <c r="BL476" i="3"/>
  <c r="BL478" i="3"/>
  <c r="G479" i="3"/>
  <c r="BA480" i="3"/>
  <c r="AZ480" i="3" s="1"/>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BA396" i="3"/>
  <c r="AZ396" i="3" s="1"/>
  <c r="BL208" i="3"/>
  <c r="G209" i="3"/>
  <c r="BA210" i="3"/>
  <c r="BL210" i="3"/>
  <c r="BA211" i="3"/>
  <c r="AZ211" i="3" s="1"/>
  <c r="BL213" i="3"/>
  <c r="G214" i="3"/>
  <c r="BL215" i="3"/>
  <c r="G216" i="3"/>
  <c r="G220" i="3"/>
  <c r="BA221" i="3"/>
  <c r="BL221" i="3"/>
  <c r="BA223" i="3"/>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BA122" i="3"/>
  <c r="AZ122" i="3" s="1"/>
  <c r="BL123" i="3"/>
  <c r="AZ123" i="3" s="1"/>
  <c r="BA125" i="3"/>
  <c r="AZ125" i="3" s="1"/>
  <c r="G128" i="3"/>
  <c r="BA130" i="3"/>
  <c r="BL130" i="3"/>
  <c r="BL134" i="3"/>
  <c r="AZ134" i="3" s="1"/>
  <c r="BA145" i="3"/>
  <c r="BL145" i="3"/>
  <c r="AZ145" i="3" s="1"/>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AZ23" i="3" s="1"/>
  <c r="BL24" i="3"/>
  <c r="G25" i="3"/>
  <c r="BL26" i="3"/>
  <c r="G27" i="3"/>
  <c r="BL28" i="3"/>
  <c r="BA30" i="3"/>
  <c r="BL34" i="3"/>
  <c r="G39" i="3"/>
  <c r="G42" i="3"/>
  <c r="G44" i="3"/>
  <c r="BL45" i="3"/>
  <c r="G46" i="3"/>
  <c r="G48" i="3"/>
  <c r="BA49" i="3"/>
  <c r="BL49" i="3"/>
  <c r="AZ49" i="3" s="1"/>
  <c r="G50" i="3"/>
  <c r="G51" i="3"/>
  <c r="BA52" i="3"/>
  <c r="BL52" i="3"/>
  <c r="G53" i="3"/>
  <c r="G55" i="3"/>
  <c r="G58" i="3"/>
  <c r="G60" i="3"/>
  <c r="BL61" i="3"/>
  <c r="G62" i="3"/>
  <c r="G64" i="3"/>
  <c r="BA65" i="3"/>
  <c r="BL65" i="3"/>
  <c r="BA67" i="3"/>
  <c r="AZ67" i="3" s="1"/>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AZ399" i="3" s="1"/>
  <c r="BA400" i="3"/>
  <c r="BL402" i="3"/>
  <c r="AZ402" i="3" s="1"/>
  <c r="G405" i="3"/>
  <c r="BL405" i="3"/>
  <c r="G408" i="3"/>
  <c r="BL408" i="3"/>
  <c r="BA409" i="3"/>
  <c r="AZ409" i="3" s="1"/>
  <c r="BA410" i="3"/>
  <c r="AZ410" i="3" s="1"/>
  <c r="BA411" i="3"/>
  <c r="AZ411" i="3" s="1"/>
  <c r="G414" i="3"/>
  <c r="G415" i="3"/>
  <c r="BL415" i="3"/>
  <c r="BA416" i="3"/>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BL440" i="3"/>
  <c r="AZ440" i="3" s="1"/>
  <c r="BA441" i="3"/>
  <c r="BA442" i="3"/>
  <c r="AZ442" i="3" s="1"/>
  <c r="BA443" i="3"/>
  <c r="G446" i="3"/>
  <c r="G447" i="3"/>
  <c r="BL447" i="3"/>
  <c r="G450" i="3"/>
  <c r="G451" i="3"/>
  <c r="G452" i="3"/>
  <c r="BL452" i="3"/>
  <c r="AZ452" i="3" s="1"/>
  <c r="BA453" i="3"/>
  <c r="AZ453" i="3" s="1"/>
  <c r="BA454" i="3"/>
  <c r="AZ454" i="3" s="1"/>
  <c r="BL456" i="3"/>
  <c r="AZ456" i="3" s="1"/>
  <c r="BA457" i="3"/>
  <c r="AZ457" i="3" s="1"/>
  <c r="BA458" i="3"/>
  <c r="AZ458" i="3" s="1"/>
  <c r="G472" i="3"/>
  <c r="G473" i="3"/>
  <c r="BL473" i="3"/>
  <c r="BA474" i="3"/>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BA483" i="3"/>
  <c r="AZ483" i="3" s="1"/>
  <c r="BA484" i="3"/>
  <c r="BA485" i="3"/>
  <c r="AZ485" i="3" s="1"/>
  <c r="BA486" i="3"/>
  <c r="BA487" i="3"/>
  <c r="AZ487" i="3" s="1"/>
  <c r="BA488" i="3"/>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BL229" i="3"/>
  <c r="AZ229" i="3" s="1"/>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G251" i="3"/>
  <c r="G252" i="3"/>
  <c r="BL252" i="3"/>
  <c r="AZ252" i="3" s="1"/>
  <c r="G255" i="3"/>
  <c r="BL255" i="3"/>
  <c r="BL257" i="3"/>
  <c r="AZ257" i="3" s="1"/>
  <c r="BA258" i="3"/>
  <c r="AZ258" i="3" s="1"/>
  <c r="BA259" i="3"/>
  <c r="BL261" i="3"/>
  <c r="AZ261" i="3" s="1"/>
  <c r="BA262" i="3"/>
  <c r="AZ262" i="3" s="1"/>
  <c r="BA263" i="3"/>
  <c r="AZ263" i="3" s="1"/>
  <c r="BL265" i="3"/>
  <c r="AZ265" i="3" s="1"/>
  <c r="BA266" i="3"/>
  <c r="AZ266" i="3" s="1"/>
  <c r="BL268" i="3"/>
  <c r="AZ268" i="3" s="1"/>
  <c r="BL271" i="3"/>
  <c r="AZ271" i="3" s="1"/>
  <c r="BA272" i="3"/>
  <c r="BA273" i="3"/>
  <c r="AZ273" i="3" s="1"/>
  <c r="BL275" i="3"/>
  <c r="AZ275" i="3" s="1"/>
  <c r="G277" i="3"/>
  <c r="BL277" i="3"/>
  <c r="G279" i="3"/>
  <c r="G280" i="3"/>
  <c r="G281" i="3"/>
  <c r="BL281" i="3"/>
  <c r="BA282" i="3"/>
  <c r="AZ282" i="3" s="1"/>
  <c r="BA283" i="3"/>
  <c r="G286" i="3"/>
  <c r="BL286" i="3"/>
  <c r="AZ286" i="3" s="1"/>
  <c r="BL288" i="3"/>
  <c r="AZ288" i="3" s="1"/>
  <c r="BA289" i="3"/>
  <c r="BL291" i="3"/>
  <c r="AZ291" i="3" s="1"/>
  <c r="G293" i="3"/>
  <c r="BL293" i="3"/>
  <c r="AZ293" i="3" s="1"/>
  <c r="G295" i="3"/>
  <c r="G296" i="3"/>
  <c r="G297" i="3"/>
  <c r="BL297" i="3"/>
  <c r="G299" i="3"/>
  <c r="G300" i="3"/>
  <c r="BL300" i="3"/>
  <c r="AZ300" i="3" s="1"/>
  <c r="BA301" i="3"/>
  <c r="AZ301" i="3" s="1"/>
  <c r="BL114" i="3"/>
  <c r="AZ114" i="3" s="1"/>
  <c r="BA116" i="3"/>
  <c r="AZ116" i="3" s="1"/>
  <c r="G118" i="3"/>
  <c r="BL118" i="3"/>
  <c r="AZ118" i="3" s="1"/>
  <c r="BA120" i="3"/>
  <c r="AZ120" i="3" s="1"/>
  <c r="BL121" i="3"/>
  <c r="G123" i="3"/>
  <c r="G126" i="3"/>
  <c r="BL126" i="3"/>
  <c r="AZ126" i="3" s="1"/>
  <c r="BA128" i="3"/>
  <c r="AZ128" i="3" s="1"/>
  <c r="BL129" i="3"/>
  <c r="G132" i="3"/>
  <c r="BA133" i="3"/>
  <c r="AZ133" i="3" s="1"/>
  <c r="G136" i="3"/>
  <c r="BL138" i="3"/>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BA194" i="3"/>
  <c r="AZ194" i="3" s="1"/>
  <c r="BL195" i="3"/>
  <c r="AZ195" i="3" s="1"/>
  <c r="BA197" i="3"/>
  <c r="AZ197" i="3" s="1"/>
  <c r="BA198" i="3"/>
  <c r="AZ198" i="3" s="1"/>
  <c r="BL199" i="3"/>
  <c r="AZ199" i="3" s="1"/>
  <c r="BA201" i="3"/>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AZ70" i="3"/>
  <c r="BL22" i="3"/>
  <c r="AZ22" i="3" s="1"/>
  <c r="BA38" i="3"/>
  <c r="F29" i="6"/>
  <c r="BA24" i="3"/>
  <c r="AZ24" i="3" s="1"/>
  <c r="BA25" i="3"/>
  <c r="BL25" i="3"/>
  <c r="BA26" i="3"/>
  <c r="BA28" i="3"/>
  <c r="AZ28" i="3" s="1"/>
  <c r="BA29" i="3"/>
  <c r="AZ29" i="3" s="1"/>
  <c r="BA31" i="3"/>
  <c r="BL31" i="3"/>
  <c r="BA32" i="3"/>
  <c r="BL32" i="3"/>
  <c r="BA34" i="3"/>
  <c r="AZ34" i="3" s="1"/>
  <c r="BA35" i="3"/>
  <c r="BL35" i="3"/>
  <c r="BA36" i="3"/>
  <c r="BA37" i="3"/>
  <c r="AZ37" i="3" s="1"/>
  <c r="BA15" i="3"/>
  <c r="BT5" i="3"/>
  <c r="G28" i="6" s="1"/>
  <c r="BQ5" i="3"/>
  <c r="F28" i="6" s="1"/>
  <c r="F30" i="6" s="1"/>
  <c r="BA19" i="3"/>
  <c r="BA20" i="3"/>
  <c r="AZ20" i="3" s="1"/>
  <c r="BA21" i="3"/>
  <c r="AZ21" i="3" s="1"/>
  <c r="BL27" i="3"/>
  <c r="BL30" i="3"/>
  <c r="BL33" i="3"/>
  <c r="BL38" i="3"/>
  <c r="AZ38" i="3" s="1"/>
  <c r="BL15" i="3"/>
  <c r="G29" i="6"/>
  <c r="A15" i="62"/>
  <c r="B61" i="72" s="1"/>
  <c r="G11" i="1"/>
  <c r="AB12" i="37"/>
  <c r="U12" i="37"/>
  <c r="AZ497" i="3"/>
  <c r="AZ529"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405" i="3"/>
  <c r="AZ415" i="3"/>
  <c r="AZ425" i="3"/>
  <c r="AZ447" i="3"/>
  <c r="BA14" i="3"/>
  <c r="AZ465" i="3"/>
  <c r="AZ476" i="3"/>
  <c r="AZ397" i="3"/>
  <c r="AZ212" i="3"/>
  <c r="AZ219" i="3"/>
  <c r="AZ230" i="3"/>
  <c r="AZ246" i="3"/>
  <c r="AZ255" i="3"/>
  <c r="U36" i="39"/>
  <c r="F46" i="21"/>
  <c r="AA46" i="21" s="1"/>
  <c r="J30" i="21"/>
  <c r="AC30" i="21" s="1"/>
  <c r="H14" i="21"/>
  <c r="U14" i="21" s="1"/>
  <c r="U23" i="40"/>
  <c r="U8" i="33"/>
  <c r="S38" i="33"/>
  <c r="J28" i="34"/>
  <c r="F23" i="35"/>
  <c r="AA23" i="35" s="1"/>
  <c r="U8" i="35"/>
  <c r="F12" i="36"/>
  <c r="S44" i="39"/>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7" i="3"/>
  <c r="AZ157" i="3"/>
  <c r="AZ165" i="3"/>
  <c r="AZ173" i="3"/>
  <c r="AZ181" i="3"/>
  <c r="AZ270" i="3"/>
  <c r="AZ277" i="3"/>
  <c r="AZ281" i="3"/>
  <c r="AZ121" i="3"/>
  <c r="AZ137" i="3"/>
  <c r="AZ35" i="3"/>
  <c r="AZ65" i="3"/>
  <c r="AZ57" i="3"/>
  <c r="B12" i="1"/>
  <c r="E12" i="1" s="1"/>
  <c r="B10" i="1"/>
  <c r="E10" i="1" s="1"/>
  <c r="D1" i="66"/>
  <c r="E10" i="66" s="1"/>
  <c r="AZ80" i="3"/>
  <c r="AZ84" i="3"/>
  <c r="AZ107" i="3"/>
  <c r="K12" i="1"/>
  <c r="M12" i="1" s="1"/>
  <c r="O12" i="1" s="1"/>
  <c r="P12" i="1" s="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36" i="77"/>
  <c r="M23" i="77"/>
  <c r="M26" i="77"/>
  <c r="F37" i="77"/>
  <c r="F9" i="77"/>
  <c r="M22" i="77"/>
  <c r="F43" i="78"/>
  <c r="M26" i="78"/>
  <c r="F36" i="78"/>
  <c r="M9" i="78"/>
  <c r="F38" i="78"/>
  <c r="M22" i="78"/>
  <c r="F40" i="78"/>
  <c r="F7" i="77"/>
  <c r="L47" i="77"/>
  <c r="F38" i="77"/>
  <c r="F6" i="77"/>
  <c r="M8" i="77"/>
  <c r="M28" i="77"/>
  <c r="F40" i="77"/>
  <c r="L47" i="78"/>
  <c r="F26" i="78"/>
  <c r="M24" i="78"/>
  <c r="F8" i="78"/>
  <c r="F13" i="78"/>
  <c r="M8" i="78"/>
  <c r="F8" i="67"/>
  <c r="M6" i="77"/>
  <c r="F8" i="77"/>
  <c r="M29" i="78"/>
  <c r="F42" i="78"/>
  <c r="F37" i="78"/>
  <c r="L48" i="15"/>
  <c r="F9" i="67"/>
  <c r="J15" i="15"/>
  <c r="F43" i="15"/>
  <c r="F42" i="15"/>
  <c r="G1" i="73"/>
  <c r="L48" i="77"/>
  <c r="J15" i="77"/>
  <c r="F26" i="77"/>
  <c r="M27" i="77"/>
  <c r="C76" i="77"/>
  <c r="F42" i="77"/>
  <c r="L48" i="78"/>
  <c r="F7" i="78"/>
  <c r="J15" i="78"/>
  <c r="M23" i="78"/>
  <c r="M28" i="78"/>
  <c r="F16" i="78"/>
  <c r="F6" i="78"/>
  <c r="M29" i="77"/>
  <c r="M28" i="15"/>
  <c r="F37" i="67"/>
  <c r="C76" i="15"/>
  <c r="M26" i="67"/>
  <c r="F9" i="15"/>
  <c r="F7" i="67"/>
  <c r="L48" i="67"/>
  <c r="F26" i="67"/>
  <c r="M6" i="15"/>
  <c r="M9" i="15"/>
  <c r="F16" i="15"/>
  <c r="F13" i="15"/>
  <c r="M23" i="15"/>
  <c r="F8" i="15"/>
  <c r="F16" i="77"/>
  <c r="M9" i="77"/>
  <c r="F13" i="77"/>
  <c r="M24" i="77"/>
  <c r="F9" i="78"/>
  <c r="M6" i="78"/>
  <c r="C76" i="78"/>
  <c r="F43" i="77"/>
  <c r="F7" i="15"/>
  <c r="F36" i="15"/>
  <c r="L47" i="67"/>
  <c r="M29" i="15"/>
  <c r="M26" i="15"/>
  <c r="M23" i="67"/>
  <c r="M22" i="15"/>
  <c r="F42" i="67"/>
  <c r="G8" i="31" l="1"/>
  <c r="H8" i="31" s="1"/>
  <c r="I8" i="31" s="1"/>
  <c r="J8" i="31" s="1"/>
  <c r="K8" i="31" s="1"/>
  <c r="L8" i="31" s="1"/>
  <c r="M8" i="31" s="1"/>
  <c r="N8" i="31" s="1"/>
  <c r="O8" i="31" s="1"/>
  <c r="P8" i="31" s="1"/>
  <c r="Q8" i="31" s="1"/>
  <c r="R8" i="31" s="1"/>
  <c r="S8" i="31" s="1"/>
  <c r="G44" i="31"/>
  <c r="AA39" i="40"/>
  <c r="S39" i="40"/>
  <c r="U23" i="35"/>
  <c r="AB23" i="35"/>
  <c r="G88" i="34"/>
  <c r="H88" i="34" s="1"/>
  <c r="I88" i="34" s="1"/>
  <c r="J88" i="34" s="1"/>
  <c r="K88" i="34" s="1"/>
  <c r="L88" i="34" s="1"/>
  <c r="M88" i="34" s="1"/>
  <c r="H25" i="34"/>
  <c r="J25" i="34"/>
  <c r="AC37" i="39"/>
  <c r="W37" i="39"/>
  <c r="AB44" i="39"/>
  <c r="U44" i="39"/>
  <c r="AC36" i="35"/>
  <c r="W36" i="35"/>
  <c r="F53" i="9"/>
  <c r="F32" i="78"/>
  <c r="F60" i="78" s="1"/>
  <c r="F28" i="78"/>
  <c r="C28" i="78" s="1"/>
  <c r="M18" i="78"/>
  <c r="M18" i="77"/>
  <c r="F32" i="77"/>
  <c r="F60" i="77" s="1"/>
  <c r="F28" i="77"/>
  <c r="C28" i="77" s="1"/>
  <c r="W17" i="21"/>
  <c r="S46" i="21"/>
  <c r="AB14" i="21"/>
  <c r="S9" i="36"/>
  <c r="C6" i="43"/>
  <c r="G5" i="3"/>
  <c r="B3" i="3" s="1"/>
  <c r="AB12" i="36"/>
  <c r="AB13" i="34"/>
  <c r="AZ33" i="3"/>
  <c r="AZ36" i="3"/>
  <c r="AZ26" i="3"/>
  <c r="AZ25" i="3"/>
  <c r="AZ99" i="3"/>
  <c r="AZ75" i="3"/>
  <c r="AZ73" i="3"/>
  <c r="AZ201" i="3"/>
  <c r="AZ193" i="3"/>
  <c r="AZ138" i="3"/>
  <c r="AZ129" i="3"/>
  <c r="AZ289" i="3"/>
  <c r="AZ283" i="3"/>
  <c r="AZ272" i="3"/>
  <c r="AZ259" i="3"/>
  <c r="AZ233" i="3"/>
  <c r="AZ231" i="3"/>
  <c r="AZ227" i="3"/>
  <c r="AZ488" i="3"/>
  <c r="AZ486" i="3"/>
  <c r="AZ484" i="3"/>
  <c r="AZ482" i="3"/>
  <c r="AZ474" i="3"/>
  <c r="AZ443" i="3"/>
  <c r="AZ441" i="3"/>
  <c r="AZ438" i="3"/>
  <c r="AZ416" i="3"/>
  <c r="AZ400" i="3"/>
  <c r="AZ69" i="3"/>
  <c r="AZ30" i="3"/>
  <c r="AZ223" i="3"/>
  <c r="AZ221" i="3"/>
  <c r="AZ210" i="3"/>
  <c r="AZ395" i="3"/>
  <c r="AZ468" i="3"/>
  <c r="AZ461" i="3"/>
  <c r="AZ432" i="3"/>
  <c r="AZ422" i="3"/>
  <c r="AZ406" i="3"/>
  <c r="E8" i="6"/>
  <c r="F27" i="6" s="1"/>
  <c r="P24" i="79"/>
  <c r="P22" i="79"/>
  <c r="M20" i="79"/>
  <c r="C19" i="79" s="1"/>
  <c r="P25" i="79"/>
  <c r="P23" i="79"/>
  <c r="O19" i="79"/>
  <c r="P21" i="79"/>
  <c r="AZ117" i="3"/>
  <c r="AZ113" i="3"/>
  <c r="AZ317" i="3"/>
  <c r="AZ455" i="3"/>
  <c r="AB34" i="36"/>
  <c r="U34" i="36"/>
  <c r="AC23" i="35"/>
  <c r="W23" i="35"/>
  <c r="W44" i="34"/>
  <c r="AC44" i="34"/>
  <c r="W15" i="34"/>
  <c r="AC15" i="34"/>
  <c r="AA9" i="33"/>
  <c r="S9" i="33"/>
  <c r="AB13" i="37"/>
  <c r="U13" i="37"/>
  <c r="AC44" i="39"/>
  <c r="W44" i="39"/>
  <c r="AB39" i="37"/>
  <c r="U39" i="37"/>
  <c r="W12" i="36"/>
  <c r="AC12" i="36"/>
  <c r="AZ19" i="3"/>
  <c r="AZ15" i="3"/>
  <c r="AZ18" i="3"/>
  <c r="F68" i="78"/>
  <c r="C10" i="78"/>
  <c r="C6" i="78"/>
  <c r="F65" i="78"/>
  <c r="Q71" i="78"/>
  <c r="F66" i="78"/>
  <c r="F51" i="78"/>
  <c r="F64" i="78"/>
  <c r="C27" i="78"/>
  <c r="M7" i="78"/>
  <c r="J10" i="78" s="1"/>
  <c r="F50" i="78"/>
  <c r="C49" i="78" s="1"/>
  <c r="C48" i="78" s="1"/>
  <c r="F71" i="78"/>
  <c r="L58" i="78"/>
  <c r="Q73" i="78" s="1"/>
  <c r="L59" i="78"/>
  <c r="Q74" i="78" s="1"/>
  <c r="J53" i="78"/>
  <c r="F1" i="78" s="1"/>
  <c r="K53" i="78"/>
  <c r="L56" i="78"/>
  <c r="J57" i="78"/>
  <c r="J55" i="78" s="1"/>
  <c r="J58" i="78" s="1"/>
  <c r="Q50" i="78" s="1"/>
  <c r="F68" i="77"/>
  <c r="F51" i="77"/>
  <c r="Q71" i="77"/>
  <c r="F65" i="77"/>
  <c r="C27" i="77"/>
  <c r="F66" i="77"/>
  <c r="F64" i="77"/>
  <c r="L59" i="77"/>
  <c r="Q74" i="77" s="1"/>
  <c r="L58" i="77"/>
  <c r="Q60" i="77" s="1"/>
  <c r="L56" i="77"/>
  <c r="K53" i="77"/>
  <c r="J53" i="77"/>
  <c r="Q52" i="77" s="1"/>
  <c r="J57" i="77"/>
  <c r="J55" i="77" s="1"/>
  <c r="J58" i="77" s="1"/>
  <c r="Q50" i="77" s="1"/>
  <c r="F50" i="77"/>
  <c r="C49" i="77" s="1"/>
  <c r="C48" i="77" s="1"/>
  <c r="M7" i="77"/>
  <c r="C6" i="77"/>
  <c r="C10" i="77"/>
  <c r="F71" i="77"/>
  <c r="G3" i="43"/>
  <c r="G3" i="79"/>
  <c r="C60" i="78"/>
  <c r="J6" i="78"/>
  <c r="Q52" i="78"/>
  <c r="H53" i="43"/>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AA11" i="43"/>
  <c r="AA13" i="43" s="1"/>
  <c r="AE11" i="43"/>
  <c r="AE13" i="43" s="1"/>
  <c r="AI11" i="43"/>
  <c r="AI13" i="43" s="1"/>
  <c r="Z7" i="43"/>
  <c r="AB11" i="43"/>
  <c r="AB13" i="43" s="1"/>
  <c r="AF11" i="43"/>
  <c r="AF13" i="43" s="1"/>
  <c r="AJ11" i="43"/>
  <c r="AJ13" i="43" s="1"/>
  <c r="E101" i="43"/>
  <c r="E102" i="43" s="1"/>
  <c r="M101" i="43"/>
  <c r="M109" i="43" s="1"/>
  <c r="H101" i="43"/>
  <c r="H107" i="43" s="1"/>
  <c r="H22" i="43"/>
  <c r="E22" i="43"/>
  <c r="C101" i="43"/>
  <c r="C109" i="43" s="1"/>
  <c r="N104" i="46"/>
  <c r="F101" i="43"/>
  <c r="F109" i="43" s="1"/>
  <c r="N101" i="43"/>
  <c r="N103" i="43" s="1"/>
  <c r="K101" i="43"/>
  <c r="K105" i="43" s="1"/>
  <c r="B113" i="43"/>
  <c r="B117" i="43" s="1"/>
  <c r="C117" i="43" s="1"/>
  <c r="E29" i="6"/>
  <c r="K15" i="1" s="1"/>
  <c r="E13" i="6"/>
  <c r="E63" i="39" s="1"/>
  <c r="E56" i="39"/>
  <c r="AZ17" i="3"/>
  <c r="E15" i="6"/>
  <c r="E60" i="40" s="1"/>
  <c r="D19" i="12"/>
  <c r="C19" i="12" s="1"/>
  <c r="J107" i="43"/>
  <c r="E11" i="6"/>
  <c r="E61" i="39" s="1"/>
  <c r="E12" i="6"/>
  <c r="AZ206" i="3"/>
  <c r="AZ185" i="3"/>
  <c r="AZ169" i="3"/>
  <c r="AZ287" i="3"/>
  <c r="AZ130" i="3"/>
  <c r="AZ228" i="3"/>
  <c r="AZ353" i="3"/>
  <c r="AZ316" i="3"/>
  <c r="AZ481" i="3"/>
  <c r="AZ439" i="3"/>
  <c r="AZ419" i="3"/>
  <c r="AZ417" i="3"/>
  <c r="AZ403" i="3"/>
  <c r="AZ401" i="3"/>
  <c r="AZ550" i="3"/>
  <c r="C106" i="43"/>
  <c r="G30" i="6"/>
  <c r="G31" i="6" s="1"/>
  <c r="E28" i="6"/>
  <c r="E30" i="6" s="1"/>
  <c r="AZ32" i="3"/>
  <c r="AZ31" i="3"/>
  <c r="AZ13" i="3"/>
  <c r="BA5" i="3"/>
  <c r="E27" i="6" s="1"/>
  <c r="K20" i="6" s="1"/>
  <c r="E51" i="40"/>
  <c r="F31" i="6"/>
  <c r="E59" i="40"/>
  <c r="E4" i="4"/>
  <c r="B5" i="62" s="1"/>
  <c r="B73" i="72" s="1"/>
  <c r="C4" i="4"/>
  <c r="B4" i="62" s="1"/>
  <c r="B71" i="7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D9" i="68"/>
  <c r="C9" i="68" s="1"/>
  <c r="S25" i="37"/>
  <c r="AA40" i="40"/>
  <c r="S40" i="40"/>
  <c r="S12" i="35"/>
  <c r="AA12" i="35"/>
  <c r="AC36" i="39"/>
  <c r="W36" i="39"/>
  <c r="S39" i="37"/>
  <c r="AA39" i="37"/>
  <c r="AA12" i="36"/>
  <c r="S12" i="36"/>
  <c r="AZ14" i="3"/>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7"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L59" i="67"/>
  <c r="L58" i="67"/>
  <c r="F50" i="67"/>
  <c r="M7" i="67"/>
  <c r="F65" i="67"/>
  <c r="F71" i="15"/>
  <c r="Q71" i="15"/>
  <c r="F64" i="15"/>
  <c r="F51" i="15"/>
  <c r="J57" i="15"/>
  <c r="J55" i="15" s="1"/>
  <c r="J58" i="15" s="1"/>
  <c r="Q50" i="15" s="1"/>
  <c r="L56" i="15"/>
  <c r="M7" i="15"/>
  <c r="F50"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M24" i="67"/>
  <c r="C76" i="67"/>
  <c r="F38" i="67"/>
  <c r="M24" i="15"/>
  <c r="M28" i="67"/>
  <c r="F43" i="67"/>
  <c r="F16" i="67"/>
  <c r="F36" i="67"/>
  <c r="F13" i="67"/>
  <c r="M22" i="67"/>
  <c r="M29" i="67"/>
  <c r="M8" i="15"/>
  <c r="C16" i="78"/>
  <c r="C16" i="77"/>
  <c r="F6" i="67"/>
  <c r="M8" i="67"/>
  <c r="F38" i="15"/>
  <c r="F40" i="15"/>
  <c r="J15" i="67"/>
  <c r="M6" i="67"/>
  <c r="F40" i="67"/>
  <c r="F6" i="15"/>
  <c r="F37" i="15"/>
  <c r="M9" i="67"/>
  <c r="L47" i="15"/>
  <c r="F26" i="15"/>
  <c r="C16" i="15"/>
  <c r="Q73" i="77" l="1"/>
  <c r="Q60" i="78"/>
  <c r="C27" i="15"/>
  <c r="L59" i="15"/>
  <c r="Q74" i="15" s="1"/>
  <c r="L58" i="15"/>
  <c r="Q73" i="15" s="1"/>
  <c r="F65" i="15"/>
  <c r="C10" i="15"/>
  <c r="C6" i="15"/>
  <c r="F68" i="67"/>
  <c r="F68" i="15"/>
  <c r="F66" i="15"/>
  <c r="C6" i="67"/>
  <c r="C5" i="67" s="1"/>
  <c r="C32" i="67" s="1"/>
  <c r="F64" i="67"/>
  <c r="F71" i="67"/>
  <c r="F66" i="67"/>
  <c r="Q71" i="67"/>
  <c r="AB25" i="34"/>
  <c r="U25" i="34"/>
  <c r="C36" i="79"/>
  <c r="T13" i="79"/>
  <c r="V13" i="79" s="1"/>
  <c r="C34" i="79"/>
  <c r="C33" i="79"/>
  <c r="T15" i="79"/>
  <c r="V15" i="79" s="1"/>
  <c r="T16" i="79"/>
  <c r="V16" i="79" s="1"/>
  <c r="C38" i="79"/>
  <c r="T8" i="79"/>
  <c r="V8" i="79" s="1"/>
  <c r="C37" i="79"/>
  <c r="T10" i="79"/>
  <c r="V10" i="79" s="1"/>
  <c r="T12" i="79"/>
  <c r="V12" i="79" s="1"/>
  <c r="C39" i="79"/>
  <c r="E39" i="79" s="1"/>
  <c r="T9" i="79"/>
  <c r="V9" i="79" s="1"/>
  <c r="C35" i="79"/>
  <c r="T14" i="79"/>
  <c r="V14" i="79" s="1"/>
  <c r="T11" i="79"/>
  <c r="V11" i="79" s="1"/>
  <c r="AC25" i="34"/>
  <c r="W25" i="34"/>
  <c r="Q61" i="78"/>
  <c r="F1" i="77"/>
  <c r="Q61" i="77"/>
  <c r="C66" i="78"/>
  <c r="C5" i="78"/>
  <c r="C32" i="78" s="1"/>
  <c r="E58" i="40"/>
  <c r="D115" i="43"/>
  <c r="E115" i="43" s="1"/>
  <c r="F115" i="43" s="1"/>
  <c r="G115" i="43" s="1"/>
  <c r="H115" i="43" s="1"/>
  <c r="J5" i="78"/>
  <c r="J26" i="78" s="1"/>
  <c r="J101" i="79"/>
  <c r="AG11" i="79"/>
  <c r="AG13" i="79" s="1"/>
  <c r="AC11" i="79"/>
  <c r="AC13" i="79" s="1"/>
  <c r="Y11" i="79"/>
  <c r="Y13" i="79" s="1"/>
  <c r="AI11" i="79"/>
  <c r="AI13" i="79" s="1"/>
  <c r="AE11" i="79"/>
  <c r="AE13" i="79" s="1"/>
  <c r="AA11" i="79"/>
  <c r="AA13" i="79" s="1"/>
  <c r="F22" i="79"/>
  <c r="B113" i="79"/>
  <c r="K101" i="79"/>
  <c r="G101" i="79"/>
  <c r="C101" i="79"/>
  <c r="H101" i="79"/>
  <c r="Z11" i="79"/>
  <c r="Z13" i="79" s="1"/>
  <c r="AD11" i="79"/>
  <c r="AD13" i="79" s="1"/>
  <c r="AH11" i="79"/>
  <c r="AH13" i="79" s="1"/>
  <c r="E22" i="79"/>
  <c r="J22" i="79"/>
  <c r="F101" i="79"/>
  <c r="H22" i="79"/>
  <c r="M101" i="79"/>
  <c r="I101" i="79"/>
  <c r="E101" i="79"/>
  <c r="L101" i="79"/>
  <c r="D101" i="79"/>
  <c r="Z7" i="79"/>
  <c r="AB11" i="79"/>
  <c r="AB13" i="79" s="1"/>
  <c r="AF11" i="79"/>
  <c r="AF13" i="79" s="1"/>
  <c r="AJ11" i="79"/>
  <c r="AJ13" i="79" s="1"/>
  <c r="G22" i="79"/>
  <c r="N101" i="79"/>
  <c r="C5" i="77"/>
  <c r="J6" i="77"/>
  <c r="J10" i="77"/>
  <c r="O7" i="1"/>
  <c r="J24" i="78"/>
  <c r="C38" i="78"/>
  <c r="G101" i="43"/>
  <c r="F22" i="43"/>
  <c r="D101" i="43"/>
  <c r="G22" i="43"/>
  <c r="D22" i="43" s="1"/>
  <c r="AD11" i="43"/>
  <c r="AD13" i="43" s="1"/>
  <c r="S5" i="43"/>
  <c r="AC11" i="43"/>
  <c r="AC13" i="43" s="1"/>
  <c r="L101" i="43"/>
  <c r="I101" i="43"/>
  <c r="AH11" i="43"/>
  <c r="AH13" i="43" s="1"/>
  <c r="Z11" i="43"/>
  <c r="Z13" i="43" s="1"/>
  <c r="AG11" i="43"/>
  <c r="AG13" i="43" s="1"/>
  <c r="Y11" i="43"/>
  <c r="Y13" i="43" s="1"/>
  <c r="C60" i="77"/>
  <c r="C66" i="77"/>
  <c r="D5" i="43"/>
  <c r="F24" i="77"/>
  <c r="F24" i="78"/>
  <c r="C24" i="77"/>
  <c r="F107" i="43"/>
  <c r="M20" i="6"/>
  <c r="I20" i="6" s="1"/>
  <c r="N105" i="43"/>
  <c r="B116" i="43"/>
  <c r="C116" i="43" s="1"/>
  <c r="H103" i="43"/>
  <c r="E107" i="43"/>
  <c r="J105" i="43"/>
  <c r="J102" i="43"/>
  <c r="J103" i="43"/>
  <c r="J109" i="43"/>
  <c r="J106" i="43"/>
  <c r="E109" i="43"/>
  <c r="H104" i="43"/>
  <c r="H102" i="43"/>
  <c r="E105" i="43"/>
  <c r="E104" i="43"/>
  <c r="K104" i="43"/>
  <c r="C105" i="43"/>
  <c r="C107" i="43"/>
  <c r="H109" i="43"/>
  <c r="H105" i="43"/>
  <c r="H106" i="43"/>
  <c r="E103" i="43"/>
  <c r="E106" i="43"/>
  <c r="K107" i="43"/>
  <c r="K106" i="43"/>
  <c r="F106" i="43"/>
  <c r="F103" i="43"/>
  <c r="N109" i="43"/>
  <c r="I118" i="43"/>
  <c r="J118" i="43" s="1"/>
  <c r="K118" i="43" s="1"/>
  <c r="L118" i="43" s="1"/>
  <c r="M118" i="43" s="1"/>
  <c r="G118" i="43"/>
  <c r="H118" i="43" s="1"/>
  <c r="N102" i="43"/>
  <c r="N104"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K26" i="6"/>
  <c r="M26" i="6" s="1"/>
  <c r="I26" i="6" s="1"/>
  <c r="S26" i="6" s="1"/>
  <c r="E31" i="6"/>
  <c r="A18" i="62"/>
  <c r="B64" i="72" s="1"/>
  <c r="K4" i="4"/>
  <c r="B46" i="48" s="1"/>
  <c r="B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Q60" i="67"/>
  <c r="Q73" i="67"/>
  <c r="F27" i="11"/>
  <c r="Q61" i="67"/>
  <c r="Q74" i="67"/>
  <c r="C49" i="67"/>
  <c r="F1" i="67"/>
  <c r="Q52" i="67"/>
  <c r="C16" i="67"/>
  <c r="C17" i="77"/>
  <c r="C17" i="15"/>
  <c r="C5" i="15" l="1"/>
  <c r="C32" i="15" s="1"/>
  <c r="Q60" i="15"/>
  <c r="Q61" i="15"/>
  <c r="E37" i="79"/>
  <c r="G37" i="79"/>
  <c r="I37" i="79" s="1"/>
  <c r="G38" i="79"/>
  <c r="I38" i="79" s="1"/>
  <c r="E38" i="79"/>
  <c r="E34" i="79"/>
  <c r="G34" i="79"/>
  <c r="I34" i="79" s="1"/>
  <c r="G36" i="79"/>
  <c r="I36" i="79" s="1"/>
  <c r="E36" i="79"/>
  <c r="E35" i="79"/>
  <c r="G35" i="79"/>
  <c r="I35" i="79" s="1"/>
  <c r="E33" i="79"/>
  <c r="G33" i="79"/>
  <c r="I33" i="79" s="1"/>
  <c r="J5" i="77"/>
  <c r="J24" i="77" s="1"/>
  <c r="J18" i="78"/>
  <c r="S6" i="1"/>
  <c r="AR6" i="1" s="1"/>
  <c r="S13" i="1"/>
  <c r="S9" i="1"/>
  <c r="S12" i="1"/>
  <c r="S10" i="1"/>
  <c r="S11" i="1"/>
  <c r="S7" i="1"/>
  <c r="C38" i="77"/>
  <c r="C32" i="77"/>
  <c r="D109" i="79"/>
  <c r="D107" i="79"/>
  <c r="D105" i="79"/>
  <c r="D103" i="79"/>
  <c r="D106" i="79"/>
  <c r="D104" i="79"/>
  <c r="D102" i="79"/>
  <c r="E109" i="79"/>
  <c r="E107" i="79"/>
  <c r="E105" i="79"/>
  <c r="E103" i="79"/>
  <c r="E106" i="79"/>
  <c r="E104" i="79"/>
  <c r="E102" i="79"/>
  <c r="M109" i="79"/>
  <c r="M107" i="79"/>
  <c r="M105" i="79"/>
  <c r="M103" i="79"/>
  <c r="M106" i="79"/>
  <c r="M104" i="79"/>
  <c r="M102" i="79"/>
  <c r="C107" i="79"/>
  <c r="C105" i="79"/>
  <c r="C103" i="79"/>
  <c r="C109" i="79"/>
  <c r="C106" i="79"/>
  <c r="C104" i="79"/>
  <c r="C102" i="79"/>
  <c r="K107" i="79"/>
  <c r="K105" i="79"/>
  <c r="K103" i="79"/>
  <c r="K109" i="79"/>
  <c r="K106" i="79"/>
  <c r="K104" i="79"/>
  <c r="K102" i="79"/>
  <c r="J107" i="79"/>
  <c r="J105" i="79"/>
  <c r="J103" i="79"/>
  <c r="J106" i="79"/>
  <c r="J104" i="79"/>
  <c r="J102" i="79"/>
  <c r="J109" i="79"/>
  <c r="E7" i="70"/>
  <c r="L109" i="43"/>
  <c r="L102" i="43"/>
  <c r="L105" i="43"/>
  <c r="L104" i="43"/>
  <c r="L106" i="43"/>
  <c r="L103" i="43"/>
  <c r="L107" i="43"/>
  <c r="S2" i="43"/>
  <c r="T2" i="43" s="1"/>
  <c r="V2" i="43" s="1"/>
  <c r="S6" i="43"/>
  <c r="T6" i="43" s="1"/>
  <c r="V6" i="43" s="1"/>
  <c r="S4" i="43"/>
  <c r="T4" i="43" s="1"/>
  <c r="V4" i="43" s="1"/>
  <c r="S7" i="43"/>
  <c r="T7" i="43" s="1"/>
  <c r="V7" i="43" s="1"/>
  <c r="C23" i="43"/>
  <c r="C21" i="43" s="1"/>
  <c r="C29" i="43" s="1"/>
  <c r="C30" i="43" s="1"/>
  <c r="E30" i="43" s="1"/>
  <c r="S3" i="43"/>
  <c r="T3" i="43" s="1"/>
  <c r="V3" i="43" s="1"/>
  <c r="I109" i="43"/>
  <c r="I102" i="43"/>
  <c r="I106" i="43"/>
  <c r="I103" i="43"/>
  <c r="I104" i="43"/>
  <c r="I105" i="43"/>
  <c r="I107" i="43"/>
  <c r="D109" i="43"/>
  <c r="D103" i="43"/>
  <c r="D104" i="43"/>
  <c r="D107" i="43"/>
  <c r="D106" i="43"/>
  <c r="D105" i="43"/>
  <c r="D102" i="43"/>
  <c r="G105" i="43"/>
  <c r="G103" i="43"/>
  <c r="G106" i="43"/>
  <c r="G109" i="43"/>
  <c r="G104" i="43"/>
  <c r="G102" i="43"/>
  <c r="G107" i="43"/>
  <c r="N109" i="79"/>
  <c r="N107" i="79"/>
  <c r="N105" i="79"/>
  <c r="N103" i="79"/>
  <c r="N106" i="79"/>
  <c r="N104" i="79"/>
  <c r="N102" i="79"/>
  <c r="L107" i="79"/>
  <c r="L105" i="79"/>
  <c r="L103" i="79"/>
  <c r="L109" i="79"/>
  <c r="L106" i="79"/>
  <c r="L104" i="79"/>
  <c r="L102" i="79"/>
  <c r="I109" i="79"/>
  <c r="I107" i="79"/>
  <c r="I105" i="79"/>
  <c r="I103" i="79"/>
  <c r="I106" i="79"/>
  <c r="I104" i="79"/>
  <c r="I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C24" i="78"/>
  <c r="J59" i="77"/>
  <c r="J60" i="77" s="1"/>
  <c r="AR7" i="1"/>
  <c r="T7" i="1"/>
  <c r="AQ7" i="1"/>
  <c r="M21" i="6"/>
  <c r="I21" i="6" s="1"/>
  <c r="S21" i="6" s="1"/>
  <c r="S8" i="1"/>
  <c r="E66" i="39"/>
  <c r="C115" i="43"/>
  <c r="D113" i="43" s="1"/>
  <c r="J22" i="43" s="1"/>
  <c r="AY6" i="3"/>
  <c r="E3" i="6"/>
  <c r="D3" i="33" s="1"/>
  <c r="M14" i="1"/>
  <c r="K16" i="1"/>
  <c r="AQ6" i="1"/>
  <c r="D3" i="37"/>
  <c r="T6" i="1"/>
  <c r="K27" i="6"/>
  <c r="M19" i="6"/>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C47" i="11"/>
  <c r="D45" i="11" s="1"/>
  <c r="C29" i="11"/>
  <c r="D27" i="11" s="1"/>
  <c r="C17" i="78"/>
  <c r="C14" i="77"/>
  <c r="J26" i="77" l="1"/>
  <c r="J18" i="77"/>
  <c r="AA7" i="34"/>
  <c r="R49" i="34" s="1"/>
  <c r="E6" i="70"/>
  <c r="AQ11" i="1"/>
  <c r="AR11" i="1"/>
  <c r="T11" i="1"/>
  <c r="AR12" i="1"/>
  <c r="AQ12" i="1"/>
  <c r="T12" i="1"/>
  <c r="AR13" i="1"/>
  <c r="T13" i="1"/>
  <c r="AQ13" i="1"/>
  <c r="AR10" i="1"/>
  <c r="T10" i="1"/>
  <c r="AQ10" i="1"/>
  <c r="AR9" i="1"/>
  <c r="AQ9" i="1"/>
  <c r="T9" i="1"/>
  <c r="C15" i="77"/>
  <c r="C18" i="77"/>
  <c r="C19" i="77"/>
  <c r="E8" i="70"/>
  <c r="C115" i="79"/>
  <c r="D113" i="79" s="1"/>
  <c r="S7" i="79"/>
  <c r="T7" i="79" s="1"/>
  <c r="V7" i="79" s="1"/>
  <c r="S6" i="79"/>
  <c r="T6" i="79" s="1"/>
  <c r="V6" i="79" s="1"/>
  <c r="S2" i="79"/>
  <c r="T2" i="79" s="1"/>
  <c r="V2" i="79" s="1"/>
  <c r="S5" i="79"/>
  <c r="T5" i="79" s="1"/>
  <c r="V5" i="79" s="1"/>
  <c r="S4" i="79"/>
  <c r="T4" i="79" s="1"/>
  <c r="V4" i="79" s="1"/>
  <c r="S3" i="79"/>
  <c r="T3" i="79" s="1"/>
  <c r="V3" i="79" s="1"/>
  <c r="C23" i="79"/>
  <c r="C21" i="79" s="1"/>
  <c r="C29" i="79" s="1"/>
  <c r="Q48" i="77"/>
  <c r="L46" i="77"/>
  <c r="AR8" i="1"/>
  <c r="AQ8" i="1"/>
  <c r="T8" i="1"/>
  <c r="D3" i="21"/>
  <c r="D14" i="12"/>
  <c r="D17" i="12" s="1"/>
  <c r="C17" i="12" s="1"/>
  <c r="D19" i="11"/>
  <c r="C19" i="11" s="1"/>
  <c r="C20" i="11" s="1"/>
  <c r="C25" i="11" s="1"/>
  <c r="B14" i="74"/>
  <c r="B1" i="74" s="1"/>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L18" i="9" s="1"/>
  <c r="D6" i="6"/>
  <c r="C36" i="11"/>
  <c r="J24" i="67"/>
  <c r="J18" i="67"/>
  <c r="J24" i="15"/>
  <c r="J18" i="15"/>
  <c r="G36" i="36"/>
  <c r="R37" i="36"/>
  <c r="AB7" i="34"/>
  <c r="T49" i="34" s="1"/>
  <c r="G49" i="34" s="1"/>
  <c r="G53" i="34" s="1"/>
  <c r="H53" i="34" s="1"/>
  <c r="W7" i="21"/>
  <c r="AA7" i="21"/>
  <c r="R48" i="21" s="1"/>
  <c r="E48" i="21" s="1"/>
  <c r="E52" i="21" s="1"/>
  <c r="F52" i="21" s="1"/>
  <c r="C36"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23" i="12"/>
  <c r="C14" i="78"/>
  <c r="E7" i="76"/>
  <c r="R50" i="34" l="1"/>
  <c r="C49" i="34" s="1"/>
  <c r="C15" i="78"/>
  <c r="C18" i="78"/>
  <c r="E29" i="79"/>
  <c r="C26" i="79" s="1"/>
  <c r="C30" i="79"/>
  <c r="E30" i="79" s="1"/>
  <c r="C27" i="79" s="1"/>
  <c r="C20" i="77"/>
  <c r="C26" i="77" s="1"/>
  <c r="J59" i="78"/>
  <c r="J60" i="78" s="1"/>
  <c r="Q48" i="78" s="1"/>
  <c r="C14" i="12"/>
  <c r="C24" i="11"/>
  <c r="C22" i="11" s="1"/>
  <c r="C28" i="11"/>
  <c r="C27" i="11" s="1"/>
  <c r="C14" i="74"/>
  <c r="B2" i="74" s="1"/>
  <c r="D19" i="6"/>
  <c r="D26" i="6"/>
  <c r="C18" i="4"/>
  <c r="D8" i="6"/>
  <c r="D23" i="6"/>
  <c r="D14" i="6"/>
  <c r="D5" i="6"/>
  <c r="D9" i="6"/>
  <c r="D10" i="6"/>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L19" i="9" s="1"/>
  <c r="I27" i="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7" i="76"/>
  <c r="E6" i="76"/>
  <c r="C50" i="34" l="1"/>
  <c r="C23" i="77"/>
  <c r="C29" i="77" s="1"/>
  <c r="Q49" i="77" s="1"/>
  <c r="C19" i="78"/>
  <c r="C20" i="78" s="1"/>
  <c r="C26" i="78" s="1"/>
  <c r="E2" i="76"/>
  <c r="B2" i="79"/>
  <c r="C31" i="11"/>
  <c r="L46" i="78"/>
  <c r="L57" i="77"/>
  <c r="L60" i="77" s="1"/>
  <c r="R24" i="6"/>
  <c r="R22" i="6"/>
  <c r="R25" i="6"/>
  <c r="R23" i="6"/>
  <c r="A7" i="51"/>
  <c r="B7" i="72" s="1"/>
  <c r="A10" i="51"/>
  <c r="B9" i="72" s="1"/>
  <c r="C4" i="52"/>
  <c r="B45" i="72" s="1"/>
  <c r="D27" i="6"/>
  <c r="D19" i="68"/>
  <c r="C10" i="68"/>
  <c r="D30" i="6"/>
  <c r="R20" i="6"/>
  <c r="R21" i="6"/>
  <c r="D16" i="6"/>
  <c r="R26" i="6"/>
  <c r="C35" i="68"/>
  <c r="C38" i="11"/>
  <c r="C35" i="11"/>
  <c r="C12" i="12"/>
  <c r="C15" i="12"/>
  <c r="F50" i="69"/>
  <c r="F50" i="11"/>
  <c r="F50" i="68"/>
  <c r="R19" i="6"/>
  <c r="H27" i="6"/>
  <c r="B3" i="43"/>
  <c r="C49" i="21"/>
  <c r="I63" i="40"/>
  <c r="H65" i="40"/>
  <c r="I70" i="39"/>
  <c r="B6" i="76"/>
  <c r="M21" i="77"/>
  <c r="F35" i="77"/>
  <c r="C57" i="77" l="1"/>
  <c r="C64" i="77" s="1"/>
  <c r="C33" i="77"/>
  <c r="J14" i="77"/>
  <c r="J22" i="77" s="1"/>
  <c r="J19" i="77"/>
  <c r="C36" i="77"/>
  <c r="C13" i="77"/>
  <c r="C75" i="77" s="1"/>
  <c r="C23" i="78"/>
  <c r="C29" i="78" s="1"/>
  <c r="C57" i="78" s="1"/>
  <c r="R10" i="1"/>
  <c r="R13" i="1"/>
  <c r="R11" i="1"/>
  <c r="R9" i="1"/>
  <c r="R12" i="1"/>
  <c r="R7" i="1"/>
  <c r="R8" i="1"/>
  <c r="B2" i="76"/>
  <c r="B3" i="76" s="1"/>
  <c r="C61" i="77"/>
  <c r="B3" i="79"/>
  <c r="F63" i="77"/>
  <c r="C62" i="77" s="1"/>
  <c r="C34" i="77"/>
  <c r="J20" i="77"/>
  <c r="L57" i="78"/>
  <c r="L60" i="78" s="1"/>
  <c r="Q57" i="77"/>
  <c r="Q66" i="77"/>
  <c r="R27" i="6"/>
  <c r="R6" i="1"/>
  <c r="C19" i="68"/>
  <c r="D37" i="68"/>
  <c r="C37" i="68" s="1"/>
  <c r="C33" i="68" s="1"/>
  <c r="D31" i="6"/>
  <c r="C33" i="11"/>
  <c r="C42" i="11" s="1"/>
  <c r="C16" i="12"/>
  <c r="C21" i="12" s="1"/>
  <c r="C22" i="12" s="1"/>
  <c r="C30" i="12" s="1"/>
  <c r="C28" i="12" s="1"/>
  <c r="J63" i="40"/>
  <c r="I65" i="40"/>
  <c r="J70" i="39"/>
  <c r="F35" i="67"/>
  <c r="M21" i="78"/>
  <c r="F35" i="15"/>
  <c r="F35" i="78"/>
  <c r="M21" i="15"/>
  <c r="M21" i="67"/>
  <c r="C31" i="77" l="1"/>
  <c r="C56" i="77"/>
  <c r="C65" i="77" s="1"/>
  <c r="J19" i="78"/>
  <c r="C37" i="77"/>
  <c r="J17" i="77"/>
  <c r="Q70" i="77"/>
  <c r="J13" i="77"/>
  <c r="J23" i="77" s="1"/>
  <c r="C13" i="78"/>
  <c r="Q70" i="78" s="1"/>
  <c r="J14" i="78"/>
  <c r="J22" i="78" s="1"/>
  <c r="C33" i="78"/>
  <c r="C36" i="78"/>
  <c r="Q49" i="78"/>
  <c r="C6" i="68"/>
  <c r="C7" i="68" s="1"/>
  <c r="C5" i="68" s="1"/>
  <c r="C34" i="78"/>
  <c r="F63" i="78"/>
  <c r="C62" i="78" s="1"/>
  <c r="J20" i="78"/>
  <c r="J16" i="77"/>
  <c r="J25" i="77" s="1"/>
  <c r="C59" i="77"/>
  <c r="C58" i="77" s="1"/>
  <c r="C67" i="77" s="1"/>
  <c r="F63" i="67"/>
  <c r="C62" i="67" s="1"/>
  <c r="C34" i="67"/>
  <c r="J20" i="67"/>
  <c r="C37" i="78"/>
  <c r="C61" i="78"/>
  <c r="C64" i="78"/>
  <c r="J20" i="15"/>
  <c r="F63" i="15"/>
  <c r="C62" i="15" s="1"/>
  <c r="C34" i="15"/>
  <c r="R16" i="1"/>
  <c r="Q66" i="78"/>
  <c r="Q57" i="78"/>
  <c r="C39" i="11"/>
  <c r="C43" i="11" s="1"/>
  <c r="C41" i="11" s="1"/>
  <c r="C27" i="12"/>
  <c r="C25" i="12" s="1"/>
  <c r="C32" i="12" s="1"/>
  <c r="B2" i="12" s="1"/>
  <c r="B3" i="12" s="1"/>
  <c r="C39" i="68"/>
  <c r="C43" i="68" s="1"/>
  <c r="C42" i="68"/>
  <c r="I6" i="6"/>
  <c r="I7" i="6" s="1"/>
  <c r="I5" i="6"/>
  <c r="C24" i="68"/>
  <c r="K63" i="40"/>
  <c r="J65" i="40"/>
  <c r="K70" i="39"/>
  <c r="C30" i="77" l="1"/>
  <c r="C39" i="77" s="1"/>
  <c r="C75" i="78"/>
  <c r="J17" i="78"/>
  <c r="C59" i="78"/>
  <c r="J13" i="78"/>
  <c r="J23" i="78" s="1"/>
  <c r="C31" i="78"/>
  <c r="C56" i="78"/>
  <c r="C65" i="78" s="1"/>
  <c r="Q69" i="77"/>
  <c r="Q68" i="77" s="1"/>
  <c r="J16" i="78"/>
  <c r="J25" i="78" s="1"/>
  <c r="C30" i="78"/>
  <c r="C39" i="78" s="1"/>
  <c r="C80" i="78" s="1"/>
  <c r="C79" i="78" s="1"/>
  <c r="C23" i="68"/>
  <c r="C20" i="68"/>
  <c r="C25" i="68" s="1"/>
  <c r="C46" i="68"/>
  <c r="C45" i="68" s="1"/>
  <c r="C41" i="68"/>
  <c r="C46" i="11"/>
  <c r="C45" i="11" s="1"/>
  <c r="C49" i="11" s="1"/>
  <c r="C51" i="11" s="1"/>
  <c r="C52" i="11" s="1"/>
  <c r="B2" i="11" s="1"/>
  <c r="B3" i="11" s="1"/>
  <c r="C28" i="68"/>
  <c r="C27" i="68" s="1"/>
  <c r="L63" i="40"/>
  <c r="K65" i="40"/>
  <c r="L70" i="39"/>
  <c r="E2" i="70"/>
  <c r="C34" i="69"/>
  <c r="L51" i="77"/>
  <c r="L51" i="78"/>
  <c r="C17" i="67"/>
  <c r="Q67" i="77" l="1"/>
  <c r="C80" i="77"/>
  <c r="C79" i="77" s="1"/>
  <c r="C58" i="78"/>
  <c r="C67" i="78" s="1"/>
  <c r="Q69" i="78"/>
  <c r="Q68" i="78" s="1"/>
  <c r="Q67" i="78"/>
  <c r="C22" i="68"/>
  <c r="C49" i="68"/>
  <c r="C51" i="68" s="1"/>
  <c r="C31" i="68"/>
  <c r="C56" i="11"/>
  <c r="C57" i="11" s="1"/>
  <c r="M63" i="40"/>
  <c r="L65" i="40"/>
  <c r="M70" i="39"/>
  <c r="C35" i="69"/>
  <c r="C38" i="69"/>
  <c r="D10" i="69"/>
  <c r="C52" i="68" l="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F41" i="77"/>
  <c r="J29" i="77" l="1"/>
  <c r="F69" i="77"/>
  <c r="C68" i="77" s="1"/>
  <c r="C71" i="77" s="1"/>
  <c r="C40" i="77"/>
  <c r="Q66" i="67"/>
  <c r="Q57" i="67"/>
  <c r="C58" i="67"/>
  <c r="C67" i="67" s="1"/>
  <c r="C19" i="15"/>
  <c r="Q65" i="77" l="1"/>
  <c r="Q75" i="77" s="1"/>
  <c r="Q56" i="77"/>
  <c r="Q62" i="77" s="1"/>
  <c r="C46" i="77"/>
  <c r="C83" i="77"/>
  <c r="C82" i="77" s="1"/>
  <c r="C43" i="77"/>
  <c r="Q47" i="77"/>
  <c r="Q53" i="77" s="1"/>
  <c r="B2" i="77"/>
  <c r="B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78"/>
  <c r="F41" i="78"/>
  <c r="F41" i="67"/>
  <c r="M27" i="15"/>
  <c r="M27" i="67"/>
  <c r="F41" i="15"/>
  <c r="J29" i="78" l="1"/>
  <c r="F69" i="78"/>
  <c r="C68" i="78" s="1"/>
  <c r="C40" i="78"/>
  <c r="C71" i="78"/>
  <c r="J26" i="15"/>
  <c r="J29" i="15" s="1"/>
  <c r="J26" i="67"/>
  <c r="J29" i="67" s="1"/>
  <c r="C58" i="15"/>
  <c r="C67" i="15" s="1"/>
  <c r="F69" i="15"/>
  <c r="C40" i="15"/>
  <c r="C43" i="15" s="1"/>
  <c r="L46" i="15"/>
  <c r="Q57" i="15"/>
  <c r="Q66" i="15"/>
  <c r="F69" i="67"/>
  <c r="C68" i="67" s="1"/>
  <c r="C71" i="67" s="1"/>
  <c r="C40" i="67"/>
  <c r="C83" i="67" s="1"/>
  <c r="C82" i="67" s="1"/>
  <c r="B2" i="78" l="1"/>
  <c r="B3" i="78" s="1"/>
  <c r="Q56" i="78"/>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B8" i="70" l="1"/>
  <c r="B7" i="70"/>
  <c r="B6" i="70"/>
  <c r="C46" i="15"/>
  <c r="B2" i="69"/>
  <c r="B3" i="69" s="1"/>
  <c r="B2" i="68"/>
  <c r="B3" i="67"/>
  <c r="D2" i="33"/>
  <c r="D2" i="37"/>
  <c r="F20" i="31"/>
  <c r="D2" i="36"/>
  <c r="E2" i="68"/>
  <c r="D2" i="21"/>
  <c r="D2" i="34"/>
  <c r="D2" i="35"/>
  <c r="B2" i="36" l="1"/>
  <c r="B3" i="36" s="1"/>
  <c r="B2" i="35"/>
  <c r="B3" i="35" s="1"/>
  <c r="B2" i="37"/>
  <c r="B3" i="37" s="1"/>
  <c r="B2" i="34"/>
  <c r="B2" i="21"/>
  <c r="B3" i="21" s="1"/>
  <c r="B2" i="70"/>
  <c r="B3" i="70" s="1"/>
  <c r="B3" i="68"/>
  <c r="C19" i="9"/>
  <c r="D20" i="9"/>
  <c r="D19" i="9"/>
  <c r="C21" i="9" l="1"/>
  <c r="C102" i="9"/>
  <c r="B3" i="34"/>
  <c r="G19" i="9"/>
  <c r="D102" i="9"/>
  <c r="D22" i="9"/>
  <c r="D21" i="9"/>
  <c r="D103" i="9"/>
  <c r="C20" i="9"/>
  <c r="C103" i="9" l="1"/>
  <c r="G20" i="9"/>
  <c r="R24" i="31" s="1"/>
  <c r="S24" i="31" s="1"/>
  <c r="C32" i="9"/>
  <c r="G21" i="9"/>
  <c r="D34" i="9"/>
  <c r="R42" i="31" l="1"/>
  <c r="S42" i="31" s="1"/>
  <c r="R36" i="31"/>
  <c r="S36" i="31" s="1"/>
  <c r="R26" i="31"/>
  <c r="S26" i="31" s="1"/>
  <c r="R37" i="31"/>
  <c r="S37" i="31" s="1"/>
  <c r="R31" i="31"/>
  <c r="S31" i="31" s="1"/>
  <c r="R34" i="31"/>
  <c r="S34" i="31" s="1"/>
  <c r="R29" i="31"/>
  <c r="S29" i="31" s="1"/>
  <c r="R28" i="31"/>
  <c r="S28" i="31" s="1"/>
  <c r="R44" i="31"/>
  <c r="S44" i="31" s="1"/>
  <c r="R39" i="31"/>
  <c r="S39" i="31" s="1"/>
  <c r="R30" i="31"/>
  <c r="S30" i="31" s="1"/>
  <c r="R38" i="31"/>
  <c r="S38" i="31" s="1"/>
  <c r="R25" i="31"/>
  <c r="S25" i="31" s="1"/>
  <c r="R33" i="31"/>
  <c r="S33" i="31" s="1"/>
  <c r="R41" i="31"/>
  <c r="S41" i="31" s="1"/>
  <c r="R32" i="31"/>
  <c r="S32" i="31" s="1"/>
  <c r="R40" i="31"/>
  <c r="S40" i="31" s="1"/>
  <c r="R27" i="31"/>
  <c r="S27" i="31" s="1"/>
  <c r="R35" i="31"/>
  <c r="S35" i="31" s="1"/>
  <c r="R43" i="31"/>
  <c r="S43" i="31" s="1"/>
  <c r="H109" i="9"/>
  <c r="S22" i="31" l="1"/>
  <c r="B20" i="31" s="1"/>
  <c r="H110" i="9"/>
  <c r="D18" i="53" s="1"/>
  <c r="B35" i="72" s="1"/>
  <c r="D124" i="9"/>
  <c r="D16" i="53"/>
  <c r="B34" i="72" s="1"/>
  <c r="R22" i="31" l="1"/>
  <c r="B21" i="31" s="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<sst xmlns="http://schemas.openxmlformats.org/spreadsheetml/2006/main" count="8662" uniqueCount="3176">
  <si>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</si>
  <si>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</si>
  <si>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</si>
  <si>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</si>
  <si>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</si>
  <si>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</si>
  <si>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</si>
  <si>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</si>
  <si>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</si>
  <si>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</si>
  <si>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</si>
  <si>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</si>
  <si>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</si>
  <si>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</si>
  <si>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</si>
  <si>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</si>
  <si>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</si>
  <si>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</si>
  <si>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</si>
  <si>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</si>
  <si>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</si>
  <si>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</si>
  <si>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</si>
  <si>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</si>
  <si>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</si>
  <si>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</si>
  <si>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</si>
  <si>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</si>
  <si>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</si>
  <si>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</si>
  <si>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</si>
  <si>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</si>
  <si>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</si>
  <si>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</si>
  <si>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</si>
  <si>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</si>
  <si>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</si>
  <si>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</si>
  <si>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</si>
  <si>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</si>
  <si>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</si>
  <si>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</si>
  <si>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</si>
  <si>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</si>
  <si>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</si>
  <si>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</si>
  <si>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</si>
  <si>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</si>
  <si>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</si>
  <si>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</si>
  <si>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</si>
  <si>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</si>
  <si>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</si>
  <si>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</si>
  <si>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</si>
  <si>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</si>
  <si>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</si>
  <si>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</si>
  <si>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</si>
  <si>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</si>
  <si>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</si>
  <si>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</si>
  <si>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</si>
  <si>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</si>
  <si>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</si>
  <si>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</si>
  <si>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</si>
  <si>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</si>
  <si>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</si>
  <si>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</si>
  <si>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</si>
  <si>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</si>
  <si>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</si>
  <si>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</si>
  <si>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</si>
  <si>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</si>
  <si>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</si>
  <si>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</si>
  <si>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</si>
  <si>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</si>
  <si>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</si>
  <si>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</si>
  <si>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</si>
  <si>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</si>
  <si>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</si>
  <si>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</si>
  <si>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</si>
  <si>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</si>
  <si>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</si>
  <si>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</si>
  <si>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</si>
  <si>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</si>
  <si>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</si>
  <si>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</si>
  <si>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</si>
  <si>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</si>
  <si>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</si>
  <si>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</si>
  <si>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</si>
  <si>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</si>
  <si>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</si>
  <si>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</si>
  <si>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</si>
  <si>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</si>
  <si>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</si>
  <si>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</si>
  <si>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</si>
  <si>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</si>
  <si>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</si>
  <si>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</si>
  <si>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</si>
  <si>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</si>
  <si>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</si>
  <si>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</si>
  <si>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</si>
  <si>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</si>
  <si>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</si>
  <si>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</si>
  <si>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</si>
  <si>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</si>
  <si>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</si>
  <si>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</si>
  <si>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</si>
  <si>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</si>
  <si>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</si>
  <si>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</si>
  <si>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</si>
  <si>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</si>
  <si>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</si>
  <si>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</si>
  <si>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</si>
  <si>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</si>
  <si>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</si>
  <si>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</si>
  <si>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</si>
  <si>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</si>
  <si>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</si>
  <si>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</si>
  <si>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</si>
  <si>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</si>
  <si>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</si>
  <si>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</si>
  <si>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</si>
  <si>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</si>
  <si>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</si>
  <si>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</si>
  <si>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</si>
  <si>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</si>
  <si>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</si>
  <si>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</si>
  <si>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</si>
  <si>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</si>
  <si>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</si>
  <si>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</si>
  <si>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</si>
  <si>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</si>
  <si>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</si>
  <si>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</si>
  <si>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</si>
  <si>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</si>
  <si>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</si>
  <si>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</si>
  <si>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</si>
  <si>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</si>
  <si>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</si>
  <si>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</si>
  <si>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</si>
  <si>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</si>
  <si>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</si>
  <si>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</si>
  <si>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</si>
  <si>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</si>
  <si>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</si>
  <si>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</si>
  <si>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</si>
  <si>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</si>
  <si>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</si>
  <si>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</si>
  <si>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</si>
  <si>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</si>
  <si>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</si>
  <si>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</si>
  <si>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</si>
  <si>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</si>
  <si>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</si>
  <si>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</si>
  <si>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</si>
  <si>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</si>
  <si>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</si>
  <si>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</si>
  <si>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</si>
  <si>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</si>
  <si>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</si>
  <si>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</si>
  <si>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</si>
  <si>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</si>
  <si>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</si>
  <si>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</si>
  <si>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</si>
  <si>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</si>
  <si>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</si>
  <si>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</si>
  <si>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</si>
  <si>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</si>
  <si>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</si>
  <si>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</si>
  <si>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</si>
  <si>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</si>
  <si>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</si>
  <si>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</si>
  <si>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</si>
  <si>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</si>
  <si>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</si>
  <si>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</si>
  <si>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</si>
  <si>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</si>
  <si>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</si>
  <si>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</si>
  <si>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</si>
  <si>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</si>
  <si>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</si>
  <si>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</si>
  <si>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</si>
  <si>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</si>
  <si>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</si>
  <si>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</si>
  <si>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</si>
  <si>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</si>
  <si>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</si>
  <si>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</si>
  <si>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</si>
  <si>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</si>
  <si>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</si>
  <si>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</si>
  <si>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</si>
  <si>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</si>
  <si>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</si>
  <si>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</si>
  <si>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</si>
  <si>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</si>
  <si>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</si>
  <si>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</si>
  <si>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</si>
  <si>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</si>
  <si>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</si>
  <si>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</si>
  <si>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</si>
  <si>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</si>
  <si>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</si>
  <si>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</si>
  <si>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</si>
  <si>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</si>
  <si>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</si>
  <si>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</si>
  <si>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</si>
  <si>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</si>
  <si>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</si>
  <si>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</si>
  <si>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</si>
  <si>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</si>
  <si>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</si>
  <si>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</si>
  <si>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</si>
  <si>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</si>
  <si>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</si>
  <si>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</si>
  <si>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</si>
  <si>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</si>
  <si>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</si>
  <si>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</si>
  <si>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</si>
  <si>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</si>
  <si>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</si>
  <si>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</si>
  <si>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</si>
  <si>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</si>
  <si>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</si>
  <si>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</si>
  <si>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</si>
  <si>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</si>
  <si>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</si>
  <si>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</si>
  <si>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</si>
  <si>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</si>
  <si>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</si>
  <si>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</si>
  <si>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</si>
  <si>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</si>
  <si>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</si>
  <si>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</si>
  <si>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</si>
  <si>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</si>
  <si>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</si>
  <si>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</si>
  <si>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</si>
  <si>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</si>
  <si>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</si>
  <si>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</si>
  <si>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</si>
  <si>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</si>
  <si>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</si>
  <si>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</si>
  <si>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</si>
  <si>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</si>
  <si>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</si>
  <si>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</si>
  <si>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</si>
  <si>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</si>
  <si>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</si>
  <si>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</si>
  <si>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</si>
  <si>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</si>
  <si>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</si>
  <si>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</si>
  <si>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</si>
  <si>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</si>
  <si>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</si>
  <si>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</si>
  <si>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</si>
  <si>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</si>
  <si>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</si>
  <si>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</si>
  <si>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</si>
  <si>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</si>
  <si>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</si>
  <si>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</si>
  <si>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</si>
  <si>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</si>
  <si>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</si>
  <si>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</si>
  <si>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</si>
  <si>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</si>
  <si>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</si>
  <si>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</si>
  <si>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</si>
  <si>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</si>
  <si>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</si>
  <si>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</si>
  <si>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</si>
  <si>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</si>
  <si>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</si>
  <si>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</si>
  <si>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</si>
  <si>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</si>
  <si>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</si>
  <si>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</si>
  <si>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</si>
  <si>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</si>
  <si>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</si>
  <si>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</si>
  <si>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</si>
  <si>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</si>
  <si>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</si>
  <si>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</si>
  <si>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</si>
  <si>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</si>
  <si>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</si>
  <si>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</si>
  <si>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</si>
  <si>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</si>
  <si>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</si>
  <si>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</si>
  <si>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</si>
  <si>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</si>
  <si>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</si>
  <si>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</si>
  <si>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</si>
  <si>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</si>
  <si>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</si>
  <si>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</si>
  <si>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</si>
  <si>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</si>
  <si>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</si>
  <si>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</si>
  <si>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</si>
  <si>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</si>
  <si>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</si>
  <si>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</si>
  <si>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</si>
  <si>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</si>
  <si>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</si>
  <si>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</si>
  <si>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</si>
  <si>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</si>
  <si>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</si>
  <si>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</si>
  <si>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</si>
  <si>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</si>
  <si>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</si>
  <si>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</si>
  <si>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</si>
  <si>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</si>
  <si>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</si>
  <si>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</si>
  <si>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</si>
  <si>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</si>
  <si>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</si>
  <si>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</si>
  <si>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</si>
  <si>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</si>
  <si>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</si>
  <si>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</si>
  <si>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</si>
  <si>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</si>
  <si>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</si>
  <si>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</si>
  <si>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</si>
  <si>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</si>
  <si>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</si>
  <si>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</si>
  <si>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</si>
  <si>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</si>
  <si>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</si>
  <si>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</si>
  <si>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</si>
  <si>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</si>
  <si>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</si>
  <si>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</si>
  <si>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</si>
  <si>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</si>
  <si>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</si>
  <si>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</si>
  <si>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</si>
  <si>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</si>
  <si>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</si>
  <si>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</si>
  <si>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</si>
  <si>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</si>
  <si>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</si>
  <si>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</si>
  <si>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</si>
  <si>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</si>
  <si>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</si>
  <si>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</si>
  <si>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</si>
  <si>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</si>
  <si>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</si>
  <si>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</si>
  <si>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</si>
  <si>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</si>
  <si>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</si>
  <si>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</si>
  <si>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</si>
  <si>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</si>
  <si>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</si>
  <si>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</si>
  <si>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</si>
  <si>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</si>
  <si>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</si>
  <si>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</si>
  <si>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</si>
  <si>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</si>
  <si>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</si>
  <si>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</si>
  <si>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</si>
  <si>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</si>
  <si>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</si>
  <si>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</si>
  <si>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</si>
  <si>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</si>
  <si>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</si>
  <si>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</si>
  <si>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</si>
  <si>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</si>
  <si>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</si>
  <si>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</si>
  <si>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</si>
  <si>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</si>
  <si>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</si>
  <si>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</si>
  <si>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</si>
  <si>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</si>
  <si>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</si>
  <si>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</si>
  <si>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</si>
  <si>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</si>
  <si>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</si>
  <si>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</si>
  <si>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</si>
  <si>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</si>
  <si>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</si>
  <si>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</si>
  <si>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</si>
  <si>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</si>
  <si>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</si>
  <si>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</si>
  <si>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</si>
  <si>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</si>
  <si>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</si>
  <si>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</si>
  <si>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</si>
  <si>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</si>
  <si>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</si>
  <si>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</si>
  <si>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</si>
  <si>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</si>
  <si>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</si>
  <si>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</si>
  <si>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</si>
  <si>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</si>
  <si>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</si>
  <si>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</si>
  <si>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</si>
  <si>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</si>
  <si>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</si>
  <si>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</si>
  <si>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</si>
  <si>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</si>
  <si>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</si>
  <si>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</si>
  <si>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</si>
  <si>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</si>
  <si>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</si>
  <si>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</si>
  <si>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</si>
  <si>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</si>
  <si>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</si>
  <si>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</si>
  <si>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</si>
  <si>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</si>
  <si>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</si>
  <si>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</si>
  <si>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</si>
  <si>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</si>
  <si>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</si>
  <si>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</si>
  <si>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</si>
  <si>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</si>
  <si>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</si>
  <si>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</si>
  <si>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</si>
  <si>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</si>
  <si>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</si>
  <si>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</si>
  <si>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</si>
  <si>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</si>
  <si>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</si>
  <si>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</si>
  <si>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</si>
  <si>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</si>
  <si>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</si>
  <si>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</si>
  <si>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</si>
  <si>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</si>
  <si>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</si>
  <si>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</si>
  <si>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</si>
  <si>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</si>
  <si>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</si>
  <si>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</si>
  <si>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</si>
  <si>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</si>
  <si>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</si>
  <si>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</si>
  <si>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</si>
  <si>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</si>
  <si>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</si>
  <si>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</si>
  <si>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</si>
  <si>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</si>
  <si>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</si>
  <si>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</si>
  <si>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</si>
  <si>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</si>
  <si>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</si>
  <si>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</si>
  <si>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</si>
  <si>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</si>
  <si>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</si>
  <si>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</si>
  <si>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</si>
  <si>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</si>
  <si>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</si>
  <si>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</si>
  <si>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</si>
  <si>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</si>
  <si>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</si>
  <si>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</si>
  <si>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</si>
  <si>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</si>
  <si>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</si>
  <si>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</si>
  <si>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</si>
  <si>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</si>
  <si>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</si>
  <si>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</si>
  <si>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</si>
  <si>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</si>
  <si>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</si>
  <si>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</si>
  <si>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</si>
  <si>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</si>
  <si>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</si>
  <si>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</si>
  <si>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</si>
  <si>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</si>
  <si>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</si>
  <si>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</si>
  <si>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</si>
  <si>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</si>
  <si>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</si>
  <si>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</si>
  <si>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</si>
  <si>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</si>
  <si>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</si>
  <si>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</si>
  <si>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</si>
  <si>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</si>
  <si>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</si>
  <si>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</si>
  <si>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</si>
  <si>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</si>
  <si>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</si>
  <si>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</si>
  <si>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</si>
  <si>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</si>
  <si>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</si>
  <si>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</si>
  <si>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</si>
  <si>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</si>
  <si>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</si>
  <si>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</si>
  <si>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</si>
  <si>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</si>
  <si>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</si>
  <si>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</si>
  <si>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</si>
  <si>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</si>
  <si>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</si>
  <si>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</si>
  <si>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</si>
  <si>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</si>
  <si>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</si>
  <si>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</si>
  <si>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</si>
  <si>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</si>
  <si>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</si>
  <si>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</si>
  <si>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</si>
  <si>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</si>
  <si>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</si>
  <si>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</si>
  <si>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</si>
  <si>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</si>
  <si>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</si>
  <si>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</si>
  <si>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</si>
  <si>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</si>
  <si>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</si>
  <si>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</si>
  <si>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</si>
  <si>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</si>
  <si>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</si>
  <si>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</si>
  <si>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</si>
  <si>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</si>
  <si>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</si>
  <si>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</si>
  <si>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</si>
  <si>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</si>
  <si>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</si>
  <si>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</si>
  <si>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</si>
  <si>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</si>
  <si>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</si>
  <si>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</si>
  <si>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</si>
  <si>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</si>
  <si>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</si>
  <si>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</si>
  <si>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</si>
  <si>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</si>
  <si>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</si>
  <si>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</si>
  <si>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</si>
  <si>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</si>
  <si>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</si>
  <si>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</si>
  <si>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</si>
  <si>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</si>
  <si>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</si>
  <si>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</si>
  <si>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</si>
  <si>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</si>
  <si>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</si>
  <si>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</si>
  <si>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</si>
  <si>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</si>
  <si>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</si>
  <si>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</si>
  <si>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</si>
  <si>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</si>
  <si>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</si>
  <si>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</si>
  <si>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</si>
  <si>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</si>
  <si>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</si>
  <si>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</si>
  <si>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</si>
  <si>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</si>
  <si>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</si>
  <si>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</si>
  <si>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</si>
  <si>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</si>
  <si>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</si>
  <si>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</si>
  <si>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</si>
  <si>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</si>
  <si>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</si>
  <si>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</si>
  <si>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</si>
  <si>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</si>
  <si>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</si>
  <si>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</si>
  <si>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</si>
  <si>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</si>
  <si>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</si>
  <si>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</si>
  <si>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</si>
  <si>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</si>
  <si>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</si>
  <si>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</si>
  <si>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</si>
  <si>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</si>
  <si>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</si>
  <si>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</si>
  <si>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</si>
  <si>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</si>
  <si>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</si>
  <si>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</si>
  <si>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</si>
  <si>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</si>
  <si>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</si>
  <si>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</si>
  <si>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</si>
  <si>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</si>
  <si>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</si>
  <si>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</si>
  <si>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</si>
  <si>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</si>
  <si>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</si>
  <si>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</si>
  <si>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</si>
  <si>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</si>
  <si>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</si>
  <si>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</si>
  <si>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</si>
  <si>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</si>
  <si>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</si>
  <si>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</si>
  <si>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</si>
  <si>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</si>
  <si>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</si>
  <si>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</si>
  <si>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</si>
  <si>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</si>
  <si>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</si>
  <si>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</si>
  <si>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</si>
  <si>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</si>
  <si>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</si>
  <si>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</si>
  <si>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</si>
  <si>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</si>
  <si>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</si>
  <si>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</si>
  <si>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</si>
  <si>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</si>
  <si>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</si>
  <si>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</si>
  <si>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</si>
  <si>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</si>
  <si>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</si>
  <si>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</si>
  <si>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</si>
  <si>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</si>
  <si>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</si>
  <si>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</si>
  <si>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</si>
  <si>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</si>
  <si>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</si>
  <si>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</si>
  <si>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</si>
  <si>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</si>
  <si>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</si>
  <si>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</si>
  <si>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</si>
  <si>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</si>
  <si>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</si>
  <si>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</si>
  <si>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</si>
  <si>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</si>
  <si>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</si>
  <si>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</si>
  <si>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</si>
  <si>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</si>
  <si>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</si>
  <si>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</si>
  <si>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</si>
  <si>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</si>
  <si>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</si>
  <si>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</si>
  <si>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</si>
  <si>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</si>
  <si>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</si>
  <si>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</si>
  <si>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</si>
  <si>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</si>
  <si>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</si>
  <si>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</si>
  <si>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</si>
  <si>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</si>
  <si>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</si>
  <si>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</si>
  <si>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</si>
  <si>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</si>
  <si>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</si>
  <si>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</si>
  <si>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</si>
  <si>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</si>
  <si>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</si>
  <si>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</si>
  <si>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</si>
  <si>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</si>
  <si>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</si>
  <si>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</si>
  <si>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</si>
  <si>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</si>
  <si>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</si>
  <si>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</si>
  <si>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</si>
  <si>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</si>
  <si>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</si>
  <si>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</si>
  <si>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</si>
  <si>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</si>
  <si>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</si>
  <si>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</si>
  <si>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</si>
  <si>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</si>
  <si>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</si>
  <si>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</si>
  <si>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</si>
  <si>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</si>
  <si>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</si>
  <si>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</si>
  <si>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</si>
  <si>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</si>
  <si>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</si>
  <si>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</si>
  <si>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</si>
  <si>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</si>
  <si>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</si>
  <si>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</si>
  <si>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</si>
  <si>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</si>
  <si>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</si>
  <si>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</si>
  <si>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</si>
  <si>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</si>
  <si>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</si>
  <si>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</si>
  <si>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</si>
  <si>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</si>
  <si>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</si>
  <si>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</si>
  <si>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</si>
  <si>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</si>
  <si>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</si>
  <si>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</si>
  <si>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</si>
  <si>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</si>
  <si>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</si>
  <si>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</si>
  <si>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</si>
  <si>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</si>
  <si>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</si>
  <si>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</si>
  <si>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</si>
  <si>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</si>
  <si>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</si>
  <si>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</si>
  <si>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</si>
  <si>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</si>
  <si>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</si>
  <si>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</si>
  <si>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</si>
  <si>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</si>
  <si>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</si>
  <si>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</si>
  <si>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</si>
  <si>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</si>
  <si>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</si>
  <si>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</si>
  <si>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</si>
  <si>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</si>
  <si>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</si>
  <si>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</si>
  <si>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</si>
  <si>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</si>
  <si>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</si>
  <si>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</si>
  <si>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</si>
  <si>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</si>
  <si>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</si>
  <si>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</si>
  <si>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</si>
  <si>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</si>
  <si>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</si>
  <si>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</si>
  <si>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</si>
  <si>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</si>
  <si>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</si>
  <si>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</si>
  <si>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</si>
  <si>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</si>
  <si>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</si>
  <si>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</si>
  <si>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</si>
  <si>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</si>
  <si>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</si>
  <si>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</si>
  <si>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</si>
  <si>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</si>
  <si>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</si>
  <si>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</si>
  <si>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</si>
  <si>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</si>
  <si>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</si>
  <si>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</si>
  <si>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</si>
  <si>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</si>
  <si>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</si>
  <si>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</si>
  <si>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</si>
  <si>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</si>
  <si>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</si>
  <si>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</si>
  <si>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</si>
  <si>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</si>
  <si>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</si>
  <si>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</si>
  <si>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</si>
  <si>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</si>
  <si>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</si>
  <si>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</si>
  <si>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</si>
  <si>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</si>
  <si>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</si>
  <si>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</si>
  <si>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</si>
  <si>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</si>
  <si>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</si>
  <si>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</si>
  <si>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</si>
  <si>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</si>
  <si>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</si>
  <si>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</si>
  <si>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</si>
  <si>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</si>
  <si>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</si>
  <si>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</si>
  <si>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</si>
  <si>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</si>
  <si>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</si>
  <si>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</si>
  <si>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</si>
  <si>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</si>
  <si>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</si>
  <si>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</si>
  <si>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</si>
  <si>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</si>
  <si>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</si>
  <si>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</si>
  <si>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</si>
  <si>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</si>
  <si>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</si>
  <si>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</si>
  <si>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</si>
  <si>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</si>
  <si>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</si>
  <si>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</si>
  <si>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</si>
  <si>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</si>
  <si>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</si>
  <si>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</si>
  <si>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</si>
  <si>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</si>
  <si>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</si>
  <si>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</si>
  <si>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</si>
  <si>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</si>
  <si>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</si>
  <si>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</si>
  <si>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</si>
  <si>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</si>
  <si>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</si>
  <si>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</si>
  <si>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</si>
  <si>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</si>
  <si>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</si>
  <si>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</si>
  <si>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</si>
  <si>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</si>
  <si>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</si>
  <si>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</si>
  <si>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</si>
  <si>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</si>
  <si>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</si>
  <si>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</si>
  <si>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</si>
  <si>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</si>
  <si>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</si>
  <si>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</si>
  <si>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</si>
  <si>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</si>
  <si>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</si>
  <si>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</si>
  <si>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</si>
  <si>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</si>
  <si>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</si>
  <si>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</si>
  <si>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</si>
  <si>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</si>
  <si>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</si>
  <si>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</si>
  <si>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</si>
  <si>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</si>
  <si>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</si>
  <si>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</si>
  <si>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</si>
  <si>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</si>
  <si>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</si>
  <si>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</si>
  <si>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</si>
  <si>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</si>
  <si>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</si>
  <si>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</si>
  <si>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</si>
  <si>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</si>
  <si>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</si>
  <si>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</si>
  <si>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</si>
  <si>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</si>
  <si>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</si>
  <si>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</si>
  <si>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</si>
  <si>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</si>
  <si>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</si>
  <si>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</si>
  <si>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</si>
  <si>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</si>
  <si>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</si>
  <si>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</si>
  <si>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</si>
  <si>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</si>
  <si>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</si>
  <si>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</si>
  <si>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</si>
  <si>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</si>
  <si>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</si>
  <si>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</si>
  <si>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</si>
  <si>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</si>
  <si>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</si>
  <si>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</si>
  <si>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</si>
  <si>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</si>
  <si>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</si>
  <si>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</si>
  <si>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</si>
  <si>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</si>
  <si>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</si>
  <si>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</si>
  <si>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</si>
  <si>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</si>
  <si>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</si>
  <si>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</si>
  <si>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</si>
  <si>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</si>
  <si>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</si>
  <si>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</si>
  <si>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</si>
  <si>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</si>
  <si>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</si>
  <si>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</si>
  <si>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</si>
  <si>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</si>
  <si>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</si>
  <si>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</si>
  <si>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</si>
  <si>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</si>
  <si>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</si>
  <si>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</si>
  <si>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</si>
  <si>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</si>
  <si>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</si>
  <si>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</si>
  <si>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</si>
  <si>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</si>
  <si>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</si>
  <si>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</si>
  <si>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</si>
  <si>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</si>
  <si>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</si>
  <si>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</si>
  <si>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</si>
  <si>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</si>
  <si>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</si>
  <si>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</si>
  <si>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</si>
  <si>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</si>
  <si>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</si>
  <si>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</si>
  <si>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</si>
  <si>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</si>
  <si>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</si>
  <si>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</si>
  <si>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</si>
  <si>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</si>
  <si>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</si>
  <si>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</si>
  <si>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</si>
  <si>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</si>
  <si>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</si>
  <si>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</si>
  <si>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</si>
  <si>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</si>
  <si>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</si>
  <si>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</si>
  <si>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</si>
  <si>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</si>
  <si>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</si>
  <si>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</si>
  <si>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</si>
  <si>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</si>
  <si>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</si>
  <si>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</si>
  <si>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</si>
  <si>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</si>
  <si>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</si>
  <si>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</si>
  <si>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</si>
  <si>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</si>
  <si>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</si>
  <si>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</si>
  <si>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</si>
  <si>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</si>
  <si>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</si>
  <si>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</si>
  <si>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</si>
  <si>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</si>
  <si>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</si>
  <si>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</si>
  <si>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</si>
  <si>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</si>
  <si>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</si>
  <si>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</si>
  <si>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</si>
  <si>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</si>
  <si>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</si>
  <si>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</si>
  <si>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</si>
  <si>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</si>
  <si>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</si>
  <si>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</si>
  <si>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</si>
  <si>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</si>
  <si>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</si>
  <si>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</si>
  <si>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</si>
  <si>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</si>
  <si>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</si>
  <si>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</si>
  <si>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</si>
  <si>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</si>
  <si>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</si>
  <si>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</si>
  <si>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</si>
  <si>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</si>
  <si>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</si>
  <si>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</si>
  <si>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</si>
  <si>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</si>
  <si>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</si>
  <si>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</si>
  <si>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</si>
  <si>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</si>
  <si>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</si>
  <si>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</si>
  <si>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</si>
  <si>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</si>
  <si>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</si>
  <si>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</si>
  <si>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</si>
  <si>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</si>
  <si>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</si>
  <si>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</si>
  <si>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</si>
  <si>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</si>
  <si>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</si>
  <si>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</si>
  <si>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</si>
  <si>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</si>
  <si>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</si>
  <si>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</si>
  <si>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</si>
  <si>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</si>
  <si>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</si>
  <si>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</si>
  <si>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</si>
  <si>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</si>
  <si>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</si>
  <si>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</si>
  <si>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</si>
  <si>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</si>
  <si>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</si>
  <si>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</si>
  <si>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</si>
  <si>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</si>
  <si>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</si>
  <si>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</si>
  <si>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</si>
  <si>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</si>
  <si>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</si>
  <si>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</si>
  <si>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</si>
  <si>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</si>
  <si>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</si>
  <si>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</si>
  <si>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</si>
  <si>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</si>
  <si>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</si>
  <si>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</si>
  <si>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</si>
  <si>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</si>
  <si>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</si>
  <si>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</si>
  <si>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</si>
  <si>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</si>
  <si>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</si>
  <si>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</si>
  <si>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</si>
  <si>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</si>
  <si>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</si>
  <si>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</si>
  <si>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</si>
  <si>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</si>
  <si>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</si>
  <si>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</si>
  <si>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</si>
  <si>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</si>
  <si>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</si>
  <si>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</si>
  <si>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</si>
  <si>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</si>
  <si>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</si>
  <si>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</si>
  <si>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</si>
  <si>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</si>
  <si>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</si>
  <si>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</si>
  <si>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</si>
  <si>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</si>
  <si>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</si>
  <si>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</si>
  <si>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</si>
  <si>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</si>
  <si>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</si>
  <si>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</si>
  <si>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</si>
  <si>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</si>
  <si>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</si>
  <si>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</si>
  <si>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</si>
  <si>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</si>
  <si>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</si>
  <si>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</si>
  <si>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</si>
  <si>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</si>
  <si>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</si>
  <si>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</si>
  <si>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</si>
  <si>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</si>
  <si>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</si>
  <si>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</si>
  <si>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</si>
  <si>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</si>
  <si>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</si>
  <si>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</si>
  <si>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</si>
  <si>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</si>
  <si>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</si>
  <si>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</si>
  <si>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</si>
  <si>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</si>
  <si>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</si>
  <si>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</si>
  <si>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</si>
  <si>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</si>
  <si>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</si>
  <si>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</si>
  <si>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</si>
  <si>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</si>
  <si>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</si>
  <si>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</si>
  <si>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</si>
  <si>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</si>
  <si>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</si>
  <si>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</si>
  <si>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</si>
  <si>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</si>
  <si>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</si>
  <si>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</si>
  <si>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</si>
  <si>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</si>
  <si>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</si>
  <si>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</si>
  <si>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</si>
  <si>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</si>
  <si>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</si>
  <si>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</si>
  <si>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</si>
  <si>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</si>
  <si>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</si>
  <si>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</si>
  <si>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</si>
  <si>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</si>
  <si>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</si>
  <si>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</si>
  <si>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</si>
  <si>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</si>
  <si>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</si>
  <si>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</si>
  <si>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</si>
  <si>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</si>
  <si>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</si>
  <si>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</si>
  <si>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</si>
  <si>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</si>
  <si>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</si>
  <si>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</si>
  <si>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</si>
  <si>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</si>
  <si>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</si>
  <si>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</si>
  <si>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</si>
  <si>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</si>
  <si>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</si>
  <si>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</si>
  <si>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</si>
  <si>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</si>
  <si>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</si>
  <si>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</si>
  <si>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</si>
  <si>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</si>
  <si>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</si>
  <si>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</si>
  <si>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</si>
  <si>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</si>
  <si>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</si>
  <si>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</si>
  <si>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</si>
  <si>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</si>
  <si>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</si>
  <si>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</si>
  <si>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</si>
  <si>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</si>
  <si>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</si>
  <si>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</si>
  <si>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</si>
  <si>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</si>
  <si>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</si>
  <si>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</si>
  <si>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</si>
  <si>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</si>
  <si>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</si>
  <si>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</si>
  <si>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</si>
  <si>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</si>
  <si>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</si>
  <si>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</si>
  <si>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</si>
  <si>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</si>
  <si>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</si>
  <si>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</si>
  <si>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</si>
  <si>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</si>
  <si>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</si>
  <si>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</si>
  <si>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</si>
  <si>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</si>
  <si>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</si>
  <si>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</si>
  <si>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</si>
  <si>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</si>
  <si>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</si>
  <si>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</si>
  <si>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</si>
  <si>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</si>
  <si>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</si>
  <si>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</si>
  <si>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</si>
  <si>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</si>
  <si>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</si>
  <si>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</si>
  <si>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</si>
  <si>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</si>
  <si>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</si>
  <si>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</si>
  <si>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</si>
  <si>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</si>
  <si>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</si>
  <si>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</si>
  <si>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</si>
  <si>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</si>
  <si>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</si>
  <si>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</si>
  <si>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</si>
  <si>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</si>
  <si>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</si>
  <si>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</si>
  <si>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</si>
  <si>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</si>
  <si>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</si>
  <si>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</si>
  <si>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</si>
  <si>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</si>
  <si>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</si>
  <si>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</si>
  <si>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</si>
  <si>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</si>
  <si>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</si>
  <si>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</si>
  <si>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</si>
  <si>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</si>
  <si>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</si>
  <si>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</si>
  <si>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</si>
  <si>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</si>
  <si>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</si>
  <si>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</si>
  <si>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</si>
  <si>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</si>
  <si>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</si>
  <si>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</si>
  <si>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</si>
  <si>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</si>
  <si>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</si>
  <si>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</si>
  <si>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</si>
  <si>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</si>
  <si>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</si>
  <si>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</si>
  <si>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</si>
  <si>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</si>
  <si>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</si>
  <si>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</si>
  <si>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</si>
  <si>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</si>
  <si>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</si>
  <si>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</si>
  <si>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</si>
  <si>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</si>
  <si>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</si>
  <si>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</si>
  <si>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</si>
  <si>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</si>
  <si>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</si>
  <si>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</si>
  <si>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</si>
  <si>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</si>
  <si>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</si>
  <si>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</si>
  <si>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</si>
  <si>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</si>
  <si>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</si>
  <si>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</si>
  <si>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</si>
  <si>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</si>
  <si>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</si>
  <si>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</si>
  <si>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</si>
  <si>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</si>
  <si>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</si>
  <si>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</si>
  <si>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</si>
  <si>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</si>
  <si>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</si>
  <si>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</si>
  <si>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</si>
  <si>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</si>
  <si>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</si>
  <si>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</si>
  <si>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</si>
  <si>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</si>
  <si>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</si>
  <si>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</si>
  <si>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</si>
  <si>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</si>
  <si>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</si>
  <si>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</si>
  <si>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</si>
  <si>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</si>
  <si>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</si>
  <si>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</si>
  <si>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</si>
  <si>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</si>
  <si>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</si>
  <si>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</si>
  <si>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</si>
  <si>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</si>
  <si>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</si>
  <si>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</si>
  <si>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</si>
  <si>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</si>
  <si>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</si>
  <si>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</si>
  <si>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</si>
  <si>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</si>
  <si>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</si>
  <si>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</si>
  <si>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</si>
  <si>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</si>
  <si>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</si>
  <si>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</si>
  <si>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</si>
  <si>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</si>
  <si>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</si>
  <si>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</si>
  <si>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</si>
  <si>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</si>
  <si>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</si>
  <si>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</si>
  <si>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</si>
  <si>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</si>
  <si>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</si>
  <si>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</si>
  <si>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</si>
  <si>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</si>
  <si>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</si>
  <si>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</si>
  <si>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</si>
  <si>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</si>
  <si>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</si>
  <si>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</si>
  <si>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</si>
  <si>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</si>
  <si>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</si>
  <si>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</si>
  <si>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</si>
  <si>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</si>
  <si>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</si>
  <si>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</si>
  <si>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</si>
  <si>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</si>
  <si>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</si>
  <si>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</si>
  <si>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</si>
  <si>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</si>
  <si>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</si>
  <si>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</si>
  <si>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</si>
  <si>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</si>
  <si>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</si>
  <si>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</si>
  <si>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</si>
  <si>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</si>
  <si>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</si>
  <si>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</si>
  <si>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</si>
  <si>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</si>
  <si>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</si>
  <si>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</si>
  <si>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</si>
  <si>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</si>
  <si>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</si>
  <si>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</si>
  <si>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</si>
  <si>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</si>
  <si>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</si>
  <si>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</si>
  <si>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</si>
  <si>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</si>
  <si>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</si>
  <si>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</si>
  <si>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</si>
  <si>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</si>
  <si>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</si>
  <si>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</si>
  <si>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</si>
  <si>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</si>
  <si>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</si>
  <si>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</si>
  <si>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</si>
  <si>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</si>
  <si>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</si>
  <si>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</si>
  <si>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</si>
  <si>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</si>
  <si>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</si>
  <si>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</si>
  <si>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</si>
  <si>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</si>
  <si>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</si>
  <si>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</si>
  <si>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</si>
  <si>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</si>
  <si>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</si>
  <si>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</si>
  <si>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</si>
  <si>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</si>
  <si>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</si>
  <si>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</si>
  <si>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</si>
  <si>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</si>
  <si>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</si>
  <si>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</si>
  <si>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</si>
  <si>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</si>
  <si>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</si>
  <si>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</si>
  <si>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</si>
  <si>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</si>
  <si>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</si>
  <si>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</si>
  <si>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</si>
  <si>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</si>
  <si>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</si>
  <si>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</si>
  <si>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</si>
  <si>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</si>
  <si>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</si>
  <si>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</si>
  <si>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</si>
  <si>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</si>
  <si>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</si>
  <si>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</si>
  <si>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</si>
  <si>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</si>
  <si>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</si>
  <si>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</si>
  <si>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</si>
  <si>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</si>
  <si>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</si>
  <si>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</si>
  <si>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</si>
  <si>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</si>
  <si>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</si>
  <si>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</si>
  <si>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</si>
  <si>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</si>
  <si>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</si>
  <si>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</si>
  <si>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</si>
  <si>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</si>
  <si>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</si>
  <si>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</si>
  <si>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</si>
  <si>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</si>
  <si>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</si>
  <si>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</si>
  <si>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</si>
  <si>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</si>
  <si>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</si>
  <si>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</si>
  <si>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</si>
  <si>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</si>
  <si>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</si>
  <si>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</si>
  <si>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</si>
  <si>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</si>
  <si>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</si>
  <si>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</si>
  <si>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</si>
  <si>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</si>
  <si>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</si>
  <si>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</si>
  <si>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</si>
  <si>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</si>
  <si>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</si>
  <si>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</si>
  <si>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</si>
  <si>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</si>
  <si>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</si>
  <si>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</si>
  <si>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</si>
  <si>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</si>
  <si>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</si>
  <si>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</si>
  <si>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</si>
  <si>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</si>
  <si>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</si>
  <si>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</si>
  <si>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</si>
  <si>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</si>
  <si>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</si>
  <si>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</si>
  <si>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</si>
  <si>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</si>
  <si>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</si>
  <si>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</si>
  <si>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</si>
  <si>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</si>
  <si>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</si>
  <si>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</si>
  <si>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</si>
  <si>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</si>
  <si>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</si>
  <si>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</si>
  <si>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</si>
  <si>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</si>
  <si>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</si>
  <si>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</si>
  <si>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</si>
  <si>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</si>
  <si>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</si>
  <si>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</si>
  <si>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</si>
  <si>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</si>
  <si>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</si>
  <si>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</si>
  <si>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</si>
  <si>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</si>
  <si>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</si>
  <si>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</si>
  <si>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</si>
  <si>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</si>
  <si>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</si>
  <si>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</si>
  <si>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</si>
  <si>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</si>
  <si>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</si>
  <si>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</si>
  <si>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</si>
  <si>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</si>
  <si>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</si>
  <si>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</si>
  <si>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</si>
  <si>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</si>
  <si>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</si>
  <si>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</si>
  <si>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</si>
  <si>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</si>
  <si>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</si>
  <si>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</si>
  <si>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</si>
  <si>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</si>
  <si>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</si>
  <si>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</si>
  <si>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</si>
  <si>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</si>
  <si>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</si>
  <si>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</si>
  <si>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</si>
  <si>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</si>
  <si>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</si>
  <si>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</si>
  <si>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</si>
  <si>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</si>
  <si>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</si>
  <si>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</si>
  <si>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</si>
  <si>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</si>
  <si>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</si>
  <si>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</si>
  <si>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</si>
  <si>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</si>
  <si>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</si>
  <si>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</si>
  <si>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</si>
  <si>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</si>
  <si>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</si>
  <si>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</si>
  <si>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</si>
  <si>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</si>
  <si>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</si>
  <si>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</si>
  <si>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</si>
  <si>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</si>
  <si>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</si>
  <si>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</si>
  <si>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</si>
  <si>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</si>
  <si>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</si>
  <si>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</si>
  <si>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</si>
  <si>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</si>
  <si>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</si>
  <si>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</si>
  <si>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</si>
  <si>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</si>
  <si>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</si>
  <si>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</si>
  <si>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</si>
  <si>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</si>
  <si>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</si>
  <si>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</si>
  <si>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</si>
  <si>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</si>
  <si>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</si>
  <si>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</si>
  <si>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</si>
  <si>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</si>
  <si>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</si>
  <si>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</si>
  <si>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</si>
  <si>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</si>
  <si>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</si>
  <si>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</si>
  <si>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</si>
  <si>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</si>
  <si>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</si>
  <si>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</si>
  <si>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</si>
  <si>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</si>
  <si>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</si>
  <si>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</si>
  <si>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</si>
  <si>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</si>
  <si>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</si>
  <si>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</si>
  <si>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</si>
  <si>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</si>
  <si>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</si>
  <si>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</si>
  <si>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</si>
  <si>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</si>
  <si>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</si>
  <si>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</si>
  <si>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</si>
  <si>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</si>
  <si>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</si>
  <si>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</si>
  <si>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</si>
  <si>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</si>
  <si>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</si>
  <si>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</si>
  <si>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</si>
  <si>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</si>
  <si>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</si>
  <si>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</si>
  <si>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</si>
  <si>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</si>
  <si>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</si>
  <si>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</si>
  <si>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</si>
  <si>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</si>
  <si>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</si>
  <si>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</si>
  <si>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</si>
  <si>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</si>
  <si>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</si>
  <si>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</si>
  <si>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</si>
  <si>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</si>
  <si>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</si>
  <si>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</si>
  <si>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</si>
  <si>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</si>
  <si>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</si>
  <si>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</si>
  <si>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</si>
  <si>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</si>
  <si>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</si>
  <si>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</si>
  <si>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</si>
  <si>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</si>
  <si>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</si>
  <si>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</si>
  <si>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</si>
  <si>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</si>
  <si>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</si>
  <si>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</si>
  <si>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</si>
  <si>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</si>
  <si>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</si>
  <si>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</si>
  <si>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</si>
  <si>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</si>
  <si>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</si>
  <si>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</si>
  <si>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</si>
  <si>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</si>
  <si>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</si>
  <si>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</si>
  <si>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</si>
  <si>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</si>
  <si>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</si>
  <si>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</si>
  <si>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</si>
  <si>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</si>
  <si>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</si>
  <si>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</si>
  <si>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</si>
  <si>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</si>
  <si>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</si>
  <si>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</si>
  <si>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</si>
  <si>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</si>
  <si>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</si>
  <si>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</si>
  <si>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</si>
  <si>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</si>
  <si>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</si>
  <si>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</si>
  <si>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</si>
  <si>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</si>
  <si>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</si>
  <si>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</si>
  <si>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</si>
  <si>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</si>
  <si>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</si>
  <si>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</si>
  <si>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</si>
  <si>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</si>
  <si>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</si>
  <si>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</si>
  <si>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</si>
  <si>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</si>
  <si>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</si>
  <si>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</si>
  <si>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</si>
  <si>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</si>
  <si>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</si>
  <si>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</si>
  <si>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</si>
  <si>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</si>
  <si>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</si>
  <si>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</si>
  <si>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</si>
  <si>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</si>
  <si>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</si>
  <si>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</si>
  <si>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</si>
  <si>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</si>
  <si>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</si>
  <si>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</si>
  <si>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</si>
  <si>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</si>
  <si>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</si>
  <si>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</si>
  <si>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</si>
  <si>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</si>
  <si>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</si>
  <si>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</si>
  <si>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</si>
  <si>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</si>
  <si>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</si>
  <si>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</si>
  <si>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</si>
  <si>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</si>
  <si>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</si>
  <si>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</si>
  <si>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</si>
  <si>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</si>
  <si>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</si>
  <si>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</si>
  <si>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</si>
  <si>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</si>
  <si>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</si>
  <si>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</si>
  <si>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</si>
  <si>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</si>
  <si>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</si>
  <si>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</si>
  <si>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</si>
  <si>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</si>
  <si>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</si>
  <si>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</si>
  <si>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</si>
  <si>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</si>
  <si>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</si>
  <si>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</si>
  <si>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</si>
  <si>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</si>
  <si>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</si>
  <si>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</si>
  <si>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</si>
  <si>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</si>
  <si>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</si>
  <si>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</si>
  <si>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</si>
  <si>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</si>
  <si>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</si>
  <si>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</si>
  <si>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</si>
  <si>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</si>
  <si>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</si>
  <si>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</si>
  <si>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</si>
  <si>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</si>
  <si>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</si>
  <si>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</si>
  <si>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</si>
  <si>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</si>
  <si>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</si>
  <si>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</si>
  <si>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</si>
  <si>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</si>
  <si>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</si>
  <si>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</si>
  <si>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</si>
  <si>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</si>
  <si>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</si>
  <si>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</si>
  <si>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</si>
  <si>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</si>
  <si>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</si>
  <si>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</si>
  <si>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</si>
  <si>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</si>
  <si>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</si>
  <si>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</si>
  <si>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</si>
  <si>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</si>
  <si>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</si>
  <si>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</si>
  <si>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</si>
  <si>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</si>
  <si>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</si>
  <si>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</si>
  <si>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</si>
  <si>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</si>
  <si>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</si>
  <si>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</si>
  <si>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</si>
  <si>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</si>
  <si>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</si>
  <si>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</si>
  <si>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</si>
  <si>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</si>
  <si>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</si>
  <si>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</si>
  <si>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</si>
  <si>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</si>
  <si>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</si>
  <si>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</si>
  <si>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</si>
  <si>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</si>
  <si>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</si>
  <si>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</si>
  <si>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</si>
  <si>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</si>
  <si>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</si>
  <si>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</si>
  <si>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</si>
  <si>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</si>
  <si>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</si>
  <si>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</si>
  <si>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</si>
  <si>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</si>
  <si>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</si>
  <si>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</si>
  <si>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</si>
  <si>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</si>
  <si>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</si>
  <si>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</si>
  <si>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</si>
  <si>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</si>
  <si>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</si>
  <si>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</si>
  <si>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</si>
  <si>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</si>
  <si>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</si>
  <si>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</si>
  <si>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</si>
  <si>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</si>
  <si>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</si>
  <si>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</si>
  <si>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</si>
  <si>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</si>
  <si>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</si>
  <si>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</si>
  <si>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</si>
  <si>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</si>
  <si>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</si>
  <si>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</si>
  <si>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</si>
  <si>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</si>
  <si>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</si>
  <si>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</si>
  <si>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</si>
  <si>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</si>
  <si>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</si>
  <si>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</si>
  <si>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</si>
  <si>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</si>
  <si>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</si>
  <si>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</si>
  <si>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</si>
  <si>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</si>
  <si>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</si>
  <si>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</si>
  <si>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</si>
  <si>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</si>
  <si>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</si>
  <si>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</si>
  <si>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</si>
  <si>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</si>
  <si>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</si>
  <si>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</si>
  <si>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</si>
  <si>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</si>
  <si>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</si>
  <si>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</si>
  <si>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</si>
  <si>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</si>
  <si>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</si>
  <si>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</si>
  <si>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</si>
  <si>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</si>
  <si>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</si>
  <si>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</si>
  <si>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</si>
  <si>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</si>
  <si>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</si>
  <si>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</si>
  <si>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</si>
  <si>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</si>
  <si>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</si>
  <si>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</si>
  <si>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</si>
  <si>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</si>
  <si>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</si>
  <si>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</si>
  <si>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</si>
  <si>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</si>
  <si>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</si>
  <si>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</si>
  <si>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</si>
  <si>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</si>
  <si>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</si>
  <si>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</si>
  <si>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</si>
  <si>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</si>
  <si>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</si>
  <si>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</si>
  <si>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</si>
  <si>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</si>
  <si>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</si>
  <si>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</si>
  <si>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</si>
  <si>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</si>
  <si>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</si>
  <si>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</si>
  <si>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</si>
  <si>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</si>
  <si>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</si>
  <si>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</si>
  <si>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</si>
  <si>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</si>
  <si>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</si>
  <si>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</si>
  <si>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</si>
  <si>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</si>
  <si>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</si>
  <si>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</si>
  <si>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</si>
  <si>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</si>
  <si>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</si>
  <si>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</si>
  <si>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</si>
  <si>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</si>
  <si>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</si>
  <si>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</si>
  <si>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</si>
  <si>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</si>
  <si>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</si>
  <si>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</si>
  <si>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</si>
  <si>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</si>
  <si>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</si>
  <si>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</si>
  <si>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</si>
  <si>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</si>
  <si>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</si>
  <si>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</si>
  <si>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</si>
  <si>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</si>
  <si>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</si>
  <si>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</si>
  <si>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</si>
  <si>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</si>
  <si>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</si>
  <si>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</si>
  <si>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</si>
  <si>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</si>
  <si>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</si>
  <si>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</si>
  <si>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</si>
  <si>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</si>
  <si>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</si>
  <si>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</si>
  <si>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</si>
  <si>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</si>
  <si>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</si>
  <si>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</si>
  <si>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</si>
  <si>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</si>
  <si>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</si>
  <si>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</si>
  <si>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</si>
  <si>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</si>
  <si>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</si>
  <si>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</si>
  <si>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</si>
  <si>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</si>
  <si>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</si>
  <si>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</si>
  <si>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</si>
  <si>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</si>
  <si>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</si>
  <si>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</si>
  <si>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</si>
  <si>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</si>
  <si>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</si>
  <si>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</si>
  <si>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</si>
  <si>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</si>
  <si>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</si>
  <si>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</si>
  <si>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</si>
  <si>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</si>
  <si>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</si>
  <si>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</si>
  <si>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</si>
  <si>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</si>
  <si>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</si>
  <si>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</si>
  <si>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</si>
  <si>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</si>
  <si>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</si>
  <si>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</si>
  <si>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</si>
  <si>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</si>
  <si>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</si>
  <si>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</si>
  <si>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</si>
  <si>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</si>
  <si>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</si>
  <si>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</si>
  <si>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</si>
  <si>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</si>
  <si>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</si>
  <si>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</si>
  <si>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</si>
  <si>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</si>
  <si>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</si>
  <si>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</si>
  <si>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</si>
  <si>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</si>
  <si>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</si>
  <si>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</si>
  <si>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</si>
  <si>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</si>
  <si>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</si>
  <si>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</si>
  <si>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</si>
  <si>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</si>
  <si>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</si>
  <si>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</si>
  <si>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</si>
  <si>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</si>
  <si>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</si>
  <si>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</si>
  <si>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</si>
  <si>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</si>
  <si>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</si>
  <si>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</si>
  <si>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</si>
  <si>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</si>
  <si>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</si>
  <si>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</si>
  <si>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</si>
  <si>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</si>
  <si>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</si>
  <si>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</si>
  <si>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</si>
  <si>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</si>
  <si>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</si>
  <si>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</si>
  <si>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</si>
  <si>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</si>
  <si>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</si>
  <si>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</si>
  <si>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</si>
  <si>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</si>
  <si>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</si>
  <si>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</si>
  <si>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</si>
  <si>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</si>
  <si>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</si>
  <si>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</si>
  <si>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</si>
  <si>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</si>
  <si>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</si>
  <si>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</si>
  <si>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</si>
  <si>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</si>
  <si>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</si>
  <si>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</si>
  <si>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</si>
  <si>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</si>
  <si>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</si>
  <si>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</si>
  <si>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</si>
  <si>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</si>
  <si>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</si>
  <si>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</si>
  <si>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</si>
  <si>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</si>
  <si>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</si>
  <si>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</si>
  <si>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</si>
  <si>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</si>
  <si>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</si>
  <si>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</si>
  <si>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</si>
  <si>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</si>
  <si>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</si>
  <si>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</si>
  <si>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</si>
  <si>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</si>
  <si>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</si>
  <si>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</si>
  <si>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</si>
  <si>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</si>
  <si>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</si>
  <si>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</si>
  <si>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</si>
  <si>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</si>
  <si>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</si>
  <si>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</si>
  <si>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</si>
  <si>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</si>
  <si>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</si>
  <si>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</si>
  <si>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</si>
  <si>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</si>
  <si>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</si>
  <si>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</si>
  <si>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</si>
  <si>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</si>
  <si>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</si>
  <si>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</si>
  <si>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</si>
  <si>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</si>
  <si>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</si>
  <si>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</si>
  <si>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</si>
  <si>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</si>
  <si>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</si>
  <si>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</si>
  <si>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</si>
  <si>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</si>
  <si>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</si>
  <si>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</si>
  <si>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</si>
  <si>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</si>
  <si>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</si>
  <si>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</si>
  <si>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</si>
  <si>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</si>
  <si>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</si>
  <si>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</si>
  <si>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</si>
  <si>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</si>
  <si>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</si>
  <si>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</si>
  <si>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</si>
  <si>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</si>
  <si>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</si>
  <si>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</si>
  <si>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</si>
  <si>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</si>
  <si>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</si>
  <si>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</si>
  <si>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</si>
  <si>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</si>
  <si>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</si>
  <si>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</si>
  <si>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</si>
  <si>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</si>
  <si>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</si>
  <si>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</si>
  <si>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</si>
  <si>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</si>
  <si>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</si>
  <si>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</si>
  <si>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</si>
  <si>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</si>
  <si>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</si>
  <si>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</si>
  <si>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</si>
  <si>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</si>
  <si>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</si>
  <si>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</si>
  <si>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</si>
  <si>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</si>
  <si>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</si>
  <si>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</si>
  <si>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</si>
  <si>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</si>
  <si>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</si>
  <si>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</si>
  <si>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</si>
  <si>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</si>
  <si>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</si>
  <si>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</si>
  <si>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</si>
  <si>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</si>
  <si>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</si>
  <si>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</si>
  <si>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</si>
  <si>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</si>
  <si>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</si>
  <si>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</si>
  <si>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</si>
  <si>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</si>
  <si>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</si>
  <si>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</si>
  <si>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</si>
  <si>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</si>
  <si>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</si>
  <si>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</si>
  <si>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</si>
  <si>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</si>
  <si>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</si>
  <si>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</si>
  <si>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</si>
  <si>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</si>
  <si>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</si>
  <si>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</si>
  <si>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</si>
  <si>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</si>
  <si>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</si>
  <si>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</si>
  <si>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</si>
  <si>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</si>
  <si>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</si>
  <si>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</si>
  <si>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</si>
  <si>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</si>
  <si>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</si>
  <si>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</si>
  <si>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</si>
  <si>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</si>
  <si>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</si>
  <si>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</si>
  <si>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</si>
  <si>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</si>
  <si>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</si>
  <si>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</si>
  <si>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</si>
  <si>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</si>
  <si>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</si>
  <si>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</si>
  <si>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</si>
  <si>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</si>
  <si>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</si>
  <si>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</si>
  <si>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</si>
  <si>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</si>
  <si>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</si>
  <si>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</si>
  <si>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</si>
  <si>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</si>
  <si>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</si>
  <si>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</si>
  <si>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</si>
  <si>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</si>
  <si>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</si>
  <si>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</si>
  <si>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</si>
  <si>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</si>
  <si>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</si>
  <si>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</si>
  <si>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</si>
  <si>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</si>
  <si>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</si>
  <si>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</si>
  <si>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</si>
  <si>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</si>
  <si>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</si>
  <si>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</si>
  <si>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</si>
  <si>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</si>
  <si>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</si>
  <si>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</si>
  <si>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</si>
  <si>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</si>
  <si>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</si>
  <si>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</si>
  <si>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</si>
  <si>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</si>
  <si>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</si>
  <si>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</si>
  <si>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</si>
  <si>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</si>
  <si>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</si>
  <si>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</si>
  <si>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</si>
  <si>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</si>
  <si>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</si>
  <si>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</si>
  <si>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</si>
  <si>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</si>
  <si>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</si>
  <si>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</si>
  <si>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</si>
  <si>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</si>
  <si>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</si>
  <si>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</si>
  <si>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</si>
  <si>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</si>
  <si>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</si>
  <si>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</si>
  <si>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</si>
  <si>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</si>
  <si>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</si>
  <si>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</si>
  <si>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</si>
  <si>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</si>
  <si>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</si>
  <si>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</si>
  <si>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</si>
  <si>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</si>
  <si>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</si>
  <si>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</si>
  <si>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</si>
  <si>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</si>
  <si>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</si>
  <si>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</si>
  <si>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</si>
  <si>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</si>
  <si>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</si>
  <si>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</si>
  <si>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</si>
  <si>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</si>
  <si>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</si>
  <si>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</si>
  <si>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</si>
  <si>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</si>
  <si>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</si>
  <si>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</si>
  <si>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</si>
  <si>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</si>
  <si>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</si>
  <si>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</si>
  <si>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</si>
  <si>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</si>
  <si>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</si>
  <si>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</si>
  <si>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</si>
  <si>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</si>
  <si>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</si>
  <si>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</si>
  <si>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</si>
  <si>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</si>
  <si>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</si>
  <si>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</si>
  <si>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</si>
  <si>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</si>
  <si>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</si>
  <si>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</si>
  <si>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</si>
  <si>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</si>
  <si>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</si>
  <si>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</si>
  <si>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</si>
  <si>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</si>
  <si>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</si>
  <si>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</si>
  <si>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</si>
  <si>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</si>
  <si>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</si>
  <si>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</si>
  <si>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</si>
  <si>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</si>
  <si>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</si>
  <si>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</si>
  <si>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</si>
  <si>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</si>
  <si>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</si>
  <si>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</si>
  <si>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</si>
  <si>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</si>
  <si>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</si>
  <si>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</si>
  <si>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</si>
  <si>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</si>
  <si>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</si>
  <si>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</si>
  <si>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</si>
  <si>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</si>
  <si>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</si>
  <si>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</si>
  <si>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</si>
  <si>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</si>
  <si>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</si>
  <si>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</si>
  <si>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</si>
  <si>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</si>
  <si>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</si>
  <si>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</si>
  <si>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</si>
  <si>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</si>
  <si>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</si>
  <si>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</si>
  <si>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</si>
  <si>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</si>
  <si>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</si>
  <si>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</si>
  <si>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</si>
  <si>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</si>
  <si>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</si>
  <si>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</si>
  <si>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</si>
  <si>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</si>
  <si>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</si>
  <si>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</si>
  <si>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</si>
  <si>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</si>
  <si>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</si>
  <si>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</si>
  <si>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</si>
  <si>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</si>
  <si>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</si>
  <si>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</si>
  <si>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</si>
  <si>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</si>
  <si>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</si>
  <si>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</si>
  <si>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</si>
  <si>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</si>
  <si>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</si>
  <si>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</si>
  <si>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</si>
  <si>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</si>
  <si>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</si>
  <si>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</si>
  <si>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</si>
  <si>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</si>
  <si>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</si>
  <si>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</si>
  <si>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</si>
  <si>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</si>
  <si>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</si>
  <si>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</si>
  <si>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</si>
  <si>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</si>
  <si>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</si>
  <si>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</si>
  <si>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</si>
  <si>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</si>
  <si>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</si>
  <si>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</si>
  <si>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</si>
  <si>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</si>
  <si>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</si>
  <si>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</si>
  <si>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</si>
  <si>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</si>
  <si>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</si>
  <si>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</si>
  <si>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</si>
  <si>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</si>
  <si>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</si>
  <si>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</si>
  <si>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</si>
  <si>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</si>
  <si>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</si>
  <si>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</si>
  <si>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</si>
  <si>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</si>
  <si>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</si>
  <si>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</si>
  <si>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</si>
  <si>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</si>
  <si>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</si>
  <si>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</si>
  <si>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</si>
  <si>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</si>
  <si>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</si>
  <si>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</si>
  <si>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</si>
  <si>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</si>
  <si>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</si>
  <si>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</si>
  <si>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</si>
  <si>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</si>
  <si>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</si>
  <si>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</si>
  <si>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</si>
  <si>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</si>
  <si>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</si>
  <si>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</si>
  <si>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</si>
  <si>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</si>
  <si>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</si>
  <si>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</si>
  <si>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</si>
  <si>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</si>
  <si>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</si>
  <si>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</si>
  <si>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</si>
  <si>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</si>
  <si>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</si>
  <si>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</si>
  <si>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</si>
  <si>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</si>
  <si>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</si>
  <si>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</si>
  <si>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</si>
  <si>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</si>
  <si>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</si>
  <si>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</si>
  <si>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</si>
  <si>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</si>
  <si>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</si>
  <si>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</si>
  <si>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</si>
  <si>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</si>
  <si>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</si>
  <si>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</si>
  <si>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</si>
  <si>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</si>
  <si>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</si>
  <si>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</si>
  <si>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</si>
  <si>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</si>
  <si>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</si>
  <si>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</si>
  <si>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</si>
  <si>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</si>
  <si>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</si>
  <si>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</si>
  <si>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</si>
  <si>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</si>
  <si>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</si>
  <si>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</si>
  <si>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</si>
  <si>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</si>
  <si>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</si>
  <si>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</si>
  <si>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</si>
  <si>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</si>
  <si>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</si>
  <si>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</si>
  <si>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</si>
  <si>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</si>
  <si>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</si>
  <si>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</si>
  <si>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</si>
  <si>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</si>
  <si>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</si>
  <si>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</si>
  <si>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</si>
  <si>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</si>
  <si>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</si>
  <si>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</si>
  <si>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</si>
  <si>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</si>
  <si>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</si>
  <si>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</si>
  <si>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</si>
  <si>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</si>
  <si>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</si>
  <si>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</si>
  <si>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</si>
  <si>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</si>
  <si>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</si>
  <si>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</si>
  <si>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</si>
  <si>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</si>
  <si>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</si>
  <si>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</si>
  <si>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</si>
  <si>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</si>
  <si>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</si>
  <si>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</si>
  <si>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</si>
  <si>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</si>
  <si>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</si>
  <si>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</si>
  <si>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</si>
  <si>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</si>
  <si>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</si>
  <si>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</si>
  <si>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</si>
  <si>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</si>
  <si>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</si>
  <si>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</si>
  <si>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</si>
  <si>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</si>
  <si>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</si>
  <si>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</si>
  <si>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</si>
  <si>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</si>
  <si>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</si>
  <si>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</si>
  <si>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</si>
  <si>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</si>
  <si>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</si>
  <si>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</si>
  <si>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</si>
  <si>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</si>
  <si>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</si>
  <si>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</si>
  <si>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</si>
  <si>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</si>
  <si>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</si>
  <si>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</si>
  <si>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</si>
  <si>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</si>
  <si>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</si>
  <si>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</si>
  <si>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</si>
  <si>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</si>
  <si>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</si>
  <si>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</si>
  <si>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</si>
  <si>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</si>
  <si>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</si>
  <si>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</si>
  <si>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</si>
  <si>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</si>
  <si>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</si>
  <si>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</si>
  <si>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</si>
  <si>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</si>
  <si>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</si>
  <si>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</si>
  <si>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</si>
  <si>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</si>
  <si>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</si>
  <si>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</si>
  <si>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</si>
  <si>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</si>
  <si>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</si>
  <si>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</si>
  <si>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</si>
  <si>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</si>
  <si>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</si>
  <si>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</si>
  <si>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</si>
  <si>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</si>
  <si>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</si>
  <si>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</si>
  <si>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</si>
  <si>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</si>
  <si>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</si>
  <si>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</si>
  <si>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</si>
  <si>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</si>
  <si>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</si>
  <si>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</si>
  <si>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</si>
  <si>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</si>
  <si>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</si>
  <si>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</si>
  <si>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</si>
  <si>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</si>
  <si>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</si>
  <si>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</si>
  <si>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</si>
  <si>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</si>
  <si>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</si>
  <si>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</si>
  <si>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</si>
  <si>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</si>
  <si>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</si>
  <si>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</si>
  <si>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</si>
  <si>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</si>
  <si>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</si>
  <si>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</si>
  <si>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</si>
  <si>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</si>
  <si>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</si>
  <si>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</si>
  <si>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</si>
  <si>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</si>
  <si>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</si>
  <si>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</si>
  <si>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</si>
  <si>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</si>
  <si>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</si>
  <si>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</si>
  <si>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</si>
  <si>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</si>
  <si>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</si>
  <si>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</si>
  <si>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</si>
  <si>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</si>
  <si>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</si>
  <si>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</si>
  <si>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</si>
  <si>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</si>
  <si>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</si>
  <si>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</si>
  <si>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</si>
  <si>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</si>
  <si>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</si>
  <si>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</si>
  <si>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</si>
  <si>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</si>
  <si>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</si>
  <si>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</si>
  <si>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</si>
  <si>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</si>
  <si>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</si>
  <si>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</si>
  <si>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</si>
  <si>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</si>
  <si>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</si>
  <si>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</si>
  <si>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</si>
  <si>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</si>
  <si>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</si>
  <si>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</si>
  <si>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</si>
  <si>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</si>
  <si>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</si>
  <si>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</si>
  <si>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</si>
  <si>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</si>
  <si>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</si>
  <si>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</si>
  <si>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</si>
  <si>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</si>
  <si>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</si>
  <si>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</si>
  <si>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</si>
  <si>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</si>
  <si>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</si>
  <si>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</si>
  <si>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</si>
  <si>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</si>
  <si>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</si>
  <si>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</si>
  <si>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</si>
  <si>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</si>
  <si>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</si>
  <si>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</si>
  <si>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</si>
  <si>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</si>
  <si>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</si>
  <si>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</si>
  <si>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</si>
  <si>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</si>
  <si>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</si>
  <si>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</si>
  <si>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</si>
  <si>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</si>
  <si>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</si>
  <si>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</si>
  <si>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</si>
  <si>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</si>
  <si>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</si>
  <si>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</si>
  <si>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</si>
  <si>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</si>
  <si>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</si>
  <si>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</si>
  <si>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</si>
  <si>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</si>
  <si>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</si>
  <si>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</si>
  <si>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</si>
  <si>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</si>
  <si>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</si>
  <si>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</si>
  <si>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</si>
  <si>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</si>
  <si>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</si>
  <si>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</si>
  <si>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</si>
  <si>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</si>
  <si>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</si>
  <si>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</si>
  <si>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</si>
  <si>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</si>
  <si>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</si>
  <si>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</si>
  <si>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</si>
  <si>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</si>
  <si>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</si>
  <si>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</si>
  <si>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</si>
  <si>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</si>
  <si>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</si>
  <si>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</si>
  <si>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</si>
  <si>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</si>
  <si>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</si>
  <si>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</si>
  <si>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</si>
  <si>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</si>
  <si>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</si>
  <si>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</si>
  <si>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</si>
  <si>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</si>
  <si>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</si>
  <si>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</si>
  <si>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</si>
  <si>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</si>
  <si>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</si>
  <si>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</si>
  <si>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</si>
  <si>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</si>
  <si>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</si>
  <si>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</si>
  <si>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</si>
  <si>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</si>
  <si>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</si>
  <si>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</si>
  <si>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</si>
  <si>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</si>
  <si>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</si>
  <si>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</si>
  <si>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</si>
  <si>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</si>
  <si>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</si>
  <si>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</si>
  <si>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</si>
  <si>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</si>
  <si>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</si>
  <si>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</si>
  <si>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</si>
  <si>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</si>
  <si>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</si>
  <si>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</si>
  <si>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</si>
  <si>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</si>
  <si>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</si>
  <si>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</si>
  <si>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</si>
  <si>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</si>
  <si>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</si>
  <si>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</si>
  <si>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</si>
  <si>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</si>
  <si>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</si>
  <si>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</si>
  <si>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</si>
  <si>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</si>
  <si>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</si>
  <si>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</si>
  <si>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</si>
  <si>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</si>
  <si>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</si>
  <si>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</si>
  <si>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</si>
  <si>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</si>
  <si>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</si>
  <si>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</si>
  <si>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</si>
  <si>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</si>
  <si>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</si>
  <si>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</si>
  <si>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</si>
  <si>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</si>
  <si>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</si>
  <si>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</si>
  <si>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</si>
  <si>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</si>
  <si>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</si>
  <si>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</si>
  <si>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</si>
  <si>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</si>
  <si>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</si>
  <si>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</si>
  <si>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</si>
  <si>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</si>
  <si>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</si>
  <si>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</si>
  <si>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</si>
  <si>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</si>
  <si>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</si>
  <si>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</si>
  <si>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</si>
  <si>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底商</t>
  </si>
  <si>
    <t>地下</t>
  </si>
  <si>
    <t>101、102、103、105、106、107、108、109、110、111、112、115、116、117、118、119、120、121、122、123、125、126、127、129、130、131、132、133</t>
  </si>
  <si>
    <t>201-203、205、208-211、213、215-218、230、232-233、235-239、250、251</t>
  </si>
  <si>
    <t>2017-1-0796-P01DYGJ1</t>
    <phoneticPr fontId="6" type="noConversion"/>
  </si>
  <si>
    <t>交通银行股份有限公司北京东三环支行</t>
    <phoneticPr fontId="6" type="noConversion"/>
  </si>
  <si>
    <t>朝阳区亮马桥路32号</t>
    <phoneticPr fontId="6" type="noConversion"/>
  </si>
  <si>
    <t>收益法-1层</t>
    <phoneticPr fontId="17" type="noConversion"/>
  </si>
  <si>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</si>
  <si>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</si>
  <si>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</si>
  <si>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</si>
  <si>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</si>
  <si>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</si>
  <si>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</si>
  <si>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</si>
  <si>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</si>
  <si>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</si>
  <si>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</si>
  <si>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</si>
  <si>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</si>
  <si>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</si>
  <si>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</si>
  <si>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</si>
  <si>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</si>
  <si>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</si>
  <si>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520、524、526-528</t>
  </si>
  <si>
    <t>701-715、725-726</t>
  </si>
  <si>
    <t>807-809、812-817</t>
  </si>
  <si>
    <t>903-909、912-915、920</t>
  </si>
  <si>
    <t>1105-1110、1112-1115</t>
  </si>
  <si>
    <t>1206-1212</t>
  </si>
  <si>
    <t>1212A</t>
  </si>
  <si>
    <t>13层</t>
  </si>
  <si>
    <t>1701、1709、1711-1712</t>
  </si>
  <si>
    <t>19层</t>
  </si>
  <si>
    <t>1807-1808、1812-1816</t>
  </si>
  <si>
    <r>
      <t>1-8</t>
    </r>
    <r>
      <rPr>
        <sz val="10"/>
        <color indexed="8"/>
        <rFont val="宋体"/>
        <family val="3"/>
        <charset val="134"/>
      </rPr>
      <t>、员工宿舍</t>
    </r>
    <phoneticPr fontId="3" type="noConversion"/>
  </si>
  <si>
    <t>三层</t>
    <phoneticPr fontId="3" type="noConversion"/>
  </si>
  <si>
    <t>办公</t>
    <phoneticPr fontId="7" type="noConversion"/>
  </si>
  <si>
    <t>收益法</t>
  </si>
  <si>
    <t>收益法</t>
    <phoneticPr fontId="17" type="noConversion"/>
  </si>
  <si>
    <t>高斓大厦</t>
    <phoneticPr fontId="3" type="noConversion"/>
  </si>
  <si>
    <t>新恒基大厦</t>
    <phoneticPr fontId="3" type="noConversion"/>
  </si>
  <si>
    <t>霄云中心</t>
    <phoneticPr fontId="3" type="noConversion"/>
  </si>
  <si>
    <t>朝阳区亮马桥路32号</t>
    <phoneticPr fontId="3" type="noConversion"/>
  </si>
  <si>
    <t>朝阳区麦子店西路3号</t>
    <phoneticPr fontId="3" type="noConversion"/>
  </si>
  <si>
    <t>朝阳区霄云路28号</t>
    <phoneticPr fontId="3" type="noConversion"/>
  </si>
  <si>
    <t>正常</t>
    <phoneticPr fontId="3" type="noConversion"/>
  </si>
  <si>
    <t>办公</t>
    <phoneticPr fontId="3" type="noConversion"/>
  </si>
  <si>
    <t>20-30（含）</t>
  </si>
  <si>
    <t>30-40（含）</t>
  </si>
  <si>
    <t>七通</t>
  </si>
  <si>
    <t>主干道</t>
  </si>
  <si>
    <t>高区</t>
  </si>
  <si>
    <t>塔楼</t>
  </si>
  <si>
    <t>普装</t>
  </si>
  <si>
    <t>甲级</t>
  </si>
  <si>
    <t>六通</t>
  </si>
  <si>
    <t>标准</t>
  </si>
  <si>
    <t>次干道</t>
  </si>
  <si>
    <t>中区</t>
  </si>
  <si>
    <t>低区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</si>
  <si>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</si>
  <si>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</si>
  <si>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</si>
  <si>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</si>
  <si>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</si>
  <si>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</si>
  <si>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</si>
  <si>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</si>
  <si>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</si>
  <si>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</si>
  <si>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</si>
  <si>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</si>
  <si>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</si>
  <si>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甲级</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</si>
  <si>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</si>
  <si>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</si>
  <si>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</si>
  <si>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</si>
  <si>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</si>
  <si>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</si>
  <si>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</si>
  <si>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</si>
  <si>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</si>
  <si>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</si>
  <si>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</si>
  <si>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楼层</t>
    <phoneticPr fontId="3" type="noConversion"/>
  </si>
  <si>
    <t>内部装修</t>
    <phoneticPr fontId="3" type="noConversion"/>
  </si>
  <si>
    <t>地下</t>
    <phoneticPr fontId="3" type="noConversion"/>
  </si>
  <si>
    <t>毛坯</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</si>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</sst>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4" fontId="71" fillId="0" borderId="49"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left" vertical="center"/>
      <protection locked="0"/>
    </xf>
    <xf numFmtId="0" fontId="30" fillId="0" borderId="40" xfId="0" applyNumberFormat="1" applyFont="1" applyFill="1" applyBorder="1" applyAlignment="1" applyProtection="1">
      <alignment horizontal="center" vertical="center" wrapText="1"/>
      <protection locked="0"/>
    </xf>
    <xf numFmtId="0" fontId="30" fillId="6" borderId="2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157" fillId="5" borderId="13" xfId="0" applyFont="1" applyFill="1" applyBorder="1" applyAlignment="1" applyProtection="1">
      <alignment vertical="center"/>
    </xf>
    <xf numFmtId="9" fontId="164" fillId="5" borderId="5" xfId="0" applyNumberFormat="1" applyFont="1" applyFill="1" applyBorder="1" applyAlignment="1" applyProtection="1">
      <alignment horizontal="center" vertical="center"/>
      <protection locked="0"/>
    </xf>
    <xf numFmtId="0" fontId="157" fillId="5" borderId="20" xfId="0" applyNumberFormat="1" applyFont="1" applyFill="1" applyBorder="1" applyAlignment="1" applyProtection="1">
      <alignment vertical="center" wrapText="1"/>
      <protection locked="0"/>
    </xf>
    <xf numFmtId="0" fontId="157" fillId="5" borderId="20" xfId="0" applyNumberFormat="1" applyFont="1" applyFill="1" applyBorder="1" applyAlignment="1" applyProtection="1">
      <alignment vertical="center" wrapText="1"/>
    </xf>
    <xf numFmtId="0" fontId="157" fillId="5" borderId="21" xfId="0" applyNumberFormat="1" applyFont="1" applyFill="1" applyBorder="1" applyAlignment="1" applyProtection="1">
      <alignment vertical="center" wrapText="1"/>
    </xf>
    <xf numFmtId="0" fontId="164" fillId="5" borderId="1" xfId="0" applyFont="1" applyFill="1" applyBorder="1" applyAlignment="1" applyProtection="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81" fontId="141" fillId="5" borderId="1"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6003;&#22823;&#21414;&#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2099.0100000000002</v>
          </cell>
        </row>
        <row r="20">
          <cell r="E20">
            <v>0.65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2799</v>
      </c>
      <c r="B1" s="3052" t="s">
        <v>2888</v>
      </c>
    </row>
    <row r="2" spans="1:2" s="3057" customFormat="1" ht="15" thickTop="1">
      <c r="A2" s="3055" t="s">
        <v>2800</v>
      </c>
      <c r="B2" s="3056" t="str">
        <f>'预评函-封皮'!B37:I37</f>
        <v>北京市朝阳区亮马桥路32号房地产抵押价值预评估</v>
      </c>
    </row>
    <row r="3" spans="1:2" s="3060" customFormat="1">
      <c r="A3" s="3058" t="s">
        <v>2801</v>
      </c>
      <c r="B3" s="3059" t="str">
        <f>'预评函-封皮'!B40</f>
        <v>北京高斓大厦有限公司</v>
      </c>
    </row>
    <row r="4" spans="1:2" s="3060" customFormat="1">
      <c r="A4" s="3058" t="s">
        <v>2802</v>
      </c>
      <c r="B4" s="3059" t="str">
        <f ca="1">'预评函-封皮'!B46</f>
        <v>欧红伟（注册号：1120000080)、梁津（注册号：1119970066)</v>
      </c>
    </row>
    <row r="5" spans="1:2" s="3054" customFormat="1" ht="15" thickBot="1">
      <c r="A5" s="3061" t="s">
        <v>2803</v>
      </c>
      <c r="B5" s="3062" t="str">
        <f>'预评函-封皮'!B49</f>
        <v>康正预评字2017-1-0796-P01DYGJ1号</v>
      </c>
    </row>
    <row r="6" spans="1:2" s="3057" customFormat="1" ht="15" thickTop="1">
      <c r="A6" s="3055" t="s">
        <v>2804</v>
      </c>
      <c r="B6" s="3056" t="str">
        <f>'预评函-1'!A4</f>
        <v>受贵公司委托，我公司对北京市朝阳区亮马桥路32号房地产抵押价值进行了预评估。</v>
      </c>
    </row>
    <row r="7" spans="1:2" s="3060" customFormat="1">
      <c r="A7" s="3058" t="s">
        <v>2844</v>
      </c>
      <c r="B7" s="3059" t="str">
        <f>'预评函-1'!A7</f>
        <v>估价对象为北京市朝阳区亮马桥路32号房地产，为所有。根据《国有土地使用证》[]，估价对象（分摊）出让国有建设用地使用权面积为0平方米，建筑面积为2099.01平方米。</v>
      </c>
    </row>
    <row r="8" spans="1:2" s="3060" customFormat="1">
      <c r="A8" s="3058" t="s">
        <v>2845</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2846</v>
      </c>
      <c r="B9" s="3059" t="str">
        <f>'预评函-1'!A10</f>
        <v>估价对象为北京市朝阳区亮马桥路32号房地产,属开发建设的办公项目，该项目尚在开发建设中。根据《国有土地使用证》[]，估价对象（分摊）出让国有建设用地使用权面积为0平方米，规划建筑面积为2099.01平方米。</v>
      </c>
    </row>
    <row r="10" spans="1:2" s="3060" customFormat="1">
      <c r="A10" s="3058" t="s">
        <v>2847</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2805</v>
      </c>
      <c r="B11" s="3059" t="str">
        <f>'预评函-1'!A13</f>
        <v>为估价委托人在向交通银行股份有限公司北京东三环支行办理贷款手续过程中，确定房地产抵押贷款额度提供参考依据而评估房地产抵押价值。</v>
      </c>
    </row>
    <row r="12" spans="1:2" s="3060" customFormat="1">
      <c r="A12" s="3058" t="s">
        <v>2806</v>
      </c>
      <c r="B12" s="3059" t="str">
        <f>'预评函-1'!A15</f>
        <v>2017年8月15日（评估专业人员实地查勘之日）</v>
      </c>
    </row>
    <row r="13" spans="1:2" s="3060" customFormat="1">
      <c r="A13" s="3058" t="s">
        <v>2807</v>
      </c>
      <c r="B13" s="3059" t="str">
        <f>'预评函-1'!A18</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4" spans="1:2" s="3060" customFormat="1">
      <c r="A14" s="3058" t="s">
        <v>2808</v>
      </c>
      <c r="B14" s="3059"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2809</v>
      </c>
      <c r="B15" s="3059" t="str">
        <f>'预评函-1'!A20</f>
        <v>本次估价的“房地产抵押价值”是指估价对象在价值时点的“房地产价值”扣减估价师于价值时点所知悉的法定优先受偿款后的余额。</v>
      </c>
    </row>
    <row r="16" spans="1:2" s="3060" customFormat="1">
      <c r="A16" s="3058" t="s">
        <v>2810</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2811</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2812</v>
      </c>
      <c r="B18" s="3062" t="str">
        <f>'预评函-1'!A24</f>
        <v>本次评估采用的主估价方法为比较法和收益法。</v>
      </c>
    </row>
    <row r="19" spans="1:2" s="3057" customFormat="1" ht="15" thickTop="1">
      <c r="A19" s="3055" t="s">
        <v>2813</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2814</v>
      </c>
      <c r="B20" s="3059">
        <f ca="1">'预评函-2'!D5</f>
        <v>6914</v>
      </c>
    </row>
    <row r="21" spans="1:2" s="3060" customFormat="1">
      <c r="A21" s="3058" t="s">
        <v>2815</v>
      </c>
      <c r="B21" s="3059">
        <f ca="1">'预评函-2'!D7</f>
        <v>32939</v>
      </c>
    </row>
    <row r="22" spans="1:2" s="3060" customFormat="1">
      <c r="A22" s="3058" t="s">
        <v>2816</v>
      </c>
      <c r="B22" s="3059" t="str">
        <f ca="1">'预评函-2'!D6</f>
        <v>陆仟玖佰壹拾肆万元整</v>
      </c>
    </row>
    <row r="23" spans="1:2" s="3060" customFormat="1">
      <c r="A23" s="3058" t="s">
        <v>2876</v>
      </c>
      <c r="B23" s="3059" t="str">
        <f>'预评函-2'!B8</f>
        <v>2.估价师知悉的法定优先受偿款</v>
      </c>
    </row>
    <row r="24" spans="1:2" s="3060" customFormat="1">
      <c r="A24" s="3058" t="s">
        <v>2882</v>
      </c>
      <c r="B24" s="3059">
        <f>'预评函-2'!D8</f>
        <v>0</v>
      </c>
    </row>
    <row r="25" spans="1:2" s="3060" customFormat="1">
      <c r="A25" s="3058" t="s">
        <v>2817</v>
      </c>
      <c r="B25" s="3059" t="str">
        <f>'预评函-2'!D9</f>
        <v>零元整</v>
      </c>
    </row>
    <row r="26" spans="1:2" s="3060" customFormat="1">
      <c r="A26" s="3058" t="s">
        <v>2818</v>
      </c>
      <c r="B26" s="3059">
        <f>'预评函-2'!D10</f>
        <v>0</v>
      </c>
    </row>
    <row r="27" spans="1:2" s="3060" customFormat="1">
      <c r="A27" s="3058" t="s">
        <v>2819</v>
      </c>
      <c r="B27" s="3059">
        <f>'预评函-2'!D11</f>
        <v>0</v>
      </c>
    </row>
    <row r="28" spans="1:2" s="3060" customFormat="1">
      <c r="A28" s="3058" t="s">
        <v>2820</v>
      </c>
      <c r="B28" s="3059">
        <f>'预评函-2'!D12</f>
        <v>0</v>
      </c>
    </row>
    <row r="29" spans="1:2" s="3060" customFormat="1">
      <c r="A29" s="3058" t="s">
        <v>2880</v>
      </c>
      <c r="B29" s="3059" t="str">
        <f>'预评函-2'!B13</f>
        <v>3.房地产抵押价值</v>
      </c>
    </row>
    <row r="30" spans="1:2" s="3060" customFormat="1">
      <c r="A30" s="3058" t="s">
        <v>2881</v>
      </c>
      <c r="B30" s="3059">
        <f ca="1">'预评函-2'!D13</f>
        <v>6914</v>
      </c>
    </row>
    <row r="31" spans="1:2" s="3060" customFormat="1">
      <c r="A31" s="3058" t="s">
        <v>2855</v>
      </c>
      <c r="B31" s="3059">
        <f ca="1">'预评函-2'!D15</f>
        <v>32939</v>
      </c>
    </row>
    <row r="32" spans="1:2" s="3060" customFormat="1">
      <c r="A32" s="3058" t="s">
        <v>2821</v>
      </c>
      <c r="B32" s="3059" t="str">
        <f ca="1">'预评函-2'!D14</f>
        <v>陆仟玖佰壹拾肆万元整</v>
      </c>
    </row>
    <row r="33" spans="1:2" s="3060" customFormat="1">
      <c r="A33" s="3058" t="s">
        <v>2857</v>
      </c>
      <c r="B33" s="3059" t="str">
        <f>'预评函-2'!B16</f>
        <v>——</v>
      </c>
    </row>
    <row r="34" spans="1:2" s="3060" customFormat="1">
      <c r="A34" s="3058" t="s">
        <v>2883</v>
      </c>
      <c r="B34" s="3059" t="str">
        <f>'预评函-2'!D16</f>
        <v>——</v>
      </c>
    </row>
    <row r="35" spans="1:2" s="3060" customFormat="1">
      <c r="A35" s="3058" t="s">
        <v>2856</v>
      </c>
      <c r="B35" s="3059" t="str">
        <f>'预评函-2'!D18</f>
        <v>——</v>
      </c>
    </row>
    <row r="36" spans="1:2" s="3060" customFormat="1">
      <c r="A36" s="3058" t="s">
        <v>2822</v>
      </c>
      <c r="B36" s="3059" t="e">
        <f>'预评函-2'!D17</f>
        <v>#VALUE!</v>
      </c>
    </row>
    <row r="37" spans="1:2" s="3060" customFormat="1">
      <c r="A37" s="3058" t="s">
        <v>2858</v>
      </c>
      <c r="B37" s="3059" t="str">
        <f>'预评函-2'!B19</f>
        <v>——</v>
      </c>
    </row>
    <row r="38" spans="1:2" s="3060" customFormat="1">
      <c r="A38" s="3058" t="s">
        <v>2884</v>
      </c>
      <c r="B38" s="3059" t="str">
        <f>'预评函-2'!D19</f>
        <v>——</v>
      </c>
    </row>
    <row r="39" spans="1:2" s="3060" customFormat="1">
      <c r="A39" s="3058" t="s">
        <v>2823</v>
      </c>
      <c r="B39" s="3059" t="str">
        <f>'预评函-2'!D21</f>
        <v>——</v>
      </c>
    </row>
    <row r="40" spans="1:2" s="3060" customFormat="1">
      <c r="A40" s="3058" t="s">
        <v>2824</v>
      </c>
      <c r="B40" s="3059" t="e">
        <f>'预评函-2'!D20</f>
        <v>#VALUE!</v>
      </c>
    </row>
    <row r="41" spans="1:2" s="3060" customFormat="1">
      <c r="A41" s="3058" t="s">
        <v>2879</v>
      </c>
      <c r="B41" s="3059" t="str">
        <f>'预评函-3'!A4</f>
        <v>北京市朝阳区亮马桥路32号房地产</v>
      </c>
    </row>
    <row r="42" spans="1:2" s="3060" customFormat="1">
      <c r="A42" s="3058" t="s">
        <v>2877</v>
      </c>
      <c r="B42" s="3059" t="str">
        <f>'预评函-3'!B2</f>
        <v>建筑面积</v>
      </c>
    </row>
    <row r="43" spans="1:2" s="3060" customFormat="1">
      <c r="A43" s="3058" t="s">
        <v>2878</v>
      </c>
      <c r="B43" s="3059">
        <f>'预评函-3'!B4</f>
        <v>2099.0100000000002</v>
      </c>
    </row>
    <row r="44" spans="1:2" s="3060" customFormat="1">
      <c r="A44" s="3058" t="s">
        <v>2854</v>
      </c>
      <c r="B44" s="3059" t="str">
        <f>'预评函-3'!C2</f>
        <v>(分摊)土地面积</v>
      </c>
    </row>
    <row r="45" spans="1:2" s="3060" customFormat="1">
      <c r="A45" s="3058" t="s">
        <v>2825</v>
      </c>
      <c r="B45" s="3059">
        <f>'预评函-3'!C4</f>
        <v>0</v>
      </c>
    </row>
    <row r="46" spans="1:2" s="3060" customFormat="1">
      <c r="A46" s="3058" t="s">
        <v>2852</v>
      </c>
      <c r="B46" s="3059" t="str">
        <f>'预评函-3'!D2</f>
        <v>出让国有建设用地使用权价值</v>
      </c>
    </row>
    <row r="47" spans="1:2" s="3060" customFormat="1">
      <c r="A47" s="3058" t="s">
        <v>2826</v>
      </c>
      <c r="B47" s="3059" t="e">
        <f ca="1">'预评函-3'!D4</f>
        <v>#REF!</v>
      </c>
    </row>
    <row r="48" spans="1:2" s="3060" customFormat="1">
      <c r="A48" s="3058" t="s">
        <v>2827</v>
      </c>
      <c r="B48" s="3059" t="e">
        <f ca="1">'预评函-3'!E4</f>
        <v>#REF!</v>
      </c>
    </row>
    <row r="49" spans="1:2" s="3060" customFormat="1">
      <c r="A49" s="3058" t="s">
        <v>2828</v>
      </c>
      <c r="B49" s="3059" t="e">
        <f ca="1">'预评函-3'!D5</f>
        <v>#REF!</v>
      </c>
    </row>
    <row r="50" spans="1:2" s="3060" customFormat="1">
      <c r="A50" s="3058" t="s">
        <v>2853</v>
      </c>
      <c r="B50" s="3059" t="str">
        <f>'预评函-3'!F2</f>
        <v>在建建筑物价值</v>
      </c>
    </row>
    <row r="51" spans="1:2" s="3060" customFormat="1">
      <c r="A51" s="3058" t="s">
        <v>2829</v>
      </c>
      <c r="B51" s="3059" t="e">
        <f ca="1">'预评函-3'!F4</f>
        <v>#REF!</v>
      </c>
    </row>
    <row r="52" spans="1:2" s="3060" customFormat="1">
      <c r="A52" s="3058" t="s">
        <v>2830</v>
      </c>
      <c r="B52" s="3059" t="e">
        <f ca="1">'预评函-3'!G4</f>
        <v>#REF!</v>
      </c>
    </row>
    <row r="53" spans="1:2" s="3060" customFormat="1">
      <c r="A53" s="3058" t="s">
        <v>2859</v>
      </c>
      <c r="B53" s="3059" t="e">
        <f ca="1">'预评函-3'!F5</f>
        <v>#REF!</v>
      </c>
    </row>
    <row r="54" spans="1:2" s="3060" customFormat="1">
      <c r="A54" s="3058" t="s">
        <v>2886</v>
      </c>
      <c r="B54" s="3059" t="str">
        <f>'预评函-3'!A8</f>
        <v>房地产抵押价值</v>
      </c>
    </row>
    <row r="55" spans="1:2" s="3060" customFormat="1">
      <c r="A55" s="3058" t="s">
        <v>2860</v>
      </c>
      <c r="B55" s="3059" t="str">
        <f>'预评函-3'!A10</f>
        <v/>
      </c>
    </row>
    <row r="56" spans="1:2" s="3060" customFormat="1">
      <c r="A56" s="3058" t="s">
        <v>2861</v>
      </c>
      <c r="B56" s="3059" t="str">
        <f>'预评函-3'!A12</f>
        <v/>
      </c>
    </row>
    <row r="57" spans="1:2" s="3054" customFormat="1" ht="15" thickBot="1">
      <c r="A57" s="3061" t="s">
        <v>2887</v>
      </c>
      <c r="B57" s="3062" t="str">
        <f>'预评函-3'!A6</f>
        <v>估价师知悉的法定优先受偿款</v>
      </c>
    </row>
    <row r="58" spans="1:2" s="3057" customFormat="1" ht="15" thickTop="1">
      <c r="A58" s="3055" t="s">
        <v>2831</v>
      </c>
      <c r="B58" s="3056" t="str">
        <f>'预评函-4'!A12</f>
        <v>2.本《评估意见函》仅供金融机构进行内部审核使用，不做其他目的之用。</v>
      </c>
    </row>
    <row r="59" spans="1:2" s="3060" customFormat="1">
      <c r="A59" s="3058" t="s">
        <v>2832</v>
      </c>
      <c r="B59" s="3059" t="str">
        <f>'预评函-4'!A13</f>
        <v>3.抵押双方在办理抵押登记手续时，应使用本公司出具的正式《房地产评估报告》，特提醒报告使用者注意。</v>
      </c>
    </row>
    <row r="60" spans="1:2" s="3060" customFormat="1">
      <c r="A60" s="3058" t="s">
        <v>2833</v>
      </c>
      <c r="B60" s="3059" t="str">
        <f>'预评函-4'!A14</f>
        <v>4.本次评估估价师所知悉的法定优先受偿款情况说明如下：</v>
      </c>
    </row>
    <row r="61" spans="1:2" s="3060" customFormat="1">
      <c r="A61" s="3058" t="s">
        <v>2834</v>
      </c>
      <c r="B61" s="3059" t="str">
        <f>'预评函-4'!A15</f>
        <v>（1）根据估价对象《房屋所有权证》复印件、《国有土地使用权》复印件，截至价值时点，估价对象抵押权未见登记。</v>
      </c>
    </row>
    <row r="62" spans="1:2" s="3060" customFormat="1">
      <c r="A62" s="3058" t="s">
        <v>2835</v>
      </c>
      <c r="B62" s="3059" t="str">
        <f>'预评函-4'!A16</f>
        <v>（2）根据《工程款支付情况说明》，截至价值时点，估价对象不存在应付未付工程款项。（只要没有施工方盖章的，均“设定”进行表述）</v>
      </c>
    </row>
    <row r="63" spans="1:2" s="3060" customFormat="1">
      <c r="A63" s="3058" t="s">
        <v>2836</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2848</v>
      </c>
      <c r="B64" s="3059" t="str">
        <f>'预评函-4'!A18</f>
        <v>故，本次评估不存在估价师知悉的法定优先受偿款</v>
      </c>
    </row>
    <row r="65" spans="1:2" s="3060" customFormat="1">
      <c r="A65" s="3058" t="s">
        <v>2837</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2838</v>
      </c>
      <c r="B66" s="3059" t="str">
        <f>'预评函-4'!A20</f>
        <v>——</v>
      </c>
    </row>
    <row r="67" spans="1:2" s="3060" customFormat="1">
      <c r="A67" s="3058" t="s">
        <v>2849</v>
      </c>
      <c r="B67" s="3059" t="str">
        <f>'预评函-4'!A21</f>
        <v>——</v>
      </c>
    </row>
    <row r="68" spans="1:2" s="3060" customFormat="1">
      <c r="A68" s="3058" t="s">
        <v>2850</v>
      </c>
      <c r="B68" s="3059" t="str">
        <f>'预评函-4'!A22</f>
        <v>8.其他需特殊说明事项：无（注意调整序号）</v>
      </c>
    </row>
    <row r="69" spans="1:2" s="3054" customFormat="1" ht="15" thickBot="1">
      <c r="A69" s="3061" t="s">
        <v>2839</v>
      </c>
      <c r="B69" s="3063">
        <f>'预评函-4'!C31</f>
        <v>42551</v>
      </c>
    </row>
    <row r="70" spans="1:2" ht="15" thickTop="1">
      <c r="A70" s="3064" t="s">
        <v>2840</v>
      </c>
      <c r="B70" s="3065" t="str">
        <f>'预评函-4'!A4</f>
        <v>欧红伟</v>
      </c>
    </row>
    <row r="71" spans="1:2">
      <c r="A71" s="3058" t="s">
        <v>2841</v>
      </c>
      <c r="B71" s="3059">
        <f ca="1">'预评函-4'!B4</f>
        <v>1120000080</v>
      </c>
    </row>
    <row r="72" spans="1:2">
      <c r="A72" s="3058" t="s">
        <v>2842</v>
      </c>
      <c r="B72" s="3067" t="str">
        <f>'预评函-4'!A5</f>
        <v>梁津</v>
      </c>
    </row>
    <row r="73" spans="1:2" s="3054" customFormat="1" ht="15" thickBot="1">
      <c r="A73" s="3061" t="s">
        <v>2843</v>
      </c>
      <c r="B73" s="3062">
        <f ca="1">'预评函-4'!B5</f>
        <v>1119970066</v>
      </c>
    </row>
    <row r="74" spans="1:2" ht="15" thickTop="1">
      <c r="A74" s="3051" t="s">
        <v>2904</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2644</v>
      </c>
      <c r="R1" s="1484" t="s">
        <v>2634</v>
      </c>
      <c r="S1" s="290" t="s">
        <v>270</v>
      </c>
      <c r="T1" s="291" t="s">
        <v>271</v>
      </c>
      <c r="U1" s="290" t="s">
        <v>272</v>
      </c>
      <c r="V1" s="290" t="s">
        <v>273</v>
      </c>
      <c r="W1" s="1484" t="s">
        <v>1849</v>
      </c>
    </row>
    <row r="2" spans="1:23">
      <c r="A2" s="2795" t="s">
        <v>114</v>
      </c>
      <c r="B2" s="2795" t="s">
        <v>579</v>
      </c>
      <c r="C2" s="1767"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1" t="s">
        <v>2638</v>
      </c>
      <c r="S2" s="292" t="s">
        <v>232</v>
      </c>
      <c r="T2" s="292" t="s">
        <v>233</v>
      </c>
      <c r="U2" s="292" t="s">
        <v>232</v>
      </c>
      <c r="V2" s="292" t="s">
        <v>234</v>
      </c>
      <c r="W2" s="292" t="s">
        <v>232</v>
      </c>
    </row>
    <row r="3" spans="1:23">
      <c r="A3" s="2795" t="s">
        <v>578</v>
      </c>
      <c r="B3" s="2796" t="s">
        <v>2680</v>
      </c>
      <c r="C3" s="1768"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1" t="s">
        <v>2636</v>
      </c>
      <c r="S3" s="292" t="s">
        <v>240</v>
      </c>
      <c r="T3" s="292" t="s">
        <v>241</v>
      </c>
      <c r="U3" s="292" t="s">
        <v>240</v>
      </c>
      <c r="V3" s="292" t="s">
        <v>242</v>
      </c>
      <c r="W3" s="292" t="s">
        <v>240</v>
      </c>
    </row>
    <row r="4" spans="1:23">
      <c r="A4" s="2795" t="s">
        <v>580</v>
      </c>
      <c r="B4" s="2795" t="s">
        <v>581</v>
      </c>
      <c r="C4" s="1767" t="s">
        <v>1876</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1" t="s">
        <v>2639</v>
      </c>
      <c r="S4" s="292" t="s">
        <v>243</v>
      </c>
      <c r="T4" s="292" t="s">
        <v>244</v>
      </c>
      <c r="U4" s="292" t="s">
        <v>243</v>
      </c>
      <c r="W4" s="292" t="s">
        <v>243</v>
      </c>
    </row>
    <row r="5" spans="1:23">
      <c r="A5" s="2795" t="s">
        <v>582</v>
      </c>
      <c r="B5" s="2796" t="s">
        <v>3090</v>
      </c>
      <c r="C5" s="1767" t="s">
        <v>1877</v>
      </c>
      <c r="F5" s="292" t="s">
        <v>245</v>
      </c>
      <c r="H5" s="292" t="s">
        <v>246</v>
      </c>
      <c r="I5" s="292" t="s">
        <v>247</v>
      </c>
      <c r="K5" s="292" t="s">
        <v>248</v>
      </c>
      <c r="L5" s="292" t="s">
        <v>248</v>
      </c>
      <c r="M5" s="292" t="s">
        <v>248</v>
      </c>
      <c r="N5" s="292" t="s">
        <v>248</v>
      </c>
      <c r="O5" s="292" t="s">
        <v>248</v>
      </c>
      <c r="P5" s="292" t="s">
        <v>248</v>
      </c>
      <c r="Q5" s="292" t="s">
        <v>248</v>
      </c>
      <c r="R5" s="2761" t="s">
        <v>2640</v>
      </c>
      <c r="S5" s="292" t="s">
        <v>248</v>
      </c>
      <c r="T5" s="292" t="s">
        <v>249</v>
      </c>
      <c r="U5" s="292" t="s">
        <v>248</v>
      </c>
      <c r="W5" s="292" t="s">
        <v>248</v>
      </c>
    </row>
    <row r="6" spans="1:23">
      <c r="A6" s="2795" t="s">
        <v>583</v>
      </c>
      <c r="B6" s="2796" t="s">
        <v>2681</v>
      </c>
      <c r="C6" s="1769" t="s">
        <v>163</v>
      </c>
      <c r="F6" s="292" t="s">
        <v>250</v>
      </c>
      <c r="H6" s="292" t="s">
        <v>251</v>
      </c>
      <c r="I6" s="292" t="s">
        <v>252</v>
      </c>
      <c r="K6" s="292" t="s">
        <v>253</v>
      </c>
      <c r="L6" s="292" t="s">
        <v>253</v>
      </c>
      <c r="M6" s="292" t="s">
        <v>253</v>
      </c>
      <c r="N6" s="292" t="s">
        <v>253</v>
      </c>
      <c r="O6" s="292" t="s">
        <v>253</v>
      </c>
      <c r="P6" s="292" t="s">
        <v>253</v>
      </c>
      <c r="Q6" s="292" t="s">
        <v>253</v>
      </c>
      <c r="R6" s="2761" t="s">
        <v>2641</v>
      </c>
      <c r="S6" s="292" t="s">
        <v>253</v>
      </c>
      <c r="T6" s="292"/>
      <c r="U6" s="292" t="s">
        <v>253</v>
      </c>
      <c r="W6" s="292" t="s">
        <v>253</v>
      </c>
    </row>
    <row r="7" spans="1:23">
      <c r="A7" s="2795" t="s">
        <v>585</v>
      </c>
      <c r="B7" s="2796" t="s">
        <v>2682</v>
      </c>
      <c r="C7" s="1767" t="s">
        <v>164</v>
      </c>
      <c r="F7" s="292" t="s">
        <v>254</v>
      </c>
      <c r="H7" s="292" t="s">
        <v>255</v>
      </c>
      <c r="I7" s="292" t="s">
        <v>256</v>
      </c>
    </row>
    <row r="8" spans="1:23">
      <c r="A8" s="2795" t="s">
        <v>587</v>
      </c>
      <c r="B8" s="2795" t="s">
        <v>584</v>
      </c>
      <c r="C8" s="1767" t="s">
        <v>1878</v>
      </c>
      <c r="F8" s="292" t="s">
        <v>283</v>
      </c>
      <c r="H8" s="292"/>
      <c r="I8" s="292" t="s">
        <v>284</v>
      </c>
    </row>
    <row r="9" spans="1:23">
      <c r="A9" s="2795" t="s">
        <v>589</v>
      </c>
      <c r="B9" s="2795" t="s">
        <v>586</v>
      </c>
      <c r="C9" s="1767" t="s">
        <v>1879</v>
      </c>
      <c r="F9" s="292" t="s">
        <v>285</v>
      </c>
      <c r="H9" s="292"/>
    </row>
    <row r="10" spans="1:23">
      <c r="A10" s="2795" t="s">
        <v>591</v>
      </c>
      <c r="B10" s="2795" t="s">
        <v>588</v>
      </c>
      <c r="C10" s="1767" t="s">
        <v>1880</v>
      </c>
      <c r="F10" s="292" t="s">
        <v>51</v>
      </c>
    </row>
    <row r="11" spans="1:23">
      <c r="A11" s="2795" t="s">
        <v>593</v>
      </c>
      <c r="B11" s="2795" t="s">
        <v>590</v>
      </c>
      <c r="C11" s="1767" t="s">
        <v>1881</v>
      </c>
    </row>
    <row r="12" spans="1:23">
      <c r="A12" s="2795" t="s">
        <v>595</v>
      </c>
      <c r="B12" s="2795" t="s">
        <v>592</v>
      </c>
      <c r="C12" s="1767" t="s">
        <v>1882</v>
      </c>
    </row>
    <row r="13" spans="1:23">
      <c r="A13" s="2795" t="s">
        <v>597</v>
      </c>
      <c r="B13" s="2795" t="s">
        <v>594</v>
      </c>
      <c r="C13" s="1767" t="s">
        <v>1883</v>
      </c>
    </row>
    <row r="14" spans="1:23">
      <c r="A14" s="2795" t="s">
        <v>599</v>
      </c>
      <c r="B14" s="2795" t="s">
        <v>596</v>
      </c>
      <c r="C14" s="292" t="s">
        <v>51</v>
      </c>
    </row>
    <row r="15" spans="1:23">
      <c r="A15" s="2795" t="s">
        <v>600</v>
      </c>
      <c r="B15" s="2795" t="s">
        <v>598</v>
      </c>
      <c r="C15" s="1770"/>
    </row>
    <row r="16" spans="1:23">
      <c r="A16" s="2795" t="s">
        <v>601</v>
      </c>
      <c r="B16" s="2795" t="s">
        <v>3096</v>
      </c>
      <c r="C16" s="1770"/>
    </row>
    <row r="17" spans="1:3">
      <c r="A17" s="2795" t="s">
        <v>602</v>
      </c>
      <c r="B17" s="2795" t="s">
        <v>3091</v>
      </c>
      <c r="C17" s="1770"/>
    </row>
    <row r="18" spans="1:3">
      <c r="A18" s="2795" t="s">
        <v>603</v>
      </c>
      <c r="B18" s="2795" t="s">
        <v>3094</v>
      </c>
      <c r="C18" s="1770"/>
    </row>
    <row r="19" spans="1:3">
      <c r="A19" s="2795" t="s">
        <v>604</v>
      </c>
      <c r="B19" s="2795" t="s">
        <v>3098</v>
      </c>
      <c r="C19" s="1770"/>
    </row>
    <row r="20" spans="1:3">
      <c r="A20" s="2795" t="s">
        <v>605</v>
      </c>
      <c r="B20" s="2795" t="s">
        <v>3124</v>
      </c>
      <c r="C20" s="1770"/>
    </row>
    <row r="21" spans="1:3">
      <c r="A21" s="2795" t="s">
        <v>606</v>
      </c>
      <c r="B21" s="2795" t="s">
        <v>1865</v>
      </c>
      <c r="C21" s="1770"/>
    </row>
    <row r="22" spans="1:3">
      <c r="A22" s="2795" t="s">
        <v>607</v>
      </c>
      <c r="B22" s="2795" t="s">
        <v>1865</v>
      </c>
      <c r="C22" s="1770"/>
    </row>
    <row r="23" spans="1:3">
      <c r="A23" s="2795" t="s">
        <v>608</v>
      </c>
      <c r="B23" s="2795" t="s">
        <v>1865</v>
      </c>
      <c r="C23" s="1770"/>
    </row>
    <row r="24" spans="1:3">
      <c r="A24" s="2795" t="s">
        <v>609</v>
      </c>
      <c r="B24" s="2795" t="s">
        <v>1865</v>
      </c>
      <c r="C24" s="1770"/>
    </row>
    <row r="25" spans="1:3">
      <c r="A25" s="2795" t="s">
        <v>610</v>
      </c>
      <c r="B25" s="2795" t="s">
        <v>1865</v>
      </c>
      <c r="C25" s="1770"/>
    </row>
    <row r="26" spans="1:3">
      <c r="A26" s="2795" t="s">
        <v>611</v>
      </c>
      <c r="B26" s="2795" t="s">
        <v>1865</v>
      </c>
      <c r="C26" s="1770"/>
    </row>
    <row r="27" spans="1:3">
      <c r="A27" s="2795" t="s">
        <v>1865</v>
      </c>
      <c r="B27" s="2795" t="s">
        <v>1865</v>
      </c>
      <c r="C27" s="1770"/>
    </row>
    <row r="28" spans="1:3">
      <c r="A28" s="2795" t="s">
        <v>1865</v>
      </c>
      <c r="B28" s="2795" t="s">
        <v>1865</v>
      </c>
      <c r="C28" s="1770"/>
    </row>
    <row r="29" spans="1:3">
      <c r="A29" s="2795" t="s">
        <v>1865</v>
      </c>
      <c r="B29" s="2795" t="s">
        <v>1865</v>
      </c>
      <c r="C29" s="1770"/>
    </row>
    <row r="30" spans="1:3">
      <c r="A30" s="2795" t="s">
        <v>1865</v>
      </c>
      <c r="B30" s="2795" t="s">
        <v>1865</v>
      </c>
      <c r="C30" s="1770"/>
    </row>
    <row r="31" spans="1:3">
      <c r="A31" s="2795" t="s">
        <v>1865</v>
      </c>
      <c r="B31" s="2795" t="s">
        <v>1865</v>
      </c>
      <c r="C31" s="1770"/>
    </row>
    <row r="32" spans="1:3">
      <c r="A32" s="2795" t="s">
        <v>1865</v>
      </c>
      <c r="B32" s="2795" t="s">
        <v>1865</v>
      </c>
      <c r="C32" s="1770"/>
    </row>
    <row r="33" spans="1:3">
      <c r="A33" s="2795" t="s">
        <v>1865</v>
      </c>
      <c r="B33" s="2795" t="s">
        <v>1865</v>
      </c>
      <c r="C33" s="1770"/>
    </row>
    <row r="34" spans="1:3">
      <c r="A34" s="2795" t="s">
        <v>1865</v>
      </c>
      <c r="B34" s="2795" t="s">
        <v>1865</v>
      </c>
      <c r="C34" s="1770"/>
    </row>
    <row r="35" spans="1:3">
      <c r="A35" s="2795" t="s">
        <v>1865</v>
      </c>
      <c r="B35" s="2795" t="s">
        <v>1865</v>
      </c>
      <c r="C35" s="1770"/>
    </row>
    <row r="36" spans="1:3">
      <c r="A36" s="2795" t="s">
        <v>1865</v>
      </c>
      <c r="B36" s="2795" t="s">
        <v>1865</v>
      </c>
      <c r="C36" s="1770"/>
    </row>
    <row r="37" spans="1:3">
      <c r="A37" s="2795" t="s">
        <v>1865</v>
      </c>
      <c r="B37" s="2795" t="s">
        <v>1865</v>
      </c>
      <c r="C37" s="1770"/>
    </row>
    <row r="38" spans="1:3">
      <c r="A38" s="2795" t="s">
        <v>1865</v>
      </c>
      <c r="B38" s="2795" t="s">
        <v>1865</v>
      </c>
      <c r="C38" s="1770"/>
    </row>
    <row r="39" spans="1:3">
      <c r="A39" s="2795" t="s">
        <v>1865</v>
      </c>
      <c r="B39" s="2795" t="s">
        <v>1865</v>
      </c>
      <c r="C39" s="1770"/>
    </row>
    <row r="40" spans="1:3">
      <c r="A40" s="2795" t="s">
        <v>1865</v>
      </c>
      <c r="B40" s="2795" t="s">
        <v>1865</v>
      </c>
      <c r="C40" s="1770"/>
    </row>
    <row r="41" spans="1:3">
      <c r="A41" s="2795" t="s">
        <v>1865</v>
      </c>
      <c r="B41" s="2795" t="s">
        <v>1865</v>
      </c>
      <c r="C41" s="1770"/>
    </row>
    <row r="42" spans="1:3">
      <c r="A42" s="2795" t="s">
        <v>1865</v>
      </c>
      <c r="B42" s="2795" t="s">
        <v>1865</v>
      </c>
      <c r="C42" s="1770"/>
    </row>
    <row r="43" spans="1:3">
      <c r="A43" s="2795" t="s">
        <v>1865</v>
      </c>
      <c r="B43" s="2795" t="s">
        <v>1865</v>
      </c>
      <c r="C43" s="1770"/>
    </row>
    <row r="44" spans="1:3">
      <c r="A44" s="2795" t="s">
        <v>1865</v>
      </c>
      <c r="B44" s="2795" t="s">
        <v>1865</v>
      </c>
      <c r="C44" s="1770"/>
    </row>
    <row r="45" spans="1:3">
      <c r="A45" s="2795" t="s">
        <v>1865</v>
      </c>
      <c r="B45" s="2795" t="s">
        <v>1865</v>
      </c>
      <c r="C45" s="1770"/>
    </row>
    <row r="46" spans="1:3">
      <c r="A46" s="2795" t="s">
        <v>1865</v>
      </c>
      <c r="B46" s="2795" t="s">
        <v>1865</v>
      </c>
      <c r="C46" s="1770"/>
    </row>
    <row r="47" spans="1:3">
      <c r="A47" s="2795" t="s">
        <v>1865</v>
      </c>
      <c r="B47" s="2795" t="s">
        <v>1865</v>
      </c>
      <c r="C47" s="1770"/>
    </row>
    <row r="48" spans="1:3">
      <c r="A48" s="2795" t="s">
        <v>1865</v>
      </c>
      <c r="B48" s="2795" t="s">
        <v>1865</v>
      </c>
      <c r="C48" s="1770"/>
    </row>
    <row r="49" spans="1:4">
      <c r="A49" s="2795" t="s">
        <v>1865</v>
      </c>
      <c r="B49" s="2795" t="s">
        <v>1865</v>
      </c>
      <c r="C49" s="1770"/>
    </row>
    <row r="50" spans="1:4">
      <c r="A50" s="2795" t="s">
        <v>1865</v>
      </c>
      <c r="B50" s="2795" t="s">
        <v>1865</v>
      </c>
      <c r="C50" s="1770"/>
    </row>
    <row r="51" spans="1:4">
      <c r="A51" s="1950" t="s">
        <v>2011</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2867</v>
      </c>
    </row>
    <row r="52" spans="1:4">
      <c r="A52" s="1950" t="s">
        <v>2015</v>
      </c>
      <c r="B52" s="1950" t="s">
        <v>2016</v>
      </c>
      <c r="C52" s="1162" t="s">
        <v>2017</v>
      </c>
      <c r="D52" s="1162" t="s">
        <v>2018</v>
      </c>
    </row>
    <row r="53" spans="1:4">
      <c r="A53" s="3432" t="s">
        <v>2019</v>
      </c>
      <c r="B53" s="2093"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32"/>
      <c r="B54" s="2093" t="s">
        <v>2021</v>
      </c>
      <c r="C54" s="1162" t="s">
        <v>2864</v>
      </c>
    </row>
    <row r="55" spans="1:4">
      <c r="A55" s="3432"/>
      <c r="B55" s="2093" t="s">
        <v>2022</v>
      </c>
      <c r="C55" s="1162" t="s">
        <v>2865</v>
      </c>
    </row>
    <row r="56" spans="1:4">
      <c r="A56" s="3432"/>
      <c r="B56" s="2093" t="s">
        <v>2023</v>
      </c>
      <c r="C56" s="1162" t="s">
        <v>2875</v>
      </c>
    </row>
    <row r="57" spans="1:4">
      <c r="A57" s="3432"/>
      <c r="B57" s="2093" t="s">
        <v>2024</v>
      </c>
      <c r="C57" s="1162" t="s">
        <v>2866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16" sqref="B16:D16"/>
    </sheetView>
  </sheetViews>
  <sheetFormatPr defaultColWidth="10" defaultRowHeight="18" customHeight="1"/>
  <cols>
    <col min="1" max="1" width="14.875" style="1203" customWidth="1"/>
    <col min="2" max="2" width="10" style="1203" customWidth="1"/>
    <col min="3" max="3" width="11.5" style="1203" customWidth="1"/>
    <col min="4" max="5" width="10" style="1203" customWidth="1"/>
    <col min="6" max="6" width="14.25"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2125</v>
      </c>
      <c r="B1" s="3441" t="str">
        <f>IF(B10="北京市","北京市",C10)&amp;F10&amp;IF(结果表!G1="在建","出让国有建设用地使用权及在建建筑物",IF(结果表!G1="土地","出让国有建设用地使用权",))&amp;B9&amp;"预评估"</f>
        <v>北京市朝阳区亮马桥路32号房地产抵押价值预评估</v>
      </c>
      <c r="C1" s="3442"/>
      <c r="D1" s="3442"/>
      <c r="E1" s="3442"/>
      <c r="F1" s="3442"/>
      <c r="G1" s="3442"/>
      <c r="H1" s="3442"/>
      <c r="I1" s="3443"/>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2126</v>
      </c>
      <c r="B2" s="1941" t="s">
        <v>3087</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2004</v>
      </c>
      <c r="B3" s="3229">
        <v>42962</v>
      </c>
      <c r="C3" s="1922" t="s">
        <v>2005</v>
      </c>
      <c r="D3" s="3229">
        <v>42962</v>
      </c>
      <c r="E3" s="1994"/>
      <c r="F3" s="1994"/>
      <c r="G3" s="1994"/>
      <c r="H3" s="1994"/>
      <c r="I3" s="1994"/>
      <c r="J3" s="1994"/>
      <c r="K3" s="2100"/>
      <c r="L3" s="1995"/>
      <c r="M3" s="1995"/>
      <c r="N3" s="1197"/>
      <c r="O3" s="11"/>
      <c r="P3" s="1197"/>
      <c r="Q3" s="1197"/>
      <c r="R3" s="1197"/>
      <c r="S3" s="1196"/>
    </row>
    <row r="4" spans="1:19" ht="18" customHeight="1" thickBot="1">
      <c r="A4" s="1923" t="s">
        <v>2006</v>
      </c>
      <c r="B4" s="1924" t="s">
        <v>3063</v>
      </c>
      <c r="C4" s="1925">
        <f ca="1">SUMIF(注册房地产估价师,B4,估价师及机构信息!B3:B24)</f>
        <v>1120000080</v>
      </c>
      <c r="D4" s="1924" t="s">
        <v>3064</v>
      </c>
      <c r="E4" s="1926">
        <f ca="1">SUMIF(注册房地产估价师,D4,估价师及机构信息!B3:B24)</f>
        <v>1119970066</v>
      </c>
      <c r="F4" s="1924" t="s">
        <v>530</v>
      </c>
      <c r="G4" s="1953">
        <f>SUMIF(注册房地产估价师,F4,估价师及机构信息!B3:B24)</f>
        <v>0</v>
      </c>
      <c r="H4" s="1924" t="s">
        <v>530</v>
      </c>
      <c r="I4" s="2884">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2090</v>
      </c>
      <c r="B5" s="3284" t="s">
        <v>3065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2091</v>
      </c>
      <c r="B6" s="2039" t="s">
        <v>3088</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2870</v>
      </c>
      <c r="B7" s="3284" t="s">
        <v>3065</v>
      </c>
      <c r="C7" s="2040"/>
      <c r="D7" s="2001"/>
      <c r="E7" s="1997"/>
      <c r="F7" s="1999"/>
      <c r="G7" s="1999"/>
      <c r="H7" s="1999"/>
      <c r="I7" s="1999"/>
      <c r="J7" s="1999"/>
      <c r="K7" s="2102"/>
      <c r="L7" s="1995"/>
      <c r="M7" s="1995"/>
      <c r="N7" s="1197"/>
      <c r="O7" s="11"/>
      <c r="P7" s="1197"/>
      <c r="Q7" s="1197"/>
      <c r="R7" s="1197"/>
    </row>
    <row r="8" spans="1:19" ht="18" customHeight="1">
      <c r="A8" s="1928" t="s">
        <v>1952</v>
      </c>
      <c r="B8" s="2033" t="s">
        <v>3066</v>
      </c>
      <c r="C8" s="2002"/>
      <c r="D8" s="3444" t="s">
        <v>2014</v>
      </c>
      <c r="E8" s="2034" t="s">
        <v>3067</v>
      </c>
      <c r="F8" s="2035"/>
      <c r="G8" s="1994"/>
      <c r="H8" s="1994"/>
      <c r="I8" s="1994"/>
      <c r="J8" s="1999"/>
      <c r="K8" s="2101"/>
      <c r="L8" s="1995"/>
      <c r="M8" s="1995"/>
      <c r="N8" s="1197"/>
      <c r="O8" s="11"/>
      <c r="P8" s="1197"/>
      <c r="Q8" s="1197"/>
      <c r="R8" s="1197"/>
    </row>
    <row r="9" spans="1:19" ht="18" customHeight="1" thickBot="1">
      <c r="A9" s="1953" t="s">
        <v>1953</v>
      </c>
      <c r="B9" s="1954" t="s">
        <v>3067</v>
      </c>
      <c r="C9" s="2003"/>
      <c r="D9" s="3445"/>
      <c r="E9" s="1954"/>
      <c r="F9" s="2887"/>
      <c r="G9" s="1998"/>
      <c r="H9" s="1998"/>
      <c r="I9" s="1998"/>
      <c r="J9" s="1999"/>
      <c r="K9" s="2102"/>
      <c r="L9" s="1995"/>
      <c r="M9" s="1995"/>
      <c r="N9" s="1197"/>
      <c r="O9" s="11"/>
      <c r="P9" s="1197"/>
      <c r="Q9" s="1197"/>
      <c r="R9" s="1197"/>
    </row>
    <row r="10" spans="1:19" ht="18" customHeight="1" thickTop="1">
      <c r="A10" s="2008" t="s">
        <v>2062</v>
      </c>
      <c r="B10" s="2054" t="s">
        <v>3068</v>
      </c>
      <c r="C10" s="2036"/>
      <c r="D10" s="2000"/>
      <c r="E10" s="1938" t="s">
        <v>1954</v>
      </c>
      <c r="F10" s="1951" t="s">
        <v>3089</v>
      </c>
      <c r="G10" s="2885"/>
      <c r="H10" s="2886"/>
      <c r="I10" s="2000"/>
      <c r="J10" s="1999"/>
      <c r="K10" s="2102"/>
      <c r="L10" s="1995"/>
      <c r="M10" s="1995"/>
      <c r="N10" s="1197"/>
      <c r="O10" s="11"/>
      <c r="P10" s="1197"/>
      <c r="Q10" s="1197"/>
      <c r="R10" s="1197"/>
    </row>
    <row r="11" spans="1:19" ht="18" customHeight="1">
      <c r="A11" s="1957" t="s">
        <v>2063</v>
      </c>
      <c r="B11" s="2053" t="s">
        <v>3069</v>
      </c>
      <c r="C11" s="2037"/>
      <c r="D11" s="2004"/>
      <c r="E11" s="1999"/>
      <c r="F11" s="1999"/>
      <c r="G11" s="1999"/>
      <c r="H11" s="1999"/>
      <c r="I11" s="1999"/>
      <c r="J11" s="1999"/>
      <c r="K11" s="2102"/>
      <c r="L11" s="1995"/>
      <c r="M11" s="1995"/>
      <c r="N11" s="1197"/>
      <c r="O11" s="11"/>
      <c r="P11" s="1197"/>
      <c r="Q11" s="1197"/>
      <c r="R11" s="1197"/>
    </row>
    <row r="12" spans="1:19" ht="18" customHeight="1">
      <c r="A12" s="2052" t="s">
        <v>2089</v>
      </c>
      <c r="B12" s="2053" t="s">
        <v>2025</v>
      </c>
      <c r="C12" s="2011" t="s">
        <v>2093</v>
      </c>
      <c r="D12" s="2023" t="s">
        <v>1946</v>
      </c>
      <c r="E12" s="2023" t="s">
        <v>2707</v>
      </c>
      <c r="F12" s="2023" t="s">
        <v>2708</v>
      </c>
      <c r="G12" s="2023" t="s">
        <v>2709</v>
      </c>
      <c r="H12" s="2023" t="s">
        <v>2710</v>
      </c>
      <c r="I12" s="2023" t="s">
        <v>2711</v>
      </c>
      <c r="J12" s="1999"/>
      <c r="K12" s="2102"/>
      <c r="L12" s="1995"/>
      <c r="M12" s="1995"/>
      <c r="N12" s="1197"/>
      <c r="O12" s="11"/>
      <c r="P12" s="1197"/>
      <c r="Q12" s="1197"/>
      <c r="R12" s="1197"/>
    </row>
    <row r="13" spans="1:19" ht="18" customHeight="1" thickBot="1">
      <c r="A13" s="2007"/>
      <c r="B13" s="2082"/>
      <c r="C13" s="2083" t="s">
        <v>2092</v>
      </c>
      <c r="D13" s="3228"/>
      <c r="E13" s="3228">
        <v>49185</v>
      </c>
      <c r="F13" s="3370">
        <v>52838</v>
      </c>
      <c r="G13" s="3228"/>
      <c r="H13" s="3228"/>
      <c r="I13" s="2048"/>
      <c r="J13" s="1999"/>
      <c r="K13" s="2102"/>
      <c r="L13" s="1995"/>
      <c r="M13" s="1995"/>
      <c r="N13" s="1197"/>
      <c r="O13" s="11"/>
      <c r="P13" s="1197"/>
      <c r="Q13" s="1197"/>
      <c r="R13" s="1197"/>
    </row>
    <row r="14" spans="1:19" ht="18" customHeight="1">
      <c r="A14" s="2007"/>
      <c r="B14" s="2082"/>
      <c r="C14" s="2083" t="s">
        <v>2094</v>
      </c>
      <c r="D14" s="2051"/>
      <c r="E14" s="2051">
        <v>40</v>
      </c>
      <c r="F14" s="2051">
        <v>50</v>
      </c>
      <c r="G14" s="2051"/>
      <c r="H14" s="2051"/>
      <c r="I14" s="2051"/>
      <c r="J14" s="1999"/>
      <c r="K14" s="2103"/>
      <c r="L14" s="1995"/>
      <c r="M14" s="1995"/>
      <c r="N14" s="1197"/>
      <c r="O14" s="11"/>
      <c r="P14" s="1197"/>
      <c r="Q14" s="1197"/>
      <c r="R14" s="1197"/>
    </row>
    <row r="15" spans="1:19" ht="18" customHeight="1">
      <c r="A15" s="2008"/>
      <c r="B15" s="2084"/>
      <c r="C15" s="2083" t="s">
        <v>2095</v>
      </c>
      <c r="D15" s="2050" t="str">
        <f>IF(B12="出让",IF(D13="","",ROUNDDOWN(MIN((D13-$D$3)/365,D14),2)),D14)</f>
        <v/>
      </c>
      <c r="E15" s="2050">
        <f>IF(B12="出让",IF(E13="","",ROUNDDOWN(MIN((E13-$D$3)/365,E14),2)),E14)</f>
        <v>17.04</v>
      </c>
      <c r="F15" s="2050">
        <f>IF(B12="出让",IF(F13="","",ROUNDDOWN(MIN((F13-$D$3)/365,F14),2)),F14)</f>
        <v>27.05</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2096</v>
      </c>
      <c r="B16" s="3451" t="s">
        <v>3071</v>
      </c>
      <c r="C16" s="3452"/>
      <c r="D16" s="3453"/>
      <c r="E16" s="1955" t="s">
        <v>2026</v>
      </c>
      <c r="F16" s="3454" t="s">
        <v>3070</v>
      </c>
      <c r="G16" s="3455"/>
      <c r="H16" s="3455"/>
      <c r="I16" s="3456"/>
      <c r="J16" s="1197"/>
      <c r="K16" s="2104"/>
      <c r="L16" s="1231"/>
      <c r="M16" s="1231"/>
      <c r="N16" s="2019"/>
      <c r="O16" s="1231"/>
      <c r="P16" s="2019"/>
      <c r="Q16" s="1197"/>
      <c r="R16" s="1197"/>
    </row>
    <row r="17" spans="1:22" ht="18" customHeight="1">
      <c r="A17" s="2006" t="s">
        <v>1955</v>
      </c>
      <c r="B17" s="1939" t="s">
        <v>1956</v>
      </c>
      <c r="C17" s="2085">
        <f>'数据-汇总表'!E3</f>
        <v>2099.0100000000002</v>
      </c>
      <c r="D17" s="1940" t="s">
        <v>1957</v>
      </c>
      <c r="E17" s="3457" t="s">
        <v>2013</v>
      </c>
      <c r="F17" s="3458"/>
      <c r="G17" s="3458"/>
      <c r="H17" s="3458"/>
      <c r="I17" s="3459"/>
      <c r="J17" s="1197"/>
      <c r="K17" s="2694"/>
      <c r="L17" s="1231"/>
      <c r="M17" s="1231"/>
      <c r="N17" s="2019"/>
      <c r="O17" s="1231"/>
      <c r="P17" s="2019"/>
      <c r="Q17" s="1197"/>
      <c r="R17" s="1197"/>
      <c r="S17" s="1197"/>
      <c r="T17" s="1197"/>
      <c r="U17" s="1197"/>
      <c r="V17" s="1197"/>
    </row>
    <row r="18" spans="1:22" ht="36" customHeight="1" thickBot="1">
      <c r="A18" s="2893" t="s">
        <v>2703</v>
      </c>
      <c r="B18" s="1923" t="s">
        <v>1958</v>
      </c>
      <c r="C18" s="2894">
        <f>'数据-汇总表'!D3</f>
        <v>0</v>
      </c>
      <c r="D18" s="2895" t="s">
        <v>1957</v>
      </c>
      <c r="E18" s="3460" t="s">
        <v>3013</v>
      </c>
      <c r="F18" s="3461"/>
      <c r="G18" s="3461"/>
      <c r="H18" s="3461"/>
      <c r="I18" s="3462"/>
      <c r="J18" s="1197"/>
      <c r="K18" s="2694"/>
      <c r="L18" s="1231"/>
      <c r="M18" s="1231"/>
      <c r="N18" s="2019"/>
      <c r="O18" s="1231"/>
      <c r="P18" s="2019"/>
      <c r="Q18" s="1197"/>
      <c r="R18" s="1197"/>
      <c r="S18" s="1197"/>
      <c r="T18" s="1197"/>
      <c r="U18" s="1197"/>
      <c r="V18" s="1197"/>
    </row>
    <row r="19" spans="1:22" ht="37.5" customHeight="1" thickTop="1" thickBot="1">
      <c r="A19" s="2892" t="s">
        <v>2043</v>
      </c>
      <c r="B19" s="2059" t="s">
        <v>2044</v>
      </c>
      <c r="C19" s="2060" t="s">
        <v>41</v>
      </c>
      <c r="D19" s="2042" t="s">
        <v>2047</v>
      </c>
      <c r="E19" s="2041" t="s">
        <v>530</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2048</v>
      </c>
      <c r="B20" s="3447" t="s">
        <v>2049</v>
      </c>
      <c r="C20" s="3448"/>
      <c r="D20" s="3449" t="s">
        <v>2050</v>
      </c>
      <c r="E20" s="3450"/>
      <c r="F20" s="2067" t="s">
        <v>2051</v>
      </c>
      <c r="G20" s="1999"/>
      <c r="H20" s="1999"/>
      <c r="I20" s="1999"/>
      <c r="J20" s="1999"/>
      <c r="K20" s="3446" t="s">
        <v>2046</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2052</v>
      </c>
      <c r="C21" s="2031" t="s">
        <v>2054</v>
      </c>
      <c r="D21" s="1988" t="s">
        <v>2055</v>
      </c>
      <c r="E21" s="2032" t="s">
        <v>530</v>
      </c>
      <c r="F21" s="1977"/>
      <c r="G21" s="1999"/>
      <c r="H21" s="1999"/>
      <c r="I21" s="1999"/>
      <c r="J21" s="1999"/>
      <c r="K21" s="3446"/>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2053</v>
      </c>
      <c r="C22" s="2031" t="s">
        <v>2054</v>
      </c>
      <c r="D22" s="1994"/>
      <c r="E22" s="1994"/>
      <c r="F22" s="2068"/>
      <c r="G22" s="1999"/>
      <c r="H22" s="1999"/>
      <c r="I22" s="1999"/>
      <c r="J22" s="1999"/>
      <c r="K22" s="3446"/>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2056</v>
      </c>
      <c r="B23" s="2064" t="s">
        <v>2057</v>
      </c>
      <c r="C23" s="2065"/>
      <c r="D23" s="1978" t="s">
        <v>2057</v>
      </c>
      <c r="E23" s="1986"/>
      <c r="F23" s="2068"/>
      <c r="G23" s="1999"/>
      <c r="H23" s="1999"/>
      <c r="I23" s="1999"/>
      <c r="J23" s="1999"/>
      <c r="K23" s="226"/>
      <c r="L23" s="2608"/>
      <c r="M23" s="1995"/>
      <c r="N23" s="2019"/>
      <c r="O23" s="1231"/>
      <c r="P23" s="2019"/>
      <c r="Q23" s="1197"/>
      <c r="R23" s="1197"/>
      <c r="S23" s="1197"/>
      <c r="T23" s="1197"/>
      <c r="U23" s="1197"/>
      <c r="V23" s="1197"/>
    </row>
    <row r="24" spans="1:22" ht="18" customHeight="1">
      <c r="A24" s="1979"/>
      <c r="B24" s="2064" t="s">
        <v>2058</v>
      </c>
      <c r="C24" s="2066"/>
      <c r="D24" s="1976" t="s">
        <v>2058</v>
      </c>
      <c r="E24" s="1987"/>
      <c r="F24" s="2068"/>
      <c r="G24" s="1999"/>
      <c r="H24" s="1999"/>
      <c r="I24" s="1999"/>
      <c r="J24" s="1999"/>
      <c r="K24" s="226"/>
      <c r="L24" s="2608"/>
      <c r="M24" s="1995"/>
      <c r="N24" s="2019"/>
      <c r="O24" s="1231"/>
      <c r="P24" s="2019"/>
      <c r="Q24" s="1197"/>
      <c r="R24" s="1197"/>
      <c r="S24" s="1197"/>
      <c r="T24" s="1197"/>
      <c r="U24" s="1197"/>
      <c r="V24" s="1197"/>
    </row>
    <row r="25" spans="1:22" ht="18" customHeight="1">
      <c r="A25" s="1979"/>
      <c r="B25" s="2064" t="s">
        <v>2059</v>
      </c>
      <c r="C25" s="2066"/>
      <c r="D25" s="1976" t="s">
        <v>2059</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2060</v>
      </c>
      <c r="C26" s="2070"/>
      <c r="D26" s="2058" t="s">
        <v>2060</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34" t="s">
        <v>2064</v>
      </c>
      <c r="B27" s="2008" t="s">
        <v>2065</v>
      </c>
      <c r="C27" s="1929" t="s">
        <v>3072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34"/>
      <c r="B28" s="1939" t="s">
        <v>2066</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34"/>
      <c r="B29" s="1939" t="s">
        <v>2067</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35"/>
      <c r="B30" s="1939" t="s">
        <v>2068</v>
      </c>
      <c r="C30" s="3436"/>
      <c r="D30" s="3437"/>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38" t="s">
        <v>2069</v>
      </c>
      <c r="B31" s="1935" t="s">
        <v>3073</v>
      </c>
      <c r="C31" s="1936" t="str">
        <f>IF(B31="现房","成新及维护状况正常否",IF(B31="在建","工程状态是否正常",IF(B31="土地","是否闲置","-")))</f>
        <v>成新及维护状况正常否</v>
      </c>
      <c r="D31" s="2009"/>
      <c r="E31" s="1937" t="s">
        <v>3074</v>
      </c>
      <c r="F31" s="1999"/>
      <c r="G31" s="1999"/>
      <c r="H31" s="1999"/>
      <c r="I31" s="1999"/>
      <c r="J31" s="1999"/>
      <c r="K31" s="2106"/>
      <c r="L31" s="1995"/>
      <c r="M31" s="1995"/>
      <c r="N31" s="1197"/>
      <c r="O31" s="11"/>
      <c r="P31" s="1197"/>
      <c r="Q31" s="1197"/>
      <c r="R31" s="1197"/>
      <c r="S31" s="1197"/>
      <c r="T31" s="1197"/>
      <c r="U31" s="1197"/>
      <c r="V31" s="1197"/>
    </row>
    <row r="32" spans="1:22" ht="18" customHeight="1">
      <c r="A32" s="3439"/>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39"/>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2027</v>
      </c>
      <c r="B34" s="1959" t="s">
        <v>3075</v>
      </c>
      <c r="C34" s="1959" t="s">
        <v>3076</v>
      </c>
      <c r="D34" s="1959" t="s">
        <v>3077</v>
      </c>
      <c r="E34" s="1959" t="s">
        <v>3078</v>
      </c>
      <c r="F34" s="1959" t="s">
        <v>3079</v>
      </c>
      <c r="G34" s="1959" t="s">
        <v>3080</v>
      </c>
      <c r="H34" s="1959"/>
      <c r="I34" s="1999"/>
      <c r="J34" s="1999"/>
      <c r="K34" s="2882">
        <f>COUNTIF(B34:H34,"——")</f>
        <v>0</v>
      </c>
      <c r="L34" s="2011" t="s">
        <v>2098</v>
      </c>
      <c r="M34" s="2011" t="s">
        <v>2099</v>
      </c>
      <c r="N34" s="2011" t="s">
        <v>2100</v>
      </c>
      <c r="O34" s="2011" t="s">
        <v>2101</v>
      </c>
      <c r="P34" s="2011" t="s">
        <v>2102</v>
      </c>
      <c r="Q34" s="2011" t="s">
        <v>2103</v>
      </c>
      <c r="R34" s="2011" t="s">
        <v>2104</v>
      </c>
      <c r="S34" s="3433" t="s">
        <v>2105</v>
      </c>
      <c r="T34" s="2012" t="str">
        <f>NUMBERSTRING(7-K34,1)&amp;"通"</f>
        <v>七通</v>
      </c>
      <c r="U34" s="1197"/>
      <c r="V34" s="1197"/>
    </row>
    <row r="35" spans="1:22" ht="18" customHeight="1">
      <c r="A35" s="2013"/>
      <c r="B35" s="3440" t="s">
        <v>1871</v>
      </c>
      <c r="C35" s="3440"/>
      <c r="D35" s="3440"/>
      <c r="E35" s="3440"/>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33"/>
      <c r="T35" s="23" t="str">
        <f>IF(T34="一通",L35,IF(T34="二通",M35,IF(T34="三通",N35,IF(T34="四通",O35,IF(T34="五通",P35,IF(T34="六通",Q35,R35))))))</f>
        <v>通路、通电、通讯、通上水、通下水、燃气、</v>
      </c>
      <c r="U35" s="1197"/>
      <c r="V35" s="1197"/>
    </row>
    <row r="36" spans="1:22" ht="18" customHeight="1">
      <c r="A36" s="2015"/>
      <c r="B36" s="2014" t="s">
        <v>1951</v>
      </c>
      <c r="C36" s="2014" t="s">
        <v>1947</v>
      </c>
      <c r="D36" s="2014" t="s">
        <v>1946</v>
      </c>
      <c r="E36" s="2014" t="s">
        <v>1948</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1870</v>
      </c>
      <c r="B37" s="2018" t="s">
        <v>1454</v>
      </c>
      <c r="C37" s="2018" t="s">
        <v>1454</v>
      </c>
      <c r="D37" s="2018" t="s">
        <v>1454</v>
      </c>
      <c r="E37" s="2018" t="s">
        <v>1454</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1872</v>
      </c>
      <c r="B38" s="2046" t="s">
        <v>1356</v>
      </c>
      <c r="C38" s="2046" t="s">
        <v>1356</v>
      </c>
      <c r="D38" s="2046" t="s">
        <v>1356</v>
      </c>
      <c r="E38" s="2046" t="s">
        <v>1356</v>
      </c>
      <c r="F38" s="2047"/>
      <c r="G38" s="1998"/>
      <c r="H38" s="1998"/>
      <c r="I38" s="1998"/>
      <c r="J38" s="1999"/>
      <c r="K38" s="2102"/>
      <c r="L38" s="1995"/>
      <c r="M38" s="1995"/>
      <c r="N38" s="1197"/>
      <c r="O38" s="11"/>
      <c r="P38" s="1197"/>
      <c r="Q38" s="1197"/>
      <c r="R38" s="1197"/>
      <c r="S38" s="1197"/>
      <c r="T38" s="1197"/>
      <c r="U38" s="1197"/>
      <c r="V38" s="1197"/>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2070</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9"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9"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9"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9"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9"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9"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9"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2406</v>
      </c>
      <c r="AZ2" s="2518" t="s">
        <v>2407</v>
      </c>
      <c r="BA2" s="2519"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A14+A15+A16</f>
        <v>0</v>
      </c>
      <c r="B3" s="302">
        <f>IF(C3="否",G5-AT5,G5)</f>
        <v>12892.840000000002</v>
      </c>
      <c r="C3" s="219" t="s">
        <v>530</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12892.840000000002</v>
      </c>
      <c r="H5" s="305">
        <f t="shared" ref="H5:AT5" si="0">SUM(H13:H656)</f>
        <v>12892.840000000002</v>
      </c>
      <c r="I5" s="305">
        <f t="shared" si="0"/>
        <v>12892.840000000002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2099.0100000000002</v>
      </c>
      <c r="BA5" s="307">
        <f t="shared" si="1"/>
        <v>2099.0100000000002</v>
      </c>
      <c r="BB5" s="307">
        <f t="shared" si="1"/>
        <v>2099.0100000000002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0</v>
      </c>
      <c r="AZ6" s="305" t="s">
        <v>29</v>
      </c>
      <c r="BA6" s="305">
        <f t="shared" ref="BA6:BT6" si="4">ROUND($AY$6*BA5/$AZ$5,2)</f>
        <v>0</v>
      </c>
      <c r="BB6" s="305">
        <f t="shared" si="4"/>
        <v>0</v>
      </c>
      <c r="BC6" s="305">
        <f t="shared" si="4"/>
        <v>0</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3081</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3042</v>
      </c>
      <c r="L10" s="245"/>
      <c r="M10" s="252" t="s">
        <v>141</v>
      </c>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3083</v>
      </c>
      <c r="L11" s="259"/>
      <c r="M11" s="258" t="s">
        <v>3082</v>
      </c>
      <c r="N11" s="259"/>
      <c r="O11" s="258"/>
      <c r="P11" s="259"/>
      <c r="Q11" s="258"/>
      <c r="R11" s="259"/>
      <c r="S11" s="258"/>
      <c r="T11" s="259"/>
      <c r="U11" s="258"/>
      <c r="V11" s="259"/>
      <c r="W11" s="258"/>
      <c r="X11" s="259"/>
      <c r="Y11" s="258"/>
      <c r="Z11" s="259"/>
      <c r="AA11" s="258"/>
      <c r="AB11" s="259"/>
      <c r="AC11" s="240"/>
      <c r="AD11" s="2510" t="s">
        <v>2395</v>
      </c>
      <c r="AE11" s="2489"/>
      <c r="AF11" s="2510" t="s">
        <v>2395</v>
      </c>
      <c r="AG11" s="2489"/>
      <c r="AH11" s="2510" t="s">
        <v>2396</v>
      </c>
      <c r="AI11" s="2511"/>
      <c r="AJ11" s="2510"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2.5" customHeight="1">
      <c r="A13" s="216"/>
      <c r="B13" s="216"/>
      <c r="C13" s="216" t="s">
        <v>3121</v>
      </c>
      <c r="D13" s="217" t="s">
        <v>3053</v>
      </c>
      <c r="E13" s="305">
        <f t="shared" ref="E13:E76" si="5">IF($C$3="是",ROUND($A$3*G13/$B$3,2),ROUND($A$3*(G13-AT13)/$B$3,2))</f>
        <v>0</v>
      </c>
      <c r="F13" s="321"/>
      <c r="G13" s="322">
        <f t="shared" ref="G13:G76" si="6">H13+AC13+AT13</f>
        <v>2099.0100000000002</v>
      </c>
      <c r="H13" s="309">
        <f t="shared" ref="H13:H76" si="7">SUMIF(I$12:AB$12,"总值",I13:AB13)</f>
        <v>2099.0100000000002</v>
      </c>
      <c r="I13" s="1418">
        <v>2099.0100000000002</v>
      </c>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t="str">
        <f t="shared" ref="AX13:AX76" si="11">C13</f>
        <v>三层</v>
      </c>
      <c r="AY13" s="304">
        <f t="shared" ref="AY13:AY76" si="12">ROUND($AY$6*AZ13/$AZ$5,2)</f>
        <v>0</v>
      </c>
      <c r="AZ13" s="305">
        <f t="shared" ref="AZ13:AZ76" si="13">BA13+BL13</f>
        <v>2099.0100000000002</v>
      </c>
      <c r="BA13" s="305">
        <f t="shared" ref="BA13:BA76" si="14">SUM(BB13:BK13)</f>
        <v>2099.0100000000002</v>
      </c>
      <c r="BB13" s="305">
        <f t="shared" ref="BB13:BB76" si="15">IF($D13="是",I13-J13,0)</f>
        <v>2099.0100000000002</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4.25" customHeight="1">
      <c r="A14" s="216"/>
      <c r="B14" s="216"/>
      <c r="C14" s="3371" t="s">
        <v>3109</v>
      </c>
      <c r="D14" s="217" t="s">
        <v>41</v>
      </c>
      <c r="E14" s="305">
        <f t="shared" si="5"/>
        <v>0</v>
      </c>
      <c r="F14" s="321"/>
      <c r="G14" s="322">
        <f t="shared" si="6"/>
        <v>390.54</v>
      </c>
      <c r="H14" s="309">
        <f t="shared" si="7"/>
        <v>390.54</v>
      </c>
      <c r="I14" s="1418">
        <v>390.54</v>
      </c>
      <c r="J14" s="1418"/>
      <c r="K14" s="1418"/>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0</v>
      </c>
      <c r="AW14" s="82">
        <f t="shared" si="10"/>
        <v>0</v>
      </c>
      <c r="AX14" s="82" t="str">
        <f t="shared" si="11"/>
        <v>520、524、526-528</v>
      </c>
      <c r="AY14" s="304">
        <f t="shared" si="12"/>
        <v>0</v>
      </c>
      <c r="AZ14" s="305">
        <f t="shared" si="13"/>
        <v>0</v>
      </c>
      <c r="BA14" s="305">
        <f t="shared" si="14"/>
        <v>0</v>
      </c>
      <c r="BB14" s="305">
        <f t="shared" si="15"/>
        <v>0</v>
      </c>
      <c r="BC14" s="305">
        <f t="shared" si="16"/>
        <v>0</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24">
      <c r="A15" s="216"/>
      <c r="B15" s="216"/>
      <c r="C15" s="3371" t="s">
        <v>3110</v>
      </c>
      <c r="D15" s="217" t="s">
        <v>41</v>
      </c>
      <c r="E15" s="305">
        <f t="shared" si="5"/>
        <v>0</v>
      </c>
      <c r="F15" s="321"/>
      <c r="G15" s="322">
        <f t="shared" si="6"/>
        <v>1136.8499999999999</v>
      </c>
      <c r="H15" s="309">
        <f t="shared" si="7"/>
        <v>1136.8499999999999</v>
      </c>
      <c r="I15" s="1418">
        <v>1136.8499999999999</v>
      </c>
      <c r="J15" s="1418"/>
      <c r="K15" s="1418"/>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0</v>
      </c>
      <c r="AW15" s="82">
        <f t="shared" si="10"/>
        <v>0</v>
      </c>
      <c r="AX15" s="82" t="str">
        <f t="shared" si="11"/>
        <v>701-715、725-726</v>
      </c>
      <c r="AY15" s="304">
        <f t="shared" si="12"/>
        <v>0</v>
      </c>
      <c r="AZ15" s="305">
        <f t="shared" si="13"/>
        <v>0</v>
      </c>
      <c r="BA15" s="305">
        <f t="shared" si="14"/>
        <v>0</v>
      </c>
      <c r="BB15" s="305">
        <f t="shared" si="15"/>
        <v>0</v>
      </c>
      <c r="BC15" s="305">
        <f t="shared" si="16"/>
        <v>0</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24">
      <c r="A16" s="216"/>
      <c r="B16" s="216"/>
      <c r="C16" s="3371" t="s">
        <v>3111</v>
      </c>
      <c r="D16" s="217" t="s">
        <v>41</v>
      </c>
      <c r="E16" s="305">
        <f t="shared" si="5"/>
        <v>0</v>
      </c>
      <c r="F16" s="321"/>
      <c r="G16" s="322">
        <f t="shared" si="6"/>
        <v>522.15</v>
      </c>
      <c r="H16" s="309">
        <f t="shared" si="7"/>
        <v>522.15</v>
      </c>
      <c r="I16" s="1418">
        <v>522.15</v>
      </c>
      <c r="J16" s="1418"/>
      <c r="K16" s="1418"/>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0</v>
      </c>
      <c r="AW16" s="82">
        <f t="shared" si="10"/>
        <v>0</v>
      </c>
      <c r="AX16" s="82" t="str">
        <f t="shared" si="11"/>
        <v>807-809、812-817</v>
      </c>
      <c r="AY16" s="304">
        <f t="shared" si="12"/>
        <v>0</v>
      </c>
      <c r="AZ16" s="305">
        <f t="shared" si="13"/>
        <v>0</v>
      </c>
      <c r="BA16" s="305">
        <f t="shared" si="14"/>
        <v>0</v>
      </c>
      <c r="BB16" s="305">
        <f t="shared" si="15"/>
        <v>0</v>
      </c>
      <c r="BC16" s="305">
        <f t="shared" si="16"/>
        <v>0</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ht="36">
      <c r="A17" s="3368"/>
      <c r="B17" s="3369"/>
      <c r="C17" s="3371" t="s">
        <v>3112</v>
      </c>
      <c r="D17" s="217" t="s">
        <v>41</v>
      </c>
      <c r="E17" s="305">
        <f t="shared" si="5"/>
        <v>0</v>
      </c>
      <c r="F17" s="321"/>
      <c r="G17" s="322">
        <f t="shared" si="6"/>
        <v>747.51</v>
      </c>
      <c r="H17" s="309">
        <f t="shared" si="7"/>
        <v>747.51</v>
      </c>
      <c r="I17" s="3368">
        <v>747.51</v>
      </c>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t="str">
        <f t="shared" si="11"/>
        <v>903-909、912-915、920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4.25">
      <c r="A18" s="3368"/>
      <c r="B18" s="3368"/>
      <c r="C18" s="3371">
        <v>921</v>
      </c>
      <c r="D18" s="217" t="s">
        <v>41</v>
      </c>
      <c r="E18" s="324">
        <f t="shared" si="5"/>
        <v>0</v>
      </c>
      <c r="F18" s="325"/>
      <c r="G18" s="326">
        <f t="shared" si="6"/>
        <v>71.09</v>
      </c>
      <c r="H18" s="327">
        <f t="shared" si="7"/>
        <v>71.09</v>
      </c>
      <c r="I18" s="3368">
        <v>71.09</v>
      </c>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921</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40.5">
      <c r="A19" s="3368"/>
      <c r="B19" s="3368"/>
      <c r="C19" s="3371" t="s">
        <v>3113</v>
      </c>
      <c r="D19" s="217" t="s">
        <v>41</v>
      </c>
      <c r="E19" s="324">
        <f t="shared" si="5"/>
        <v>0</v>
      </c>
      <c r="F19" s="325"/>
      <c r="G19" s="326">
        <f t="shared" si="6"/>
        <v>659.19</v>
      </c>
      <c r="H19" s="327">
        <f t="shared" si="7"/>
        <v>659.19</v>
      </c>
      <c r="I19" s="3368">
        <v>659.19</v>
      </c>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t="str">
        <f t="shared" si="11"/>
        <v>1105-1110、1112-1115</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4.25">
      <c r="A20" s="3368"/>
      <c r="B20" s="3368"/>
      <c r="C20" s="3371">
        <v>1125</v>
      </c>
      <c r="D20" s="217" t="s">
        <v>41</v>
      </c>
      <c r="E20" s="324">
        <f t="shared" si="5"/>
        <v>0</v>
      </c>
      <c r="F20" s="325"/>
      <c r="G20" s="326">
        <f t="shared" si="6"/>
        <v>80.91</v>
      </c>
      <c r="H20" s="327">
        <f t="shared" si="7"/>
        <v>80.91</v>
      </c>
      <c r="I20" s="3368">
        <v>80.91</v>
      </c>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1125</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4.25">
      <c r="A21" s="3368"/>
      <c r="B21" s="3368"/>
      <c r="C21" s="3371">
        <v>1126</v>
      </c>
      <c r="D21" s="217" t="s">
        <v>41</v>
      </c>
      <c r="E21" s="324">
        <f t="shared" si="5"/>
        <v>0</v>
      </c>
      <c r="F21" s="325"/>
      <c r="G21" s="326">
        <f t="shared" si="6"/>
        <v>80.17</v>
      </c>
      <c r="H21" s="327">
        <f t="shared" si="7"/>
        <v>80.17</v>
      </c>
      <c r="I21" s="3368">
        <v>80.17</v>
      </c>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1126</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371" t="s">
        <v>3114</v>
      </c>
      <c r="D22" s="217" t="s">
        <v>41</v>
      </c>
      <c r="E22" s="324">
        <f t="shared" si="5"/>
        <v>0</v>
      </c>
      <c r="F22" s="325"/>
      <c r="G22" s="326">
        <f t="shared" si="6"/>
        <v>525.14</v>
      </c>
      <c r="H22" s="327">
        <f t="shared" si="7"/>
        <v>525.14</v>
      </c>
      <c r="I22" s="328">
        <v>525.14</v>
      </c>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t="str">
        <f t="shared" si="11"/>
        <v>1206-1212</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4.25">
      <c r="A23" s="3368"/>
      <c r="B23" s="3368"/>
      <c r="C23" s="3371" t="s">
        <v>3115</v>
      </c>
      <c r="D23" s="217" t="s">
        <v>41</v>
      </c>
      <c r="E23" s="324">
        <f t="shared" si="5"/>
        <v>0</v>
      </c>
      <c r="F23" s="325"/>
      <c r="G23" s="326">
        <f t="shared" si="6"/>
        <v>35.47</v>
      </c>
      <c r="H23" s="327">
        <f t="shared" si="7"/>
        <v>35.47</v>
      </c>
      <c r="I23" s="3368">
        <v>35.47</v>
      </c>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t="str">
        <f t="shared" si="11"/>
        <v>1212A</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4.25">
      <c r="A24" s="3368"/>
      <c r="B24" s="3368"/>
      <c r="C24" s="3371">
        <v>1214</v>
      </c>
      <c r="D24" s="217" t="s">
        <v>41</v>
      </c>
      <c r="E24" s="324">
        <f t="shared" si="5"/>
        <v>0</v>
      </c>
      <c r="F24" s="325"/>
      <c r="G24" s="326">
        <f t="shared" si="6"/>
        <v>73.42</v>
      </c>
      <c r="H24" s="327">
        <f t="shared" si="7"/>
        <v>73.42</v>
      </c>
      <c r="I24" s="3368">
        <v>73.42</v>
      </c>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1214</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4.25">
      <c r="A25" s="3368"/>
      <c r="B25" s="3368"/>
      <c r="C25" s="3371" t="s">
        <v>3116</v>
      </c>
      <c r="D25" s="217" t="s">
        <v>41</v>
      </c>
      <c r="E25" s="324">
        <f t="shared" si="5"/>
        <v>0</v>
      </c>
      <c r="F25" s="325"/>
      <c r="G25" s="326">
        <f t="shared" si="6"/>
        <v>1776.4</v>
      </c>
      <c r="H25" s="327">
        <f t="shared" si="7"/>
        <v>1776.4</v>
      </c>
      <c r="I25" s="3368">
        <v>1776.4</v>
      </c>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t="str">
        <f t="shared" si="11"/>
        <v>13层</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40.5">
      <c r="A26" s="3368"/>
      <c r="B26" s="3368"/>
      <c r="C26" s="3371" t="s">
        <v>3117</v>
      </c>
      <c r="D26" s="217" t="s">
        <v>41</v>
      </c>
      <c r="E26" s="324">
        <f t="shared" si="5"/>
        <v>0</v>
      </c>
      <c r="F26" s="325"/>
      <c r="G26" s="326">
        <f t="shared" si="6"/>
        <v>309.33</v>
      </c>
      <c r="H26" s="327">
        <f t="shared" si="7"/>
        <v>309.33</v>
      </c>
      <c r="I26" s="3368">
        <v>309.33</v>
      </c>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t="str">
        <f t="shared" si="11"/>
        <v>1701、1709、1711-1712</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4.25">
      <c r="A27" s="3368"/>
      <c r="B27" s="3368"/>
      <c r="C27" s="3371">
        <v>1705</v>
      </c>
      <c r="D27" s="217" t="s">
        <v>41</v>
      </c>
      <c r="E27" s="324">
        <f t="shared" si="5"/>
        <v>0</v>
      </c>
      <c r="F27" s="325"/>
      <c r="G27" s="326">
        <f t="shared" si="6"/>
        <v>83.92</v>
      </c>
      <c r="H27" s="327">
        <f t="shared" si="7"/>
        <v>83.92</v>
      </c>
      <c r="I27" s="3368">
        <v>83.92</v>
      </c>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1705</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4.25">
      <c r="A28" s="3368"/>
      <c r="B28" s="3368"/>
      <c r="C28" s="3371">
        <v>1706</v>
      </c>
      <c r="D28" s="217" t="s">
        <v>41</v>
      </c>
      <c r="E28" s="324">
        <f t="shared" si="5"/>
        <v>0</v>
      </c>
      <c r="F28" s="325"/>
      <c r="G28" s="326">
        <f t="shared" si="6"/>
        <v>83.5</v>
      </c>
      <c r="H28" s="327">
        <f t="shared" si="7"/>
        <v>83.5</v>
      </c>
      <c r="I28" s="3368">
        <v>83.5</v>
      </c>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1706</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4.25">
      <c r="A29" s="3368"/>
      <c r="B29" s="3368"/>
      <c r="C29" s="3371">
        <v>1707</v>
      </c>
      <c r="D29" s="217" t="s">
        <v>41</v>
      </c>
      <c r="E29" s="324">
        <f t="shared" si="5"/>
        <v>0</v>
      </c>
      <c r="F29" s="325"/>
      <c r="G29" s="326">
        <f t="shared" si="6"/>
        <v>83.35</v>
      </c>
      <c r="H29" s="327">
        <f t="shared" si="7"/>
        <v>83.35</v>
      </c>
      <c r="I29" s="3368">
        <v>83.35</v>
      </c>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1707</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371">
        <v>1708</v>
      </c>
      <c r="D30" s="217" t="s">
        <v>41</v>
      </c>
      <c r="E30" s="324">
        <f t="shared" si="5"/>
        <v>0</v>
      </c>
      <c r="F30" s="325"/>
      <c r="G30" s="326">
        <f t="shared" si="6"/>
        <v>83.54</v>
      </c>
      <c r="H30" s="327">
        <f t="shared" si="7"/>
        <v>83.54</v>
      </c>
      <c r="I30" s="328">
        <v>83.54</v>
      </c>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1708</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4.25">
      <c r="A31" s="3368"/>
      <c r="B31" s="3368"/>
      <c r="C31" s="3371" t="s">
        <v>3118</v>
      </c>
      <c r="D31" s="217" t="s">
        <v>41</v>
      </c>
      <c r="E31" s="324">
        <f t="shared" si="5"/>
        <v>0</v>
      </c>
      <c r="F31" s="325"/>
      <c r="G31" s="326">
        <f t="shared" si="6"/>
        <v>1677.77</v>
      </c>
      <c r="H31" s="327">
        <f t="shared" si="7"/>
        <v>1677.77</v>
      </c>
      <c r="I31" s="3368">
        <v>1677.77</v>
      </c>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t="str">
        <f t="shared" si="11"/>
        <v>19层</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40.5">
      <c r="A32" s="3368"/>
      <c r="B32" s="3368"/>
      <c r="C32" s="3371" t="s">
        <v>3119</v>
      </c>
      <c r="D32" s="217" t="s">
        <v>41</v>
      </c>
      <c r="E32" s="324">
        <f t="shared" si="5"/>
        <v>0</v>
      </c>
      <c r="F32" s="325"/>
      <c r="G32" s="326">
        <f t="shared" si="6"/>
        <v>362.9</v>
      </c>
      <c r="H32" s="327">
        <f t="shared" si="7"/>
        <v>362.9</v>
      </c>
      <c r="I32" s="3368">
        <v>362.9</v>
      </c>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t="str">
        <f t="shared" si="11"/>
        <v>1807-1808、1812-1816</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27">
      <c r="A33" s="3368"/>
      <c r="B33" s="3368"/>
      <c r="C33" s="491" t="s">
        <v>3120</v>
      </c>
      <c r="D33" s="217" t="s">
        <v>41</v>
      </c>
      <c r="E33" s="324">
        <f t="shared" si="5"/>
        <v>0</v>
      </c>
      <c r="F33" s="325"/>
      <c r="G33" s="326">
        <f t="shared" si="6"/>
        <v>2010.68</v>
      </c>
      <c r="H33" s="327">
        <f t="shared" si="7"/>
        <v>2010.68</v>
      </c>
      <c r="I33" s="3368">
        <v>2010.68</v>
      </c>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t="str">
        <f t="shared" si="11"/>
        <v>1-8、员工宿舍</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6" t="s">
        <v>2</v>
      </c>
      <c r="B1" s="3406" t="s">
        <v>37</v>
      </c>
      <c r="C1" s="3406" t="s">
        <v>38</v>
      </c>
      <c r="D1" s="3463" t="s">
        <v>200</v>
      </c>
      <c r="E1" s="3463" t="s">
        <v>201</v>
      </c>
      <c r="F1" s="3463"/>
      <c r="G1" s="3463"/>
      <c r="H1" s="3463"/>
      <c r="I1" s="3463"/>
      <c r="J1" s="3463"/>
      <c r="K1" s="3463"/>
      <c r="L1" s="3463"/>
      <c r="M1" s="3463"/>
    </row>
    <row r="2" spans="1:13" ht="27" customHeight="1">
      <c r="A2" s="3406"/>
      <c r="B2" s="3406"/>
      <c r="C2" s="3406"/>
      <c r="D2" s="3463"/>
      <c r="E2" s="3463" t="s">
        <v>184</v>
      </c>
      <c r="F2" s="3463" t="s">
        <v>185</v>
      </c>
      <c r="G2" s="3463"/>
      <c r="H2" s="3463"/>
      <c r="I2" s="3463"/>
      <c r="J2" s="3463" t="s">
        <v>186</v>
      </c>
      <c r="K2" s="3463"/>
      <c r="L2" s="3463"/>
      <c r="M2" s="3463"/>
    </row>
    <row r="3" spans="1:13" ht="28.5">
      <c r="A3" s="3406"/>
      <c r="B3" s="3406"/>
      <c r="C3" s="3406"/>
      <c r="D3" s="3463"/>
      <c r="E3" s="3463"/>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3" t="s">
        <v>202</v>
      </c>
      <c r="B9" s="3463"/>
      <c r="C9" s="346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3" t="s">
        <v>642</v>
      </c>
      <c r="B2" s="3473"/>
      <c r="C2" s="3473"/>
      <c r="D2" s="2208" t="s">
        <v>643</v>
      </c>
      <c r="E2" s="19" t="s">
        <v>644</v>
      </c>
      <c r="F2" s="2224"/>
      <c r="G2" s="1180"/>
      <c r="H2" s="1181"/>
      <c r="I2" s="2216" t="s">
        <v>645</v>
      </c>
      <c r="J2" s="2224"/>
      <c r="K2" s="2224"/>
      <c r="L2" s="2224"/>
      <c r="M2" s="2224"/>
      <c r="N2" s="2233"/>
      <c r="O2" s="2224"/>
      <c r="P2" s="2224"/>
    </row>
    <row r="3" spans="1:16" ht="15.75" thickBot="1">
      <c r="A3" s="3474" t="s">
        <v>646</v>
      </c>
      <c r="B3" s="3474"/>
      <c r="C3" s="3474"/>
      <c r="D3" s="3384">
        <f>'数据-基础表'!AY6</f>
        <v>0</v>
      </c>
      <c r="E3" s="335">
        <f>'数据-基础表'!AZ5</f>
        <v>2099.0100000000002</v>
      </c>
      <c r="F3" s="2224"/>
      <c r="G3" s="442"/>
      <c r="H3" s="440" t="s">
        <v>647</v>
      </c>
      <c r="I3" s="344" t="e">
        <f>ROUND('数据-基础表'!B3/'数据-基础表'!A3,2)</f>
        <v>#DIV/0!</v>
      </c>
      <c r="J3" s="2224"/>
      <c r="K3" s="2224"/>
      <c r="L3" s="2224"/>
      <c r="M3" s="2224"/>
      <c r="N3" s="2233"/>
      <c r="O3" s="2224"/>
      <c r="P3" s="2224"/>
    </row>
    <row r="4" spans="1:16" ht="14.25">
      <c r="A4" s="3475"/>
      <c r="B4" s="3476"/>
      <c r="C4" s="3477"/>
      <c r="D4" s="20" t="s">
        <v>643</v>
      </c>
      <c r="E4" s="21" t="s">
        <v>644</v>
      </c>
      <c r="F4" s="2224"/>
      <c r="G4" s="1182" t="s">
        <v>1790</v>
      </c>
      <c r="H4" s="440" t="s">
        <v>648</v>
      </c>
      <c r="I4" s="344" t="e">
        <f>ROUND(SUMIF('数据-基础表'!I9:AS9,"地上",'数据-基础表'!I5:AS5)/'数据-基础表'!A3,2)</f>
        <v>#DIV/0!</v>
      </c>
      <c r="J4" s="2224"/>
      <c r="K4" s="2224"/>
      <c r="L4" s="2224"/>
      <c r="M4" s="2224"/>
      <c r="N4" s="2233"/>
      <c r="O4" s="2224"/>
      <c r="P4" s="2224"/>
    </row>
    <row r="5" spans="1:16" ht="14.25">
      <c r="A5" s="22" t="s">
        <v>649</v>
      </c>
      <c r="B5" s="3478" t="s">
        <v>650</v>
      </c>
      <c r="C5" s="3478"/>
      <c r="D5" s="337">
        <f>ROUND($D$3*E5/$E$3,2)</f>
        <v>0</v>
      </c>
      <c r="E5" s="338">
        <f>SUMIF('数据-基础表'!$11:$11,"住宅",'数据-基础表'!$5:$5)</f>
        <v>0</v>
      </c>
      <c r="F5" s="2224"/>
      <c r="G5" s="442"/>
      <c r="H5" s="440" t="s">
        <v>647</v>
      </c>
      <c r="I5" s="344" t="e">
        <f>ROUND(E31/D31,2)</f>
        <v>#DIV/0!</v>
      </c>
      <c r="J5" s="2224"/>
      <c r="K5" s="2224"/>
      <c r="L5" s="2224"/>
      <c r="M5" s="2224"/>
      <c r="N5" s="2224"/>
      <c r="O5" s="2224"/>
      <c r="P5" s="2224"/>
    </row>
    <row r="6" spans="1:16" ht="15" thickBot="1">
      <c r="A6" s="24"/>
      <c r="B6" s="3478" t="s">
        <v>651</v>
      </c>
      <c r="C6" s="3478"/>
      <c r="D6" s="337">
        <f>ROUND($D$3*E6/$E$3,2)</f>
        <v>0</v>
      </c>
      <c r="E6" s="338">
        <f>E3-E5</f>
        <v>2099.0100000000002</v>
      </c>
      <c r="F6" s="2224"/>
      <c r="G6" s="1758" t="s">
        <v>1791</v>
      </c>
      <c r="H6" s="442" t="s">
        <v>648</v>
      </c>
      <c r="I6" s="1759" t="e">
        <f>ROUND(F31/D31,2)</f>
        <v>#DIV/0!</v>
      </c>
      <c r="J6" s="2224"/>
      <c r="K6" s="2224"/>
      <c r="L6" s="2224"/>
      <c r="M6" s="2224"/>
      <c r="N6" s="2224"/>
      <c r="O6" s="2224"/>
      <c r="P6" s="2224"/>
    </row>
    <row r="7" spans="1:16" ht="14.25">
      <c r="A7" s="3470"/>
      <c r="B7" s="3471"/>
      <c r="C7" s="3472"/>
      <c r="D7" s="20" t="s">
        <v>643</v>
      </c>
      <c r="E7" s="25" t="s">
        <v>644</v>
      </c>
      <c r="F7" s="2224"/>
      <c r="G7" s="1180" t="s">
        <v>1869</v>
      </c>
      <c r="H7" s="38"/>
      <c r="I7" s="763" t="e">
        <f>I6</f>
        <v>#DIV/0!</v>
      </c>
      <c r="J7" s="2224"/>
      <c r="K7" s="2224"/>
      <c r="L7" s="2224"/>
      <c r="M7" s="2224"/>
      <c r="N7" s="2224"/>
      <c r="O7" s="2224"/>
      <c r="P7" s="2224"/>
    </row>
    <row r="8" spans="1:16" ht="14.25">
      <c r="A8" s="22" t="s">
        <v>652</v>
      </c>
      <c r="B8" s="26" t="s">
        <v>653</v>
      </c>
      <c r="C8" s="23" t="s">
        <v>654</v>
      </c>
      <c r="D8" s="337">
        <f t="shared" ref="D8:D15" si="0">ROUND($D$3*E8/$E$3,2)</f>
        <v>0</v>
      </c>
      <c r="E8" s="340">
        <f>SUMIF('数据-基础表'!BB10:BK10,"地上",'数据-基础表'!BB5:BK5)</f>
        <v>2099.0100000000002</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0</v>
      </c>
      <c r="E16" s="342">
        <f>SUM(E8:E15)</f>
        <v>2099.0100000000002</v>
      </c>
      <c r="F16" s="2224"/>
      <c r="G16" s="2225"/>
      <c r="H16" s="1179" t="s">
        <v>533</v>
      </c>
      <c r="I16" s="1183"/>
      <c r="J16" s="2224"/>
      <c r="K16" s="3467" t="s">
        <v>533</v>
      </c>
      <c r="L16" s="3468"/>
      <c r="M16" s="3468"/>
      <c r="N16" s="3468"/>
      <c r="O16" s="3468"/>
      <c r="P16" s="3469"/>
    </row>
    <row r="17" spans="1:19" ht="14.25">
      <c r="A17" s="29" t="s">
        <v>662</v>
      </c>
      <c r="B17" s="30" t="s">
        <v>663</v>
      </c>
      <c r="C17" s="34" t="s">
        <v>2388</v>
      </c>
      <c r="D17" s="2074" t="s">
        <v>643</v>
      </c>
      <c r="E17" s="2072" t="s">
        <v>644</v>
      </c>
      <c r="F17" s="36"/>
      <c r="G17" s="37"/>
      <c r="H17" s="1184" t="s">
        <v>664</v>
      </c>
      <c r="I17" s="1185" t="s">
        <v>207</v>
      </c>
      <c r="J17" s="2224"/>
      <c r="K17" s="3464" t="s">
        <v>670</v>
      </c>
      <c r="L17" s="3465"/>
      <c r="M17" s="3466"/>
      <c r="N17" s="3464" t="s">
        <v>2691</v>
      </c>
      <c r="O17" s="3465"/>
      <c r="P17" s="3466"/>
      <c r="R17" s="2483" t="s">
        <v>2389</v>
      </c>
      <c r="S17" s="354"/>
    </row>
    <row r="18" spans="1:19">
      <c r="A18" s="27"/>
      <c r="B18" s="31"/>
      <c r="C18" s="35"/>
      <c r="D18" s="2075"/>
      <c r="E18" s="2073" t="s">
        <v>665</v>
      </c>
      <c r="F18" s="15" t="s">
        <v>666</v>
      </c>
      <c r="G18" s="16" t="s">
        <v>667</v>
      </c>
      <c r="H18" s="1186" t="s">
        <v>668</v>
      </c>
      <c r="I18" s="1187" t="s">
        <v>669</v>
      </c>
      <c r="J18" s="2224"/>
      <c r="K18" s="1186" t="s">
        <v>2684</v>
      </c>
      <c r="L18" s="6" t="s">
        <v>2692</v>
      </c>
      <c r="M18" s="2801" t="s">
        <v>2690</v>
      </c>
      <c r="N18" s="1186" t="s">
        <v>2684</v>
      </c>
      <c r="O18" s="6" t="s">
        <v>2692</v>
      </c>
      <c r="P18" s="2801" t="s">
        <v>2690</v>
      </c>
      <c r="R18" s="2484" t="s">
        <v>2390</v>
      </c>
      <c r="S18" s="2484" t="s">
        <v>2391</v>
      </c>
    </row>
    <row r="19" spans="1:19" ht="14.25">
      <c r="A19" s="32"/>
      <c r="B19" s="26" t="s">
        <v>119</v>
      </c>
      <c r="C19" s="1421" t="s">
        <v>3122</v>
      </c>
      <c r="D19" s="337">
        <f>ROUND($D$3*E19/$E$3,2)</f>
        <v>0</v>
      </c>
      <c r="E19" s="345">
        <f t="shared" ref="E19:E26" si="1">SUM(F19:G19)</f>
        <v>2099.0100000000002</v>
      </c>
      <c r="F19" s="346">
        <f>'数据-基础表'!I13</f>
        <v>2099.0100000000002</v>
      </c>
      <c r="G19" s="347"/>
      <c r="H19" s="1133">
        <f>ROUND($D$3*I19/$E$3,2)</f>
        <v>0</v>
      </c>
      <c r="I19" s="340">
        <f t="shared" ref="I19:I26" si="2">IF($I$17="自定义",P19,M19)</f>
        <v>0</v>
      </c>
      <c r="J19" s="2224"/>
      <c r="K19" s="2802">
        <f t="shared" ref="K19:K26" si="3">ROUND(E$28*E19/E$27,2)</f>
        <v>0</v>
      </c>
      <c r="L19" s="2485">
        <f t="shared" ref="L19:L26" si="4">ROUND(IF(COUNTIF(C19,"*住宅*")&gt;0,E$29*E19/E$32,0),2)</f>
        <v>0</v>
      </c>
      <c r="M19" s="2820">
        <f>K19+L19</f>
        <v>0</v>
      </c>
      <c r="N19" s="2818"/>
      <c r="O19" s="2800"/>
      <c r="P19" s="2803">
        <f>N19+O19</f>
        <v>0</v>
      </c>
      <c r="R19" s="2485">
        <f t="shared" ref="R19:S26" si="5">D19+H19</f>
        <v>0</v>
      </c>
      <c r="S19" s="2486">
        <f t="shared" si="5"/>
        <v>2099.0100000000002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4"/>
      <c r="K20" s="2802">
        <f t="shared" si="3"/>
        <v>0</v>
      </c>
      <c r="L20" s="2485">
        <f t="shared" si="4"/>
        <v>0</v>
      </c>
      <c r="M20" s="2820">
        <f t="shared" ref="M20:M26" si="8">K20+L20</f>
        <v>0</v>
      </c>
      <c r="N20" s="2818"/>
      <c r="O20" s="2800"/>
      <c r="P20" s="2803">
        <f t="shared" ref="P20:P26" si="9">N20+O20</f>
        <v>0</v>
      </c>
      <c r="R20" s="2485">
        <f t="shared" si="5"/>
        <v>0</v>
      </c>
      <c r="S20" s="2486">
        <f t="shared" si="5"/>
        <v>0</v>
      </c>
    </row>
    <row r="21" spans="1:19" ht="14.25">
      <c r="A21" s="33"/>
      <c r="B21" s="26" t="s">
        <v>636</v>
      </c>
      <c r="C21" s="1421"/>
      <c r="D21" s="337">
        <f t="shared" si="6"/>
        <v>0</v>
      </c>
      <c r="E21" s="345">
        <f t="shared" si="1"/>
        <v>0</v>
      </c>
      <c r="F21" s="346"/>
      <c r="G21" s="347"/>
      <c r="H21" s="1133">
        <f t="shared" si="7"/>
        <v>0</v>
      </c>
      <c r="I21" s="340">
        <f t="shared" si="2"/>
        <v>0</v>
      </c>
      <c r="J21" s="2224"/>
      <c r="K21" s="2802">
        <f t="shared" si="3"/>
        <v>0</v>
      </c>
      <c r="L21" s="2485">
        <f t="shared" si="4"/>
        <v>0</v>
      </c>
      <c r="M21" s="2820">
        <f t="shared" si="8"/>
        <v>0</v>
      </c>
      <c r="N21" s="2818"/>
      <c r="O21" s="2800"/>
      <c r="P21" s="2803">
        <f t="shared" si="9"/>
        <v>0</v>
      </c>
      <c r="R21" s="2485">
        <f t="shared" si="5"/>
        <v>0</v>
      </c>
      <c r="S21" s="2486">
        <f t="shared" si="5"/>
        <v>0</v>
      </c>
    </row>
    <row r="22" spans="1:19" ht="14.25">
      <c r="A22" s="33"/>
      <c r="B22" s="26" t="s">
        <v>636</v>
      </c>
      <c r="C22" s="349"/>
      <c r="D22" s="337">
        <f t="shared" si="6"/>
        <v>0</v>
      </c>
      <c r="E22" s="345">
        <f t="shared" si="1"/>
        <v>0</v>
      </c>
      <c r="F22" s="350"/>
      <c r="G22" s="351"/>
      <c r="H22" s="1133">
        <f t="shared" si="7"/>
        <v>0</v>
      </c>
      <c r="I22" s="340">
        <f t="shared" si="2"/>
        <v>0</v>
      </c>
      <c r="J22" s="2224"/>
      <c r="K22" s="2802">
        <f t="shared" si="3"/>
        <v>0</v>
      </c>
      <c r="L22" s="2485">
        <f t="shared" si="4"/>
        <v>0</v>
      </c>
      <c r="M22" s="2820">
        <f t="shared" si="8"/>
        <v>0</v>
      </c>
      <c r="N22" s="2818"/>
      <c r="O22" s="2800"/>
      <c r="P22" s="2803">
        <f t="shared" si="9"/>
        <v>0</v>
      </c>
      <c r="R22" s="2485">
        <f t="shared" si="5"/>
        <v>0</v>
      </c>
      <c r="S22" s="2486">
        <f t="shared" si="5"/>
        <v>0</v>
      </c>
    </row>
    <row r="23" spans="1:19" ht="14.25">
      <c r="A23" s="33"/>
      <c r="B23" s="26" t="s">
        <v>636</v>
      </c>
      <c r="C23" s="349"/>
      <c r="D23" s="337">
        <f>ROUND($D$3*E23/$E$3,2)</f>
        <v>0</v>
      </c>
      <c r="E23" s="345">
        <f>SUM(F23:G23)</f>
        <v>0</v>
      </c>
      <c r="F23" s="350"/>
      <c r="G23" s="351"/>
      <c r="H23" s="1133">
        <f>ROUND($D$3*I23/$E$3,2)</f>
        <v>0</v>
      </c>
      <c r="I23" s="340">
        <f t="shared" si="2"/>
        <v>0</v>
      </c>
      <c r="J23" s="2224"/>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636</v>
      </c>
      <c r="C24" s="349"/>
      <c r="D24" s="337">
        <f>ROUND($D$3*E24/$E$3,2)</f>
        <v>0</v>
      </c>
      <c r="E24" s="345">
        <f>SUM(F24:G24)</f>
        <v>0</v>
      </c>
      <c r="F24" s="350"/>
      <c r="G24" s="351"/>
      <c r="H24" s="1133">
        <f>ROUND($D$3*I24/$E$3,2)</f>
        <v>0</v>
      </c>
      <c r="I24" s="340">
        <f t="shared" si="2"/>
        <v>0</v>
      </c>
      <c r="J24" s="2224"/>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636</v>
      </c>
      <c r="C25" s="349"/>
      <c r="D25" s="337">
        <f t="shared" si="6"/>
        <v>0</v>
      </c>
      <c r="E25" s="345">
        <f t="shared" si="1"/>
        <v>0</v>
      </c>
      <c r="F25" s="350"/>
      <c r="G25" s="351"/>
      <c r="H25" s="336">
        <f t="shared" si="7"/>
        <v>0</v>
      </c>
      <c r="I25" s="340">
        <f t="shared" si="2"/>
        <v>0</v>
      </c>
      <c r="J25" s="2224"/>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636</v>
      </c>
      <c r="C26" s="353"/>
      <c r="D26" s="337">
        <f t="shared" si="6"/>
        <v>0</v>
      </c>
      <c r="E26" s="345">
        <f t="shared" si="1"/>
        <v>0</v>
      </c>
      <c r="F26" s="350"/>
      <c r="G26" s="351"/>
      <c r="H26" s="336">
        <f t="shared" si="7"/>
        <v>0</v>
      </c>
      <c r="I26" s="340">
        <f t="shared" si="2"/>
        <v>0</v>
      </c>
      <c r="J26" s="2224"/>
      <c r="K26" s="2811">
        <f t="shared" si="3"/>
        <v>0</v>
      </c>
      <c r="L26" s="2812">
        <f t="shared" si="4"/>
        <v>0</v>
      </c>
      <c r="M26" s="357">
        <f t="shared" si="8"/>
        <v>0</v>
      </c>
      <c r="N26" s="2819"/>
      <c r="O26" s="2813"/>
      <c r="P26" s="2814">
        <f t="shared" si="9"/>
        <v>0</v>
      </c>
      <c r="R26" s="2485">
        <f t="shared" si="5"/>
        <v>0</v>
      </c>
      <c r="S26" s="2486">
        <f t="shared" si="5"/>
        <v>0</v>
      </c>
    </row>
    <row r="27" spans="1:19" ht="15.75" thickBot="1">
      <c r="A27" s="33"/>
      <c r="B27" s="23"/>
      <c r="C27" s="2776" t="s">
        <v>637</v>
      </c>
      <c r="D27" s="2805">
        <f>SUM(D19:D26)</f>
        <v>0</v>
      </c>
      <c r="E27" s="2806">
        <f>IF(SUM(E19:E26)='数据-基础表'!BA5,SUM(E19:E26),IF(F27="地上面积有误","面积有误","地下面积有误"))</f>
        <v>2099.0100000000002</v>
      </c>
      <c r="F27" s="2805">
        <f>IF(SUM(F19:F26)=E8,SUM(F19:F26),"地上面积有误")</f>
        <v>2099.0100000000002</v>
      </c>
      <c r="G27" s="2807">
        <f>SUM(G19:G26)</f>
        <v>0</v>
      </c>
      <c r="H27" s="2808">
        <f>SUM(H19:H26)</f>
        <v>0</v>
      </c>
      <c r="I27" s="2809">
        <f>SUM(I19:I26)</f>
        <v>0</v>
      </c>
      <c r="J27" s="2224"/>
      <c r="K27" s="2815">
        <f>SUM(K19:K26)</f>
        <v>0</v>
      </c>
      <c r="L27" s="2816">
        <f>SUM(L19:L26)</f>
        <v>0</v>
      </c>
      <c r="M27" s="2821">
        <f>SUM(M19:M26)</f>
        <v>0</v>
      </c>
      <c r="N27" s="2815">
        <f t="shared" ref="N27:O27" si="10">SUM(N19:N26)</f>
        <v>0</v>
      </c>
      <c r="O27" s="2816">
        <f t="shared" si="10"/>
        <v>0</v>
      </c>
      <c r="P27" s="2817">
        <f>SUM(P19:P26)</f>
        <v>0</v>
      </c>
      <c r="R27" s="2487">
        <f>IF(SUM(R19:R26)=$D$3,SUM(R19:R26),SUM(R19:R26)&amp;"误差"&amp;ROUND(SUM(R19:R26)-$D$3,2))</f>
        <v>0</v>
      </c>
      <c r="S27" s="2485">
        <f>IF(SUM(S19:S26)=$E$3,SUM(S19:S26),SUM(S19:S26)&amp;"误差"&amp;ROUND(SUM(S19:S26)-E3,2))</f>
        <v>2099.0100000000002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4"/>
      <c r="O28" s="2804"/>
      <c r="P28" s="2224"/>
    </row>
    <row r="29" spans="1:19" ht="14.25">
      <c r="A29" s="33"/>
      <c r="B29" s="26" t="s">
        <v>638</v>
      </c>
      <c r="C29" s="13" t="s">
        <v>2392</v>
      </c>
      <c r="D29" s="337">
        <f>ROUND($D$3*E29/$E$3,2)</f>
        <v>0</v>
      </c>
      <c r="E29" s="345">
        <f>SUM(F29:G29)</f>
        <v>0</v>
      </c>
      <c r="F29" s="356">
        <f>'数据-基础表'!BM5+'数据-基础表'!BO5</f>
        <v>0</v>
      </c>
      <c r="G29" s="357">
        <f>'数据-基础表'!BN5+'数据-基础表'!BP5</f>
        <v>0</v>
      </c>
      <c r="H29" s="2224"/>
      <c r="I29" s="2224"/>
      <c r="J29" s="2224"/>
      <c r="K29" s="2224"/>
      <c r="L29" s="2224"/>
      <c r="M29" s="2224"/>
      <c r="N29" s="2804"/>
      <c r="O29" s="2804"/>
      <c r="P29" s="2224"/>
    </row>
    <row r="30" spans="1:19" ht="15">
      <c r="A30" s="33"/>
      <c r="B30" s="26"/>
      <c r="C30" s="2810" t="s">
        <v>637</v>
      </c>
      <c r="D30" s="2805">
        <f>SUM(D28:D29)</f>
        <v>0</v>
      </c>
      <c r="E30" s="2805">
        <f>SUM(E28:E29)</f>
        <v>0</v>
      </c>
      <c r="F30" s="2805">
        <f>SUM(F28:F29)</f>
        <v>0</v>
      </c>
      <c r="G30" s="2807">
        <f>SUM(G28:G29)</f>
        <v>0</v>
      </c>
      <c r="H30" s="2224"/>
      <c r="I30" s="2224"/>
      <c r="J30" s="2224"/>
      <c r="K30" s="2224"/>
      <c r="L30" s="2224"/>
      <c r="M30" s="2224"/>
      <c r="N30" s="2804"/>
      <c r="O30" s="2804"/>
      <c r="P30" s="2224"/>
    </row>
    <row r="31" spans="1:19" ht="15.75" thickBot="1">
      <c r="A31" s="1188"/>
      <c r="B31" s="2524"/>
      <c r="C31" s="2525" t="s">
        <v>640</v>
      </c>
      <c r="D31" s="1189">
        <f>D27+D30</f>
        <v>0</v>
      </c>
      <c r="E31" s="1189">
        <f>E27+E30</f>
        <v>2099.0100000000002</v>
      </c>
      <c r="F31" s="1190">
        <f>F27+F30</f>
        <v>2099.0100000000002</v>
      </c>
      <c r="G31" s="1191">
        <f>G27+G30</f>
        <v>0</v>
      </c>
      <c r="H31" s="2224"/>
      <c r="I31" s="2224"/>
      <c r="J31" s="2224"/>
      <c r="K31" s="2224"/>
      <c r="L31" s="2224"/>
      <c r="M31" s="2224"/>
      <c r="N31" s="2224"/>
      <c r="O31" s="2224"/>
      <c r="P31" s="2224"/>
    </row>
    <row r="32" spans="1:19" ht="14.25">
      <c r="A32" s="1182"/>
      <c r="B32" s="1182" t="s">
        <v>2705</v>
      </c>
      <c r="C32" s="1182"/>
      <c r="D32" s="1182"/>
      <c r="E32" s="2523">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4">
        <f>项目基本情况!D3</f>
        <v>42962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2685</v>
      </c>
      <c r="T5" s="274" t="s">
        <v>693</v>
      </c>
      <c r="U5" s="2515" t="s">
        <v>2400</v>
      </c>
      <c r="V5" s="51" t="s">
        <v>694</v>
      </c>
      <c r="W5" s="2516" t="s">
        <v>2401</v>
      </c>
      <c r="X5" s="62"/>
      <c r="Y5" s="60" t="s">
        <v>695</v>
      </c>
      <c r="Z5" s="61" t="s">
        <v>696</v>
      </c>
      <c r="AA5" s="51" t="s">
        <v>694</v>
      </c>
      <c r="AB5" s="2516" t="s">
        <v>2401</v>
      </c>
      <c r="AC5" s="62"/>
      <c r="AD5" s="62" t="s">
        <v>695</v>
      </c>
      <c r="AE5" s="14" t="s">
        <v>538</v>
      </c>
      <c r="AF5" s="51" t="s">
        <v>697</v>
      </c>
      <c r="AG5" s="60" t="s">
        <v>698</v>
      </c>
      <c r="AH5" s="14" t="s">
        <v>2405</v>
      </c>
      <c r="AI5" s="61" t="s">
        <v>2322</v>
      </c>
      <c r="AJ5" s="61" t="s">
        <v>699</v>
      </c>
      <c r="AK5" s="2516" t="s">
        <v>2402</v>
      </c>
      <c r="AL5" s="2516" t="s">
        <v>2403</v>
      </c>
      <c r="AM5" s="360" t="s">
        <v>2404</v>
      </c>
      <c r="AN5" s="2573" t="s">
        <v>2444</v>
      </c>
      <c r="AO5" s="2011" t="s">
        <v>2676</v>
      </c>
      <c r="AP5" s="2889" t="s">
        <v>2686</v>
      </c>
      <c r="AQ5" s="2890" t="s">
        <v>2796</v>
      </c>
      <c r="AR5" s="2890" t="s">
        <v>2797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3" t="str">
        <f>'数据-汇总表'!C19</f>
        <v>办公</v>
      </c>
      <c r="B6" s="2491" t="str">
        <f>IF(A6=0,"","经营性")</f>
        <v>经营性</v>
      </c>
      <c r="C6" s="39" t="s">
        <v>141</v>
      </c>
      <c r="D6" s="2055">
        <f>SUMIF(项目基本情况!D$12:I$12,C6,项目基本情况!D$14:I$14)</f>
        <v>50</v>
      </c>
      <c r="E6" s="2049">
        <f>IF(B6="","",SUMIF(项目基本情况!D$12:I$12,C6,项目基本情况!D$13:I$13))</f>
        <v>52838</v>
      </c>
      <c r="F6" s="362">
        <f>SUMIF(项目基本情况!D$12:I$12,C6,项目基本情况!D$15:I$15)</f>
        <v>27.05</v>
      </c>
      <c r="G6" s="363">
        <f>IF(ISERROR(ROUND(POWER(1+H6,D6-F6)*(POWER(1+H6,F6)-1)/(POWER(1+H6,D6)-1),3)),0,ROUND(POWER(1+H6,D6-F6)*(POWER(1+H6,F6)-1)/(POWER(1+H6,D6)-1),3))</f>
        <v>0.80300000000000005</v>
      </c>
      <c r="H6" s="1476">
        <v>0.05</v>
      </c>
      <c r="I6" s="1476">
        <v>5.5E-2</v>
      </c>
      <c r="J6" s="364">
        <v>8.5000000000000006E-2</v>
      </c>
      <c r="K6" s="2494">
        <f>SUMIF('数据-汇总表'!C$19:C$33,A6,'数据-汇总表'!E$19:E$33)</f>
        <v>2099.0100000000002</v>
      </c>
      <c r="L6" s="1477">
        <v>3000</v>
      </c>
      <c r="M6" s="365">
        <f t="shared" ref="M6:M14" si="0">ROUND(K6*L6/10000,0)</f>
        <v>630</v>
      </c>
      <c r="N6" s="1475">
        <f>ROUND(1-(1-0%)*(2017-1996)/60,2)</f>
        <v>0.65</v>
      </c>
      <c r="O6" s="365" t="str">
        <f>IF($N$5="成新度","——",ROUND(M6*N6,0))</f>
        <v>——</v>
      </c>
      <c r="P6" s="366" t="str">
        <f>IF($N$5="成新度","——",M6-O6)</f>
        <v>——</v>
      </c>
      <c r="Q6" s="3385">
        <v>0.2</v>
      </c>
      <c r="R6" s="367">
        <f ca="1">SUMIF('数据-汇总表'!C$19:C$33,A6,'数据-汇总表'!R$19:R$27)</f>
        <v>0</v>
      </c>
      <c r="S6" s="343">
        <f>IF('数据-汇总表'!$I$17="按面积比例",SUMIF('数据-汇总表'!C$19:C$33,A6,'数据-汇总表'!K$19:K$33),SUMIF('数据-汇总表'!C$19:C$33,A6,'数据-汇总表'!N$19:N$33))</f>
        <v>0</v>
      </c>
      <c r="T6" s="2888">
        <f>ROUND($L$14*S6/10000,0)</f>
        <v>0</v>
      </c>
      <c r="U6" s="368">
        <v>6</v>
      </c>
      <c r="V6" s="3769">
        <v>0.03</v>
      </c>
      <c r="W6" s="369">
        <v>0.1</v>
      </c>
      <c r="X6" s="2504"/>
      <c r="Y6" s="370">
        <f>N6</f>
        <v>0.65</v>
      </c>
      <c r="Z6" s="371"/>
      <c r="AA6" s="364"/>
      <c r="AB6" s="364"/>
      <c r="AC6" s="2504"/>
      <c r="AD6" s="372"/>
      <c r="AE6" s="2505">
        <f ca="1">IF(AN6="",0,SUMIF(INDIRECT("'"&amp;AN6&amp;"'"&amp;"!E:E"),$AE$5,INDIRECT("'"&amp;AN6&amp;"'"&amp;"!F:F")))</f>
        <v>27.05</v>
      </c>
      <c r="AF6" s="352"/>
      <c r="AG6" s="478">
        <f>IF(AF6="",0,AE6-AF6)</f>
        <v>0</v>
      </c>
      <c r="AH6" s="373"/>
      <c r="AI6" s="375">
        <v>365</v>
      </c>
      <c r="AJ6" s="376"/>
      <c r="AK6" s="377">
        <v>1.4999999999999999E-2</v>
      </c>
      <c r="AL6" s="378">
        <v>2E-3</v>
      </c>
      <c r="AM6" s="379">
        <v>0.02</v>
      </c>
      <c r="AN6" s="2574" t="s">
        <v>3123</v>
      </c>
      <c r="AO6" s="344">
        <f ca="1">SUMIF(INDIRECT("'"&amp;AN6&amp;"'"&amp;"!A:A"),"总价",INDIRECT("'"&amp;AN6&amp;"'"&amp;"!B:B"))</f>
        <v>6873</v>
      </c>
      <c r="AP6" s="2891">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3">
        <f>'数据-汇总表'!C20</f>
        <v>0</v>
      </c>
      <c r="B7" s="2491"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1476"/>
      <c r="K7" s="2494">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88">
        <f t="shared" ref="T7:T13" si="5">ROUND($L$14*S7/10000,0)</f>
        <v>0</v>
      </c>
      <c r="U7" s="368"/>
      <c r="V7" s="369"/>
      <c r="W7" s="369"/>
      <c r="X7" s="2504"/>
      <c r="Y7" s="370"/>
      <c r="Z7" s="371"/>
      <c r="AA7" s="364"/>
      <c r="AB7" s="364"/>
      <c r="AC7" s="2504"/>
      <c r="AD7" s="372"/>
      <c r="AE7" s="2505">
        <f t="shared" ref="AE7:AE13" ca="1" si="6">IF(AN7="",0,SUMIF(INDIRECT("'"&amp;AN7&amp;"'"&amp;"!E:E"),$AE$5,INDIRECT("'"&amp;AN7&amp;"'"&amp;"!F:F")))</f>
        <v>0</v>
      </c>
      <c r="AF7" s="352"/>
      <c r="AG7" s="478">
        <f t="shared" ref="AG7:AG13" si="7">IF(AF7="",0,AE7-AF7)</f>
        <v>0</v>
      </c>
      <c r="AH7" s="373"/>
      <c r="AI7" s="375"/>
      <c r="AJ7" s="376"/>
      <c r="AK7" s="377"/>
      <c r="AL7" s="377"/>
      <c r="AM7" s="377"/>
      <c r="AN7" s="2574"/>
      <c r="AO7" s="344" t="e">
        <f t="shared" ref="AO7:AO13" ca="1" si="8">SUMIF(INDIRECT("'"&amp;AN7&amp;"'"&amp;"!A:A"),"总价",INDIRECT("'"&amp;AN7&amp;"'"&amp;"!B:B"))</f>
        <v>#REF!</v>
      </c>
      <c r="AP7" s="2891">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3">
        <f>'数据-汇总表'!C21</f>
        <v>0</v>
      </c>
      <c r="B8" s="2491"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6"/>
      <c r="I8" s="1476"/>
      <c r="J8" s="1476"/>
      <c r="K8" s="2494">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88">
        <f t="shared" si="5"/>
        <v>0</v>
      </c>
      <c r="U8" s="1479"/>
      <c r="V8" s="1480"/>
      <c r="W8" s="1480"/>
      <c r="X8" s="2504"/>
      <c r="Y8" s="370"/>
      <c r="Z8" s="371"/>
      <c r="AA8" s="364"/>
      <c r="AB8" s="364"/>
      <c r="AC8" s="2504"/>
      <c r="AD8" s="372"/>
      <c r="AE8" s="2505">
        <f t="shared" ca="1" si="6"/>
        <v>0</v>
      </c>
      <c r="AF8" s="352"/>
      <c r="AG8" s="478">
        <f t="shared" si="7"/>
        <v>0</v>
      </c>
      <c r="AH8" s="1481"/>
      <c r="AI8" s="375"/>
      <c r="AJ8" s="376"/>
      <c r="AK8" s="1482"/>
      <c r="AL8" s="1482"/>
      <c r="AM8" s="1482"/>
      <c r="AN8" s="2574"/>
      <c r="AO8" s="344" t="e">
        <f t="shared" ca="1" si="8"/>
        <v>#REF!</v>
      </c>
      <c r="AP8" s="2891">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3">
        <f>'数据-汇总表'!C22</f>
        <v>0</v>
      </c>
      <c r="B9" s="2491"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4"/>
      <c r="Y9" s="370"/>
      <c r="Z9" s="371"/>
      <c r="AA9" s="364"/>
      <c r="AB9" s="364"/>
      <c r="AC9" s="2504"/>
      <c r="AD9" s="372"/>
      <c r="AE9" s="2505">
        <f t="shared" ca="1" si="6"/>
        <v>0</v>
      </c>
      <c r="AF9" s="352"/>
      <c r="AG9" s="478">
        <f t="shared" si="7"/>
        <v>0</v>
      </c>
      <c r="AH9" s="373"/>
      <c r="AI9" s="375"/>
      <c r="AJ9" s="376"/>
      <c r="AK9" s="377"/>
      <c r="AL9" s="378"/>
      <c r="AM9" s="379"/>
      <c r="AN9" s="2574"/>
      <c r="AO9" s="344" t="e">
        <f t="shared" ca="1" si="8"/>
        <v>#REF!</v>
      </c>
      <c r="AP9" s="2891">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3">
        <f>'数据-汇总表'!C23</f>
        <v>0</v>
      </c>
      <c r="B10" s="2491"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1">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3">
        <f>'数据-汇总表'!C24</f>
        <v>0</v>
      </c>
      <c r="B11" s="2491"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1">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3">
        <f>'数据-汇总表'!C25</f>
        <v>0</v>
      </c>
      <c r="B12" s="2491"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1">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3">
        <f>'数据-汇总表'!C26</f>
        <v>0</v>
      </c>
      <c r="B13" s="2491"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1">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8" t="s">
        <v>535</v>
      </c>
      <c r="B14" s="2491" t="s">
        <v>534</v>
      </c>
      <c r="C14" s="2492" t="s">
        <v>535</v>
      </c>
      <c r="D14" s="2055"/>
      <c r="E14" s="2049"/>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88"/>
      <c r="U14" s="1133"/>
      <c r="V14" s="2499"/>
      <c r="W14" s="2499"/>
      <c r="X14" s="2500"/>
      <c r="Y14" s="2501"/>
      <c r="Z14" s="2502"/>
      <c r="AA14" s="2503"/>
      <c r="AB14" s="2503"/>
      <c r="AC14" s="2504"/>
      <c r="AD14" s="2500"/>
      <c r="AE14" s="2505"/>
      <c r="AF14" s="344"/>
      <c r="AG14" s="478"/>
      <c r="AH14" s="2505"/>
      <c r="AI14" s="2509"/>
      <c r="AJ14" s="1322"/>
      <c r="AK14" s="2506"/>
      <c r="AL14" s="2507"/>
      <c r="AM14" s="2508"/>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8" t="s">
        <v>2393</v>
      </c>
      <c r="B15" s="2491" t="s">
        <v>534</v>
      </c>
      <c r="C15" s="2492" t="s">
        <v>2097</v>
      </c>
      <c r="D15" s="2055"/>
      <c r="E15" s="2049"/>
      <c r="F15" s="362"/>
      <c r="G15" s="363"/>
      <c r="H15" s="2493"/>
      <c r="I15" s="2493"/>
      <c r="J15" s="2493"/>
      <c r="K15" s="2494">
        <f>SUMIF('数据-汇总表'!C$19:C$33,A15,'数据-汇总表'!E$19:E$33)</f>
        <v>0</v>
      </c>
      <c r="L15" s="2495"/>
      <c r="M15" s="365"/>
      <c r="N15" s="2496"/>
      <c r="O15" s="365"/>
      <c r="P15" s="366"/>
      <c r="Q15" s="2497"/>
      <c r="R15" s="367"/>
      <c r="S15" s="343"/>
      <c r="T15" s="2888"/>
      <c r="U15" s="1133"/>
      <c r="V15" s="2499"/>
      <c r="W15" s="2499"/>
      <c r="X15" s="2500"/>
      <c r="Y15" s="2501"/>
      <c r="Z15" s="2502"/>
      <c r="AA15" s="2503"/>
      <c r="AB15" s="2503"/>
      <c r="AC15" s="2504"/>
      <c r="AD15" s="2500"/>
      <c r="AE15" s="2505"/>
      <c r="AF15" s="344"/>
      <c r="AG15" s="478"/>
      <c r="AH15" s="2505"/>
      <c r="AI15" s="2509"/>
      <c r="AJ15" s="1322"/>
      <c r="AK15" s="2506"/>
      <c r="AL15" s="2507"/>
      <c r="AM15" s="2508"/>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0.80300000000000005</v>
      </c>
      <c r="H16" s="389">
        <f>ROUND(SUMPRODUCT(H6:H13,K6:K13)/SUMPRODUCT((H6:H13&gt;0)*(K6:K13)),3)</f>
        <v>0.05</v>
      </c>
      <c r="I16" s="390"/>
      <c r="J16" s="390"/>
      <c r="K16" s="391">
        <f>SUM(K6:K15)</f>
        <v>2099.0100000000002</v>
      </c>
      <c r="L16" s="392">
        <f>ROUND(M16*10000/SUM(K6:K14),0)</f>
        <v>3001</v>
      </c>
      <c r="M16" s="392">
        <f>SUM(M6:M14)</f>
        <v>630</v>
      </c>
      <c r="N16" s="393">
        <f>ROUND(SUMPRODUCT(M6:M14,N6:N14)/M16,3)</f>
        <v>0.65</v>
      </c>
      <c r="O16" s="392">
        <f>SUM(O6:O14)</f>
        <v>0</v>
      </c>
      <c r="P16" s="392">
        <f>SUM(P6:P14)</f>
        <v>0</v>
      </c>
      <c r="Q16" s="394">
        <f>ROUND(SUMPRODUCT(Q6:Q13,K6:K13)/SUMPRODUCT((Q6:Q13&gt;0)*(K6:K13)),2)</f>
        <v>0.2</v>
      </c>
      <c r="R16" s="2498">
        <f ca="1">SUM(R6:R13)</f>
        <v>0</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v>190</v>
      </c>
      <c r="C27" s="2526"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200</v>
      </c>
      <c r="C28" s="2527"/>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2688</v>
      </c>
      <c r="B29" s="411"/>
      <c r="C29" s="2526"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7"/>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6"/>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7"/>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0.05</v>
      </c>
      <c r="C33" s="3285" t="s">
        <v>3000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v>
      </c>
      <c r="C34" s="3285" t="s">
        <v>3001</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85" t="s">
        <v>3002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5" t="s">
        <v>3003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0.02</v>
      </c>
      <c r="C37" s="3285" t="s">
        <v>3004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0.02</v>
      </c>
      <c r="C38" s="3285" t="s">
        <v>3004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8"/>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4">
        <f ca="1">存贷款利率!G1</f>
        <v>4.7500000000000001E-2</v>
      </c>
      <c r="C40" s="2528"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6"/>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6"/>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5" t="s">
        <v>3006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86" t="s">
        <v>3005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86" t="s">
        <v>3032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6"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c r="C48" s="3308" t="s">
        <v>3033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c r="C49" s="3308" t="s">
        <v>3034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1454</v>
      </c>
      <c r="C53" s="2233" t="s">
        <v>3007</v>
      </c>
      <c r="D53" s="2236" t="s">
        <v>3011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0">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0">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0">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0">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0">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0">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79" t="s">
        <v>751</v>
      </c>
      <c r="B1" s="3480"/>
      <c r="C1" s="3480"/>
      <c r="D1" s="3480"/>
      <c r="E1" s="3480"/>
      <c r="F1" s="3480"/>
      <c r="G1" s="3480"/>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752</v>
      </c>
      <c r="D2" s="1212"/>
      <c r="E2" s="1213"/>
      <c r="F2" s="1200"/>
      <c r="G2" s="1211" t="s">
        <v>753</v>
      </c>
      <c r="H2" s="2254"/>
      <c r="I2" s="2254"/>
      <c r="J2" s="2254"/>
      <c r="K2" s="2254"/>
      <c r="L2" s="2254"/>
      <c r="M2" s="2254"/>
      <c r="N2" s="2254"/>
      <c r="O2" s="2254"/>
      <c r="P2" s="2254"/>
      <c r="Q2" s="2254"/>
      <c r="R2" s="2254"/>
    </row>
    <row r="3" spans="1:29" ht="54">
      <c r="A3" s="1021" t="s">
        <v>754</v>
      </c>
      <c r="B3" s="51" t="s">
        <v>52</v>
      </c>
      <c r="C3" s="3287" t="s">
        <v>755</v>
      </c>
      <c r="D3" s="2255"/>
      <c r="E3" s="1030" t="s">
        <v>754</v>
      </c>
      <c r="F3" s="1214" t="s">
        <v>99</v>
      </c>
      <c r="G3" s="3291" t="s">
        <v>3014</v>
      </c>
      <c r="H3" s="2254"/>
      <c r="I3" s="2254"/>
      <c r="J3" s="2254"/>
      <c r="K3" s="2254"/>
      <c r="L3" s="2254"/>
      <c r="M3" s="2254"/>
      <c r="N3" s="2254"/>
      <c r="O3" s="2254"/>
      <c r="P3" s="2254"/>
      <c r="Q3" s="2254"/>
      <c r="R3" s="2254"/>
    </row>
    <row r="4" spans="1:29" ht="40.5">
      <c r="A4" s="1030"/>
      <c r="B4" s="2210" t="s">
        <v>756</v>
      </c>
      <c r="C4" s="3288" t="s">
        <v>757</v>
      </c>
      <c r="D4" s="2255"/>
      <c r="E4" s="1215"/>
      <c r="F4" s="2214" t="s">
        <v>758</v>
      </c>
      <c r="G4" s="3289" t="s">
        <v>759</v>
      </c>
      <c r="H4" s="2254"/>
      <c r="I4" s="2254"/>
      <c r="J4" s="2254"/>
      <c r="K4" s="2254"/>
      <c r="L4" s="2254"/>
      <c r="M4" s="2254"/>
      <c r="N4" s="2254"/>
      <c r="O4" s="2254"/>
      <c r="P4" s="2254"/>
      <c r="Q4" s="2254"/>
      <c r="R4" s="2254"/>
    </row>
    <row r="5" spans="1:29" ht="40.5">
      <c r="A5" s="1030"/>
      <c r="B5" s="2210" t="s">
        <v>760</v>
      </c>
      <c r="C5" s="3288" t="s">
        <v>761</v>
      </c>
      <c r="D5" s="2255"/>
      <c r="E5" s="1215"/>
      <c r="F5" s="2742" t="s">
        <v>2631</v>
      </c>
      <c r="G5" s="3289" t="s">
        <v>2633</v>
      </c>
      <c r="H5" s="2254"/>
      <c r="I5" s="2254"/>
      <c r="J5" s="2254"/>
      <c r="K5" s="2254"/>
      <c r="L5" s="2254"/>
      <c r="M5" s="2254"/>
      <c r="N5" s="2254"/>
      <c r="O5" s="2254"/>
      <c r="P5" s="2254"/>
      <c r="Q5" s="2254"/>
      <c r="R5" s="2254"/>
    </row>
    <row r="6" spans="1:29" ht="54">
      <c r="A6" s="1030"/>
      <c r="B6" s="2210" t="s">
        <v>72</v>
      </c>
      <c r="C6" s="3289" t="s">
        <v>735</v>
      </c>
      <c r="D6" s="2255"/>
      <c r="E6" s="1215"/>
      <c r="F6" s="2742" t="s">
        <v>2630</v>
      </c>
      <c r="G6" s="3289" t="s">
        <v>2632</v>
      </c>
      <c r="H6" s="2254"/>
      <c r="I6" s="2254"/>
      <c r="J6" s="2254"/>
      <c r="K6" s="2254"/>
      <c r="L6" s="2254"/>
      <c r="M6" s="2254"/>
      <c r="N6" s="2254"/>
      <c r="O6" s="2254"/>
      <c r="P6" s="2254"/>
      <c r="Q6" s="2254"/>
      <c r="R6" s="2254"/>
    </row>
    <row r="7" spans="1:29" ht="41.25" thickBot="1">
      <c r="A7" s="1030"/>
      <c r="B7" s="2210" t="s">
        <v>2631</v>
      </c>
      <c r="C7" s="3289" t="s">
        <v>2633</v>
      </c>
      <c r="D7" s="2256"/>
      <c r="E7" s="1216"/>
      <c r="F7" s="1217" t="s">
        <v>736</v>
      </c>
      <c r="G7" s="3292" t="s">
        <v>3015</v>
      </c>
      <c r="H7" s="2254"/>
      <c r="I7" s="2254"/>
      <c r="J7" s="2254"/>
      <c r="K7" s="2254"/>
      <c r="L7" s="2254"/>
      <c r="M7" s="2254"/>
      <c r="N7" s="2254"/>
      <c r="O7" s="2254"/>
      <c r="P7" s="2254"/>
      <c r="Q7" s="2254"/>
      <c r="R7" s="2254"/>
    </row>
    <row r="8" spans="1:29" ht="27">
      <c r="A8" s="1030"/>
      <c r="B8" s="2742" t="s">
        <v>2630</v>
      </c>
      <c r="C8" s="3289" t="s">
        <v>2632</v>
      </c>
      <c r="D8" s="2256"/>
      <c r="E8" s="2256"/>
      <c r="F8" s="2257"/>
      <c r="G8" s="2257"/>
      <c r="H8" s="2254"/>
      <c r="I8" s="2254"/>
      <c r="J8" s="2254"/>
      <c r="K8" s="2254"/>
      <c r="L8" s="2254"/>
      <c r="M8" s="2254"/>
      <c r="N8" s="2254"/>
      <c r="O8" s="2254"/>
      <c r="P8" s="2254"/>
      <c r="Q8" s="2254"/>
      <c r="R8" s="2254"/>
    </row>
    <row r="9" spans="1:29" ht="27">
      <c r="A9" s="1030"/>
      <c r="B9" s="2210" t="s">
        <v>73</v>
      </c>
      <c r="C9" s="3288" t="s">
        <v>737</v>
      </c>
      <c r="D9" s="2255"/>
      <c r="E9" s="2256"/>
      <c r="F9" s="2257"/>
      <c r="G9" s="2257"/>
      <c r="H9" s="2254"/>
      <c r="I9" s="2254"/>
      <c r="J9" s="2254"/>
      <c r="K9" s="2254"/>
      <c r="L9" s="2254"/>
      <c r="M9" s="2254"/>
      <c r="N9" s="2254"/>
      <c r="O9" s="2254"/>
      <c r="P9" s="2254"/>
      <c r="Q9" s="2254"/>
      <c r="R9" s="2254"/>
    </row>
    <row r="10" spans="1:29" s="40" customFormat="1" ht="14.25" thickBot="1">
      <c r="A10" s="1219"/>
      <c r="B10" s="1220" t="s">
        <v>738</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39" t="s">
        <v>739</v>
      </c>
      <c r="B13" s="2740"/>
      <c r="C13" s="2740"/>
      <c r="D13" s="2253"/>
      <c r="E13" s="2740"/>
      <c r="F13" s="2740"/>
      <c r="G13" s="2740"/>
    </row>
    <row r="14" spans="1:29" ht="14.25" thickBot="1">
      <c r="A14" s="1221"/>
      <c r="B14" s="1222"/>
      <c r="C14" s="1223" t="s">
        <v>740</v>
      </c>
      <c r="D14" s="2255"/>
      <c r="E14" s="1224"/>
      <c r="F14" s="1224"/>
      <c r="G14" s="1211" t="s">
        <v>741</v>
      </c>
    </row>
    <row r="15" spans="1:29" ht="54">
      <c r="A15" s="46" t="s">
        <v>742</v>
      </c>
      <c r="B15" s="14" t="s">
        <v>52</v>
      </c>
      <c r="C15" s="1225" t="str">
        <f>C3</f>
        <v>估价对象周边居住用地比例、居住小区规模和社区发展完善程度，综合评价居住社区成熟度一般</v>
      </c>
      <c r="D15" s="2255"/>
      <c r="E15" s="2755" t="s">
        <v>743</v>
      </c>
      <c r="F15" s="14" t="s">
        <v>744</v>
      </c>
      <c r="G15" s="1023" t="str">
        <f>G3</f>
        <v>估价对象位于XX开发区，园区建设成熟度XX，产业集聚程度XX</v>
      </c>
    </row>
    <row r="16" spans="1:29" ht="40.5">
      <c r="A16" s="2758"/>
      <c r="B16" s="1226" t="s">
        <v>745</v>
      </c>
      <c r="C16" s="1227" t="str">
        <f>C4</f>
        <v>估价对象位于XX商圈，周边商业氛围成熟，人流量大，商业繁华度好</v>
      </c>
      <c r="D16" s="2255"/>
      <c r="E16" s="2756"/>
      <c r="F16" s="1228" t="s">
        <v>746</v>
      </c>
      <c r="G16" s="1025" t="str">
        <f>G4</f>
        <v>估价对象周边道路状况、公共交通通达情况、停车便捷程度，综合评价交通便捷度较好</v>
      </c>
    </row>
    <row r="17" spans="1:18" ht="40.5">
      <c r="A17" s="2758"/>
      <c r="B17" s="1226" t="s">
        <v>747</v>
      </c>
      <c r="C17" s="1227" t="str">
        <f>C5</f>
        <v>估价对象位于XX商圈，周边办公楼项目较多，入驻率高，办公集聚程度较好</v>
      </c>
      <c r="D17" s="2256"/>
      <c r="E17" s="2756"/>
      <c r="F17" s="1228" t="s">
        <v>748</v>
      </c>
      <c r="G17" s="271"/>
    </row>
    <row r="18" spans="1:18" ht="54">
      <c r="A18" s="2758"/>
      <c r="B18" s="1228" t="s">
        <v>72</v>
      </c>
      <c r="C18" s="1025" t="str">
        <f>C6</f>
        <v>估价对象周边道路状况、公共交通通达情况、停车便捷程度，综合评价交通便捷度较好</v>
      </c>
      <c r="D18" s="2256"/>
      <c r="E18" s="2756"/>
      <c r="F18" s="1228" t="s">
        <v>736</v>
      </c>
      <c r="G18" s="1025" t="str">
        <f>G7</f>
        <v>该园区内是否有污染型企业，绿化情况，卫生条件，整体环境状况判断</v>
      </c>
    </row>
    <row r="19" spans="1:18" ht="27">
      <c r="A19" s="2758"/>
      <c r="B19" s="1228" t="s">
        <v>91</v>
      </c>
      <c r="C19" s="271"/>
      <c r="D19" s="2255"/>
      <c r="E19" s="2756"/>
      <c r="F19" s="2742" t="s">
        <v>2631</v>
      </c>
      <c r="G19" s="1025" t="str">
        <f>G5</f>
        <v>估价对象所在区域公共配套设施齐备情况</v>
      </c>
    </row>
    <row r="20" spans="1:18" ht="27">
      <c r="A20" s="2758"/>
      <c r="B20" s="1228" t="s">
        <v>90</v>
      </c>
      <c r="C20" s="1227" t="str">
        <f>C9</f>
        <v>区域自然环境：；人文环境；综合评价环境状况一般</v>
      </c>
      <c r="D20" s="2256"/>
      <c r="E20" s="2756"/>
      <c r="F20" s="2742" t="s">
        <v>2630</v>
      </c>
      <c r="G20" s="1025" t="str">
        <f>G6</f>
        <v>估价对象所在区域基础设施水平</v>
      </c>
    </row>
    <row r="21" spans="1:18" ht="27">
      <c r="A21" s="2758"/>
      <c r="B21" s="2742" t="s">
        <v>2631</v>
      </c>
      <c r="C21" s="1025" t="str">
        <f>C7</f>
        <v>估价对象所在区域公共配套设施齐备情况</v>
      </c>
      <c r="D21" s="2255"/>
      <c r="E21" s="2756"/>
      <c r="F21" s="1228" t="s">
        <v>89</v>
      </c>
      <c r="G21" s="283"/>
    </row>
    <row r="22" spans="1:18" ht="13.5" customHeight="1">
      <c r="A22" s="2758"/>
      <c r="B22" s="2742" t="s">
        <v>2630</v>
      </c>
      <c r="C22" s="1025" t="str">
        <f>C8</f>
        <v>估价对象所在区域基础设施水平</v>
      </c>
      <c r="D22" s="2255"/>
      <c r="E22" s="2756"/>
      <c r="F22" s="1228" t="s">
        <v>749</v>
      </c>
      <c r="G22" s="271"/>
    </row>
    <row r="23" spans="1:18" s="2254" customFormat="1" ht="14.25" thickBot="1">
      <c r="A23" s="2758"/>
      <c r="B23" s="1228" t="s">
        <v>89</v>
      </c>
      <c r="C23" s="283"/>
      <c r="D23" s="2267"/>
      <c r="E23" s="2757"/>
      <c r="F23" s="1229" t="s">
        <v>750</v>
      </c>
      <c r="G23" s="284"/>
      <c r="H23" s="2267"/>
      <c r="I23" s="2268"/>
      <c r="J23" s="2267"/>
      <c r="K23" s="2267"/>
      <c r="L23" s="2268"/>
      <c r="M23" s="2267"/>
      <c r="N23" s="2267"/>
      <c r="O23" s="2268"/>
      <c r="P23" s="2267"/>
      <c r="Q23" s="2267"/>
      <c r="R23" s="2269"/>
    </row>
    <row r="24" spans="1:18" s="2254" customFormat="1" ht="14.25" thickBot="1">
      <c r="A24" s="2759"/>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2983</v>
      </c>
      <c r="B1" s="3252">
        <f>SUM(B14:B23)</f>
        <v>2099.0100000000002</v>
      </c>
      <c r="C1" s="3251"/>
      <c r="D1" s="3251"/>
      <c r="E1" s="3251"/>
      <c r="F1" s="3251"/>
      <c r="G1" s="3249"/>
    </row>
    <row r="2" spans="1:10" ht="16.5">
      <c r="A2" s="3252" t="s">
        <v>2971</v>
      </c>
      <c r="B2" s="3252">
        <f>SUM(C14:C23)</f>
        <v>0</v>
      </c>
      <c r="C2" s="3251"/>
      <c r="D2" s="3251"/>
      <c r="E2" s="3251"/>
      <c r="F2" s="3251"/>
      <c r="G2" s="3249"/>
    </row>
    <row r="3" spans="1:10" ht="16.5">
      <c r="A3" s="3252" t="s">
        <v>2980</v>
      </c>
      <c r="B3" s="3253">
        <f>项目基本情况!D3</f>
        <v>42962</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6914</v>
      </c>
      <c r="C5" s="3252">
        <f ca="1">ROUND(B5*10000/$B$1,0)</f>
        <v>32939</v>
      </c>
      <c r="D5" s="3252" t="e">
        <f ca="1">ROUND(B5*10000/$B$2,0)</f>
        <v>#DIV/0!</v>
      </c>
      <c r="E5" s="3251"/>
      <c r="F5" s="3249"/>
      <c r="G5" s="3249"/>
    </row>
    <row r="6" spans="1:10" ht="16.5">
      <c r="A6" s="3252" t="s">
        <v>2974</v>
      </c>
      <c r="B6" s="3252">
        <f ca="1">SUM(G14:G23)</f>
        <v>6914</v>
      </c>
      <c r="C6" s="3252">
        <f ca="1">ROUND(B6*10000/$B$1,0)</f>
        <v>32939</v>
      </c>
      <c r="D6" s="3252" t="e">
        <f ca="1">ROUND(B6*10000/$B$2,0)</f>
        <v>#DIV/0!</v>
      </c>
      <c r="E6" s="3251"/>
      <c r="F6" s="3249"/>
      <c r="G6" s="3249"/>
    </row>
    <row r="7" spans="1:10" ht="16.5">
      <c r="A7" s="3252" t="s">
        <v>2982</v>
      </c>
      <c r="B7" s="3252">
        <f>SUM(H14:H23)</f>
        <v>0</v>
      </c>
      <c r="C7" s="3252">
        <f>ROUND(B7*10000/$B$1,0)</f>
        <v>0</v>
      </c>
      <c r="D7" s="3252" t="e">
        <f>ROUND(B7*10000/$B$2,0)</f>
        <v>#DIV/0!</v>
      </c>
      <c r="E7" s="3251"/>
      <c r="F7" s="3249"/>
      <c r="G7" s="3249"/>
    </row>
    <row r="8" spans="1:10" ht="16.5">
      <c r="A8" s="3252" t="s">
        <v>2871</v>
      </c>
      <c r="B8" s="3252">
        <f>SUM(I14:I23)</f>
        <v>0</v>
      </c>
      <c r="C8" s="3252">
        <f>ROUND(B8*10000/$B$1,0)</f>
        <v>0</v>
      </c>
      <c r="D8" s="3252" t="e">
        <f>ROUND(B8*10000/$B$2,0)</f>
        <v>#DIV/0!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2099.0100000000002</v>
      </c>
      <c r="C14" s="3250">
        <f>'数据-汇总表'!D3</f>
        <v>0</v>
      </c>
      <c r="D14" s="3250">
        <f ca="1">结果表!H118</f>
        <v>6914</v>
      </c>
      <c r="E14" s="3250">
        <f ca="1">ROUND(D14*10000/B14,0)</f>
        <v>32939</v>
      </c>
      <c r="F14" s="3250" t="e">
        <f ca="1">ROUND(D14*10000/C14,0)</f>
        <v>#DIV/0!</v>
      </c>
      <c r="G14" s="3250">
        <f ca="1">结果表!D122</f>
        <v>6914</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6" t="s">
        <v>141</v>
      </c>
      <c r="D1" s="1243"/>
      <c r="E1" s="1243"/>
      <c r="F1" s="2080" t="s">
        <v>2106</v>
      </c>
      <c r="G1" s="2053" t="s">
        <v>3073</v>
      </c>
      <c r="H1" s="2109" t="str">
        <f>IF(G1="现房","——","估价对象范围")</f>
        <v>——</v>
      </c>
      <c r="I1" s="2086"/>
    </row>
    <row r="2" spans="1:12" ht="21.75" customHeight="1" thickBot="1">
      <c r="A2" s="3516" t="str">
        <f>项目基本情况!S2</f>
        <v>北京市朝阳区亮马桥路32号房地产</v>
      </c>
      <c r="B2" s="3517"/>
      <c r="C2" s="3517"/>
      <c r="D2" s="3517"/>
      <c r="E2" s="3517"/>
      <c r="F2" s="3517"/>
      <c r="G2" s="3517"/>
      <c r="H2" s="3517"/>
      <c r="I2" s="3518"/>
    </row>
    <row r="3" spans="1:12" ht="12">
      <c r="A3" s="3520" t="s">
        <v>10</v>
      </c>
      <c r="B3" s="3521"/>
      <c r="C3" s="3521"/>
      <c r="D3" s="3521"/>
      <c r="E3" s="3521"/>
      <c r="F3" s="3521"/>
      <c r="G3" s="3521"/>
      <c r="H3" s="3521"/>
      <c r="I3" s="3521"/>
    </row>
    <row r="4" spans="1:12" ht="13.5">
      <c r="A4" s="429" t="s">
        <v>11</v>
      </c>
      <c r="B4" s="430" t="s">
        <v>12</v>
      </c>
      <c r="C4" s="431" t="s">
        <v>3175</v>
      </c>
      <c r="D4" s="431" t="s">
        <v>3123</v>
      </c>
      <c r="E4" s="3522" t="s">
        <v>763</v>
      </c>
      <c r="F4" s="3523"/>
      <c r="G4" s="3523"/>
      <c r="H4" s="3523"/>
      <c r="I4" s="3524"/>
      <c r="K4" s="2182" t="str">
        <f>IF(ISNUMBER(FIND("比较法",结果表!C4)),"比较法",IF(ISNUMBER(FIND("成本法",结果表!C4)),"成本法",IF(ISNUMBER(FIND("假设开发法",结果表!C4)),"假设开发法",IF(ISNUMBER(FIND("收益法",结果表!C4)),"收益法","基准地价系数修正法"))))</f>
        <v>比较法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95" t="s">
        <v>13</v>
      </c>
      <c r="B5" s="3482">
        <v>25</v>
      </c>
      <c r="C5" s="3498"/>
      <c r="D5" s="3519"/>
      <c r="E5" s="471" t="s">
        <v>807</v>
      </c>
      <c r="F5" s="432"/>
      <c r="G5" s="432"/>
      <c r="H5" s="432"/>
      <c r="I5" s="433"/>
    </row>
    <row r="6" spans="1:12" ht="12.75">
      <c r="A6" s="3495"/>
      <c r="B6" s="3482"/>
      <c r="C6" s="3499"/>
      <c r="D6" s="3519"/>
      <c r="E6" s="471" t="s">
        <v>808</v>
      </c>
      <c r="F6" s="432"/>
      <c r="G6" s="432"/>
      <c r="H6" s="432"/>
      <c r="I6" s="433"/>
    </row>
    <row r="7" spans="1:12" ht="12.75">
      <c r="A7" s="3495"/>
      <c r="B7" s="3482"/>
      <c r="C7" s="3500"/>
      <c r="D7" s="3519"/>
      <c r="E7" s="471" t="s">
        <v>809</v>
      </c>
      <c r="F7" s="432"/>
      <c r="G7" s="432"/>
      <c r="H7" s="432"/>
      <c r="I7" s="433"/>
    </row>
    <row r="8" spans="1:12" ht="12.75">
      <c r="A8" s="3495" t="s">
        <v>14</v>
      </c>
      <c r="B8" s="3482">
        <v>15</v>
      </c>
      <c r="C8" s="3498"/>
      <c r="D8" s="3519"/>
      <c r="E8" s="471" t="s">
        <v>810</v>
      </c>
      <c r="F8" s="432"/>
      <c r="G8" s="432"/>
      <c r="H8" s="432"/>
      <c r="I8" s="433"/>
    </row>
    <row r="9" spans="1:12" ht="12.75">
      <c r="A9" s="3495"/>
      <c r="B9" s="3482"/>
      <c r="C9" s="3500"/>
      <c r="D9" s="3519"/>
      <c r="E9" s="471" t="s">
        <v>811</v>
      </c>
      <c r="F9" s="432"/>
      <c r="G9" s="432"/>
      <c r="H9" s="432"/>
      <c r="I9" s="433"/>
    </row>
    <row r="10" spans="1:12" ht="12.75">
      <c r="A10" s="3495" t="s">
        <v>15</v>
      </c>
      <c r="B10" s="3482">
        <v>15</v>
      </c>
      <c r="C10" s="3498"/>
      <c r="D10" s="3519"/>
      <c r="E10" s="471" t="s">
        <v>812</v>
      </c>
      <c r="F10" s="432"/>
      <c r="G10" s="432"/>
      <c r="H10" s="432"/>
      <c r="I10" s="433"/>
    </row>
    <row r="11" spans="1:12" ht="12.75">
      <c r="A11" s="3495"/>
      <c r="B11" s="3482"/>
      <c r="C11" s="3500"/>
      <c r="D11" s="3519"/>
      <c r="E11" s="471" t="s">
        <v>813</v>
      </c>
      <c r="F11" s="432"/>
      <c r="G11" s="432"/>
      <c r="H11" s="432"/>
      <c r="I11" s="433"/>
    </row>
    <row r="12" spans="1:12" ht="12.75">
      <c r="A12" s="3495" t="s">
        <v>16</v>
      </c>
      <c r="B12" s="3482">
        <v>15</v>
      </c>
      <c r="C12" s="3498"/>
      <c r="D12" s="3519"/>
      <c r="E12" s="471" t="s">
        <v>814</v>
      </c>
      <c r="F12" s="432"/>
      <c r="G12" s="432"/>
      <c r="H12" s="432"/>
      <c r="I12" s="433"/>
    </row>
    <row r="13" spans="1:12" ht="12.75">
      <c r="A13" s="3495"/>
      <c r="B13" s="3482"/>
      <c r="C13" s="3500"/>
      <c r="D13" s="3519"/>
      <c r="E13" s="471" t="s">
        <v>815</v>
      </c>
      <c r="F13" s="432"/>
      <c r="G13" s="432"/>
      <c r="H13" s="432"/>
      <c r="I13" s="433"/>
    </row>
    <row r="14" spans="1:12" ht="12.75">
      <c r="A14" s="3495" t="s">
        <v>17</v>
      </c>
      <c r="B14" s="3482">
        <v>30</v>
      </c>
      <c r="C14" s="3498">
        <v>5</v>
      </c>
      <c r="D14" s="3519">
        <v>5</v>
      </c>
      <c r="E14" s="471" t="s">
        <v>816</v>
      </c>
      <c r="F14" s="432"/>
      <c r="G14" s="432"/>
      <c r="H14" s="432"/>
      <c r="I14" s="433"/>
    </row>
    <row r="15" spans="1:12" ht="12.75">
      <c r="A15" s="3495"/>
      <c r="B15" s="3482"/>
      <c r="C15" s="3499"/>
      <c r="D15" s="3519"/>
      <c r="E15" s="471" t="s">
        <v>817</v>
      </c>
      <c r="F15" s="432"/>
      <c r="G15" s="432"/>
      <c r="H15" s="432"/>
      <c r="I15" s="433"/>
    </row>
    <row r="16" spans="1:12" ht="12.75">
      <c r="A16" s="3495"/>
      <c r="B16" s="3482"/>
      <c r="C16" s="3500"/>
      <c r="D16" s="3519"/>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2128</v>
      </c>
      <c r="L18" s="2182">
        <f>IF(C1="",'数据-汇总表'!E3,SUMIF(项目类型,C1,'数据-汇总表'!E17:E26)+SUMIF(项目类型,C1,'数据-汇总表'!I17:I26))</f>
        <v>2099.0100000000002</v>
      </c>
      <c r="M18" s="2182">
        <f>IF(C1="",'数据-汇总表'!E3,SUMIF(项目类型,C1,'数据-汇总表'!E17:E26))</f>
        <v>2099.0100000000002</v>
      </c>
    </row>
    <row r="19" spans="1:35" ht="14.25">
      <c r="A19" s="436" t="s">
        <v>180</v>
      </c>
      <c r="B19" s="437" t="s">
        <v>20</v>
      </c>
      <c r="C19" s="474">
        <f ca="1">SUMIF(INDIRECT("'"&amp;C4&amp;"'"&amp;"!A:A"),结果表!B19,INDIRECT("'"&amp;C4&amp;"'"&amp;"!B:B"))</f>
        <v>6955</v>
      </c>
      <c r="D19" s="475">
        <f ca="1">SUMIF(INDIRECT("'"&amp;D4&amp;"'"&amp;"!A:A"),结果表!B19,INDIRECT("'"&amp;D4&amp;"'"&amp;"!B:B"))</f>
        <v>6873</v>
      </c>
      <c r="E19" s="436" t="s">
        <v>179</v>
      </c>
      <c r="F19" s="437" t="s">
        <v>20</v>
      </c>
      <c r="G19" s="476">
        <f ca="1">ROUND(C19*$C$18+D19*$D$18,0)</f>
        <v>6914</v>
      </c>
      <c r="H19" s="438" t="s">
        <v>228</v>
      </c>
      <c r="I19" s="2275"/>
      <c r="K19" s="2182" t="s">
        <v>2129</v>
      </c>
      <c r="L19" s="2182">
        <f>IF(C1="",'数据-汇总表'!D3,SUMIF(项目类型,C1,'数据-汇总表'!D17:D26)+SUMIF(项目类型,C1,'数据-汇总表'!H17:H27))</f>
        <v>0</v>
      </c>
      <c r="M19" s="2182">
        <f>IF(C1="",'数据-汇总表'!D3,SUMIF(项目类型,C1,'数据-汇总表'!D17:D26))</f>
        <v>0</v>
      </c>
    </row>
    <row r="20" spans="1:35" ht="14.25">
      <c r="A20" s="439"/>
      <c r="B20" s="440" t="s">
        <v>21</v>
      </c>
      <c r="C20" s="477">
        <f ca="1">SUMIF(INDIRECT("'"&amp;C4&amp;"'"&amp;"!A:A"),结果表!B20,INDIRECT("'"&amp;C4&amp;"'"&amp;"!B:B"))</f>
        <v>33133</v>
      </c>
      <c r="D20" s="478">
        <f ca="1">SUMIF(INDIRECT("'"&amp;D4&amp;"'"&amp;"!A:A"),结果表!B20,INDIRECT("'"&amp;D4&amp;"'"&amp;"!B:B"))</f>
        <v>32744</v>
      </c>
      <c r="E20" s="439"/>
      <c r="F20" s="440" t="s">
        <v>21</v>
      </c>
      <c r="G20" s="479">
        <f ca="1">ROUND(C20*$C$18+D20*$D$18,0)</f>
        <v>32939</v>
      </c>
      <c r="H20" s="441" t="s">
        <v>227</v>
      </c>
      <c r="I20" s="2275"/>
    </row>
    <row r="21" spans="1:35" ht="15" customHeight="1" thickBot="1">
      <c r="A21" s="443"/>
      <c r="B21" s="444" t="s">
        <v>22</v>
      </c>
      <c r="C21" s="1422" t="e">
        <f ca="1">ROUND(C19*10000/L19,0)</f>
        <v>#DIV/0!</v>
      </c>
      <c r="D21" s="1423" t="e">
        <f ca="1">ROUND(D19*10000/L19,0)</f>
        <v>#DIV/0!</v>
      </c>
      <c r="E21" s="443"/>
      <c r="F21" s="444" t="s">
        <v>22</v>
      </c>
      <c r="G21" s="480" t="e">
        <f ca="1">ROUND(G19*10000/L19,0)</f>
        <v>#DIV/0!</v>
      </c>
      <c r="H21" s="445" t="s">
        <v>227</v>
      </c>
      <c r="I21" s="2275"/>
    </row>
    <row r="22" spans="1:35" ht="15" thickBot="1">
      <c r="A22" s="275" t="s">
        <v>181</v>
      </c>
      <c r="B22" s="1424"/>
      <c r="C22" s="1425"/>
      <c r="D22" s="1426">
        <f ca="1">IF(C19&lt;D19,D19/C19-1,C19/D19-1)</f>
        <v>1.1930743489015017E-2</v>
      </c>
      <c r="E22" s="2275"/>
      <c r="F22" s="2275"/>
      <c r="G22" s="2275"/>
      <c r="H22" s="2275"/>
      <c r="I22" s="2275"/>
    </row>
    <row r="23" spans="1:35" ht="12.75" thickBot="1">
      <c r="A23" s="1243"/>
      <c r="B23" s="1243"/>
      <c r="C23" s="1243"/>
      <c r="D23" s="1243"/>
      <c r="E23" s="2275"/>
      <c r="F23" s="2275"/>
      <c r="G23" s="2275"/>
      <c r="H23" s="2275"/>
      <c r="I23" s="2275"/>
    </row>
    <row r="24" spans="1:35" ht="14.25">
      <c r="A24" s="3489" t="s">
        <v>177</v>
      </c>
      <c r="B24" s="437" t="s">
        <v>20</v>
      </c>
      <c r="C24" s="476">
        <f>IF(B30=0,0,D30)</f>
        <v>0</v>
      </c>
      <c r="D24" s="446"/>
      <c r="E24" s="2275"/>
      <c r="F24" s="2275"/>
      <c r="G24" s="2275"/>
      <c r="H24" s="2275"/>
      <c r="I24" s="2275"/>
    </row>
    <row r="25" spans="1:35" ht="14.25">
      <c r="A25" s="3490"/>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6914</v>
      </c>
      <c r="D32" s="2090" t="s">
        <v>210</v>
      </c>
      <c r="E32" s="2275"/>
      <c r="F32" s="2275"/>
      <c r="G32" s="2275"/>
      <c r="H32" s="2275"/>
      <c r="I32" s="2275"/>
    </row>
    <row r="33" spans="1:15" ht="13.5">
      <c r="A33" s="457" t="s">
        <v>764</v>
      </c>
      <c r="B33" s="2089"/>
      <c r="C33" s="2871"/>
      <c r="D33" s="2874"/>
      <c r="E33" s="2087" t="s">
        <v>2108</v>
      </c>
      <c r="F33" s="2088" t="str">
        <f>IF(D32="楼面单价","取值（单价）","取值（总价）")</f>
        <v>取值（总价）</v>
      </c>
      <c r="G33" s="2275"/>
      <c r="H33" s="2275"/>
      <c r="I33" s="2275"/>
    </row>
    <row r="34" spans="1:15" ht="15">
      <c r="A34" s="458"/>
      <c r="B34" s="459" t="s">
        <v>767</v>
      </c>
      <c r="C34" s="489" t="e">
        <f ca="1">IF(C33="自定义",F34,C32-C35)</f>
        <v>#REF!</v>
      </c>
      <c r="D34" s="2091" t="e">
        <f ca="1">IF(C33="自定义",ROUND(C34/C32,3),IF(C33="收益比率",SUMIF(INDIRECT("'"&amp;D33&amp;"'"&amp;"!b:b"),"土地收益比率",INDIRECT("'"&amp;D33&amp;"'"&amp;"!c:c")),SUMIF(INDIRECT("'"&amp;D33&amp;"'"&amp;"!b:b"),"土地成本比率",INDIRECT("'"&amp;D33&amp;"'"&amp;"!c:c"))))</f>
        <v>#REF!</v>
      </c>
      <c r="E34" s="2872" t="s">
        <v>2109</v>
      </c>
      <c r="F34" s="3245"/>
      <c r="G34" s="2275"/>
      <c r="H34" s="2275"/>
      <c r="I34" s="2275"/>
    </row>
    <row r="35" spans="1:15" ht="15.75" thickBot="1">
      <c r="A35" s="461"/>
      <c r="B35" s="2875" t="s">
        <v>769</v>
      </c>
      <c r="C35" s="2876" t="e">
        <f ca="1">IF(C33="自定义",F35,ROUND(C32*D35,0))</f>
        <v>#REF!</v>
      </c>
      <c r="D35" s="2877" t="e">
        <f ca="1">IF(C33="自定义",ROUND(C35/C32,3),IF(C33="收益比率",SUMIF(INDIRECT("'"&amp;D33&amp;"'"&amp;"!b:b"),"建筑物收益比率",INDIRECT("'"&amp;D33&amp;"'"&amp;"!c:c")),SUMIF(INDIRECT("'"&amp;D33&amp;"'"&amp;"!b:b"),"建筑物成本比率",INDIRECT("'"&amp;D33&amp;"'"&amp;"!c:c"))))</f>
        <v>#REF!</v>
      </c>
      <c r="E35" s="2873" t="s">
        <v>2110</v>
      </c>
      <c r="F35" s="495"/>
      <c r="G35" s="2275"/>
      <c r="H35" s="2275"/>
      <c r="I35" s="2275"/>
    </row>
    <row r="36" spans="1:15" ht="15.75" thickBot="1">
      <c r="A36" s="3508" t="s">
        <v>765</v>
      </c>
      <c r="B36" s="455" t="s">
        <v>766</v>
      </c>
      <c r="C36" s="486"/>
      <c r="D36" s="456"/>
      <c r="E36" s="1246"/>
      <c r="F36" s="2276"/>
      <c r="G36" s="2275"/>
      <c r="H36" s="2275"/>
      <c r="I36" s="2275"/>
    </row>
    <row r="37" spans="1:15" ht="15.75" thickBot="1">
      <c r="A37" s="3509"/>
      <c r="B37" s="13" t="s">
        <v>768</v>
      </c>
      <c r="C37" s="488"/>
      <c r="D37" s="2224"/>
      <c r="E37" s="2224"/>
      <c r="F37" s="2276"/>
      <c r="G37" s="2275"/>
      <c r="H37" s="2275"/>
      <c r="I37" s="2275"/>
    </row>
    <row r="38" spans="1:15" ht="15.75" thickBot="1">
      <c r="A38" s="3510"/>
      <c r="B38" s="460" t="s">
        <v>770</v>
      </c>
      <c r="C38" s="1137"/>
      <c r="D38" s="1247"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8" t="s">
        <v>777</v>
      </c>
      <c r="B40" s="490"/>
      <c r="C40" s="491"/>
      <c r="D40" s="491"/>
      <c r="E40" s="492"/>
      <c r="F40" s="2276"/>
      <c r="G40" s="2275"/>
      <c r="H40" s="2275"/>
      <c r="I40" s="2275"/>
    </row>
    <row r="41" spans="1:15" ht="13.5">
      <c r="A41" s="1248" t="s">
        <v>778</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2" t="s">
        <v>214</v>
      </c>
      <c r="K44" s="3263"/>
      <c r="L44" s="3263"/>
      <c r="M44" s="3263"/>
      <c r="N44" s="3263"/>
      <c r="O44" s="3263"/>
    </row>
    <row r="45" spans="1:15" ht="14.25" customHeight="1" thickBot="1">
      <c r="A45" s="3486" t="s">
        <v>799</v>
      </c>
      <c r="B45" s="3487"/>
      <c r="C45" s="3488"/>
      <c r="D45" s="496">
        <f ca="1">ROUND(H101*F45,0)</f>
        <v>6914</v>
      </c>
      <c r="E45" s="497" t="s">
        <v>800</v>
      </c>
      <c r="F45" s="498">
        <v>1</v>
      </c>
      <c r="G45" s="499" t="s">
        <v>801</v>
      </c>
      <c r="H45" s="2275"/>
      <c r="I45" s="2275"/>
      <c r="J45" s="3550" t="s">
        <v>215</v>
      </c>
      <c r="K45" s="3550"/>
      <c r="L45" s="3550"/>
      <c r="M45" s="3550"/>
      <c r="N45" s="3550"/>
      <c r="O45" s="3550"/>
    </row>
    <row r="46" spans="1:15" ht="14.25" customHeight="1">
      <c r="A46" s="3483" t="s">
        <v>287</v>
      </c>
      <c r="B46" s="3484"/>
      <c r="C46" s="3484"/>
      <c r="D46" s="3484"/>
      <c r="E46" s="3484"/>
      <c r="F46" s="3484"/>
      <c r="G46" s="3485"/>
      <c r="H46" s="2277"/>
      <c r="I46" s="2230"/>
      <c r="J46" s="1498">
        <v>1</v>
      </c>
      <c r="K46" s="3550" t="s">
        <v>216</v>
      </c>
      <c r="L46" s="3550"/>
      <c r="M46" s="3574"/>
      <c r="N46" s="3574"/>
      <c r="O46" s="3574"/>
    </row>
    <row r="47" spans="1:15" ht="12" customHeight="1">
      <c r="A47" s="501" t="s">
        <v>288</v>
      </c>
      <c r="B47" s="502"/>
      <c r="C47" s="503"/>
      <c r="D47" s="504" t="s">
        <v>289</v>
      </c>
      <c r="E47" s="313" t="s">
        <v>290</v>
      </c>
      <c r="F47" s="505" t="s">
        <v>802</v>
      </c>
      <c r="G47" s="506" t="s">
        <v>803</v>
      </c>
      <c r="H47" s="2277"/>
      <c r="I47" s="2230"/>
      <c r="J47" s="1498">
        <v>2</v>
      </c>
      <c r="K47" s="3550" t="s">
        <v>217</v>
      </c>
      <c r="L47" s="3550"/>
      <c r="M47" s="3575">
        <f>'数据-取费表'!B2</f>
        <v>42962</v>
      </c>
      <c r="N47" s="3575"/>
      <c r="O47" s="3575"/>
    </row>
    <row r="48" spans="1:15" ht="25.5">
      <c r="A48" s="3515" t="s">
        <v>291</v>
      </c>
      <c r="B48" s="3497"/>
      <c r="C48" s="3497"/>
      <c r="D48" s="471">
        <f>IF(H48="情况1",0,IF(H48="情况2",D52,IF(H48="情况3",D53,IF(H48="情况4",D54))))</f>
        <v>0</v>
      </c>
      <c r="E48" s="1921" t="str">
        <f>IF(H48="情况4","(销售额-原购置价)×税（费）率","销售额×税（费）率")</f>
        <v>销售额×税（费）率</v>
      </c>
      <c r="F48" s="507" t="str">
        <f>IF(H48="情况1","免征",'数据-取费表'!B41)</f>
        <v>免征</v>
      </c>
      <c r="G48" s="465" t="s">
        <v>780</v>
      </c>
      <c r="H48" s="1432" t="s">
        <v>2411</v>
      </c>
      <c r="I48" s="2277"/>
      <c r="J48" s="1498">
        <v>3</v>
      </c>
      <c r="K48" s="3550" t="s">
        <v>781</v>
      </c>
      <c r="L48" s="3550"/>
      <c r="M48" s="3576">
        <f ca="1">H101</f>
        <v>6914</v>
      </c>
      <c r="N48" s="3576"/>
      <c r="O48" s="3576"/>
    </row>
    <row r="49" spans="1:35" ht="25.5" customHeight="1">
      <c r="A49" s="508" t="s">
        <v>804</v>
      </c>
      <c r="B49" s="3481" t="s">
        <v>805</v>
      </c>
      <c r="C49" s="3481"/>
      <c r="D49" s="509">
        <v>0</v>
      </c>
      <c r="E49" s="312" t="s">
        <v>806</v>
      </c>
      <c r="F49" s="317" t="s">
        <v>171</v>
      </c>
      <c r="G49" s="3556"/>
      <c r="H49" s="2275"/>
      <c r="I49" s="2278"/>
      <c r="J49" s="1498">
        <v>4</v>
      </c>
      <c r="K49" s="3550" t="str">
        <f>IF(项目基本情况!E8="房地产抵押价值","房地产抵押价值","抵押担保权已注销时的房地产抵押价值")</f>
        <v>房地产抵押价值</v>
      </c>
      <c r="L49" s="3550"/>
      <c r="M49" s="3576">
        <f ca="1">IF(项目基本情况!E8="房地产抵押价值",H107,H109)</f>
        <v>6914</v>
      </c>
      <c r="N49" s="3576"/>
      <c r="O49" s="3576"/>
    </row>
    <row r="50" spans="1:35" ht="25.5" customHeight="1">
      <c r="A50" s="510"/>
      <c r="B50" s="3481" t="s">
        <v>294</v>
      </c>
      <c r="C50" s="3481"/>
      <c r="D50" s="511"/>
      <c r="E50" s="320"/>
      <c r="F50" s="512"/>
      <c r="G50" s="3557"/>
      <c r="H50" s="2275"/>
      <c r="I50" s="2278"/>
      <c r="J50" s="3550" t="s">
        <v>218</v>
      </c>
      <c r="K50" s="3550"/>
      <c r="L50" s="3550"/>
      <c r="M50" s="3550"/>
      <c r="N50" s="3550"/>
      <c r="O50" s="3550"/>
    </row>
    <row r="51" spans="1:35" ht="12" customHeight="1">
      <c r="A51" s="513"/>
      <c r="B51" s="3481" t="s">
        <v>295</v>
      </c>
      <c r="C51" s="3481"/>
      <c r="D51" s="514"/>
      <c r="E51" s="319"/>
      <c r="F51" s="512"/>
      <c r="G51" s="3558"/>
      <c r="H51" s="2275"/>
      <c r="I51" s="2278"/>
      <c r="J51" s="3264" t="s">
        <v>219</v>
      </c>
      <c r="K51" s="3550" t="s">
        <v>220</v>
      </c>
      <c r="L51" s="3550"/>
      <c r="M51" s="3264" t="s">
        <v>2996</v>
      </c>
      <c r="N51" s="3264" t="s">
        <v>221</v>
      </c>
      <c r="O51" s="3264" t="s">
        <v>222</v>
      </c>
    </row>
    <row r="52" spans="1:35" ht="24" customHeight="1">
      <c r="A52" s="515" t="s">
        <v>296</v>
      </c>
      <c r="B52" s="3481" t="s">
        <v>297</v>
      </c>
      <c r="C52" s="3481"/>
      <c r="D52" s="514">
        <f ca="1">ROUND(D45*'数据-取费表'!B41/(1+'数据-取费表'!C42),0)</f>
        <v>369</v>
      </c>
      <c r="E52" s="299" t="s">
        <v>298</v>
      </c>
      <c r="F52" s="516">
        <f>'数据-取费表'!B41</f>
        <v>5.6000000000000001E-2</v>
      </c>
      <c r="G52" s="466"/>
      <c r="H52" s="2275"/>
      <c r="I52" s="2278"/>
      <c r="J52" s="1498">
        <v>1</v>
      </c>
      <c r="K52" s="3551" t="s">
        <v>782</v>
      </c>
      <c r="L52" s="3551"/>
      <c r="M52" s="3265">
        <f>D48</f>
        <v>0</v>
      </c>
      <c r="N52" s="1497" t="str">
        <f>E48</f>
        <v>销售额×税（费）率</v>
      </c>
      <c r="O52" s="3266" t="str">
        <f>F48</f>
        <v>免征</v>
      </c>
    </row>
    <row r="53" spans="1:35" ht="12" customHeight="1">
      <c r="A53" s="515" t="s">
        <v>299</v>
      </c>
      <c r="B53" s="3506" t="s">
        <v>300</v>
      </c>
      <c r="C53" s="3507"/>
      <c r="D53" s="514">
        <f ca="1">ROUND(D45*'数据-取费表'!B41/(1+'数据-取费表'!C42),0)</f>
        <v>369</v>
      </c>
      <c r="E53" s="299" t="s">
        <v>298</v>
      </c>
      <c r="F53" s="516">
        <f>'数据-取费表'!B41</f>
        <v>5.6000000000000001E-2</v>
      </c>
      <c r="G53" s="466"/>
      <c r="H53" s="2275"/>
      <c r="I53" s="2278"/>
      <c r="J53" s="1498">
        <v>2</v>
      </c>
      <c r="K53" s="3551" t="s">
        <v>783</v>
      </c>
      <c r="L53" s="3551"/>
      <c r="M53" s="3265">
        <f t="shared" ref="M53:O54" ca="1" si="0">D55</f>
        <v>0</v>
      </c>
      <c r="N53" s="1497" t="str">
        <f t="shared" si="0"/>
        <v>销售额×税（费）率</v>
      </c>
      <c r="O53" s="3266">
        <f t="shared" si="0"/>
        <v>0</v>
      </c>
    </row>
    <row r="54" spans="1:35" ht="12" customHeight="1">
      <c r="A54" s="515" t="s">
        <v>301</v>
      </c>
      <c r="B54" s="3506" t="s">
        <v>302</v>
      </c>
      <c r="C54" s="3507"/>
      <c r="D54" s="514">
        <f ca="1">C68</f>
        <v>369</v>
      </c>
      <c r="E54" s="319" t="s">
        <v>303</v>
      </c>
      <c r="F54" s="516">
        <f>'数据-取费表'!B41</f>
        <v>5.6000000000000001E-2</v>
      </c>
      <c r="G54" s="466"/>
      <c r="H54" s="2279"/>
      <c r="I54" s="2278"/>
      <c r="J54" s="1498">
        <v>3</v>
      </c>
      <c r="K54" s="3551" t="s">
        <v>784</v>
      </c>
      <c r="L54" s="3551"/>
      <c r="M54" s="3265">
        <f t="shared" ca="1" si="0"/>
        <v>3913</v>
      </c>
      <c r="N54" s="1497" t="str">
        <f t="shared" si="0"/>
        <v>增值额×税（费）率</v>
      </c>
      <c r="O54" s="3267" t="str">
        <f t="shared" si="0"/>
        <v>——</v>
      </c>
    </row>
    <row r="55" spans="1:35" ht="24" customHeight="1">
      <c r="A55" s="3496" t="s">
        <v>304</v>
      </c>
      <c r="B55" s="3497"/>
      <c r="C55" s="3497"/>
      <c r="D55" s="517">
        <f ca="1">IF(H55="个人住宅",0,ROUND(D45*I55,0))</f>
        <v>0</v>
      </c>
      <c r="E55" s="299" t="s">
        <v>305</v>
      </c>
      <c r="F55" s="516">
        <f>IF(H55="正常",I55,"免征")</f>
        <v>0</v>
      </c>
      <c r="G55" s="466"/>
      <c r="H55" s="1432" t="s">
        <v>155</v>
      </c>
      <c r="I55" s="518">
        <f>'数据-取费表'!B49</f>
        <v>0</v>
      </c>
      <c r="J55" s="1498" t="str">
        <f>IF(H59="非个人房产","",4)</f>
        <v/>
      </c>
      <c r="K55" s="3551" t="str">
        <f>IF(H59="非个人房产","——","个人所得税")</f>
        <v>——</v>
      </c>
      <c r="L55" s="3551"/>
      <c r="M55" s="3268" t="str">
        <f>D59</f>
        <v>——</v>
      </c>
      <c r="N55" s="3269" t="str">
        <f>E59</f>
        <v>——</v>
      </c>
      <c r="O55" s="3270" t="str">
        <f>F59</f>
        <v>——</v>
      </c>
    </row>
    <row r="56" spans="1:35" ht="24.75">
      <c r="A56" s="3496" t="s">
        <v>306</v>
      </c>
      <c r="B56" s="3497"/>
      <c r="C56" s="3497"/>
      <c r="D56" s="517">
        <f ca="1">IF(H56="个人住宅",D57,D58)</f>
        <v>3913</v>
      </c>
      <c r="E56" s="299" t="s">
        <v>307</v>
      </c>
      <c r="F56" s="516" t="str">
        <f>IF(H56="正常",F58,"免征")</f>
        <v>——</v>
      </c>
      <c r="G56" s="1256" t="s">
        <v>785</v>
      </c>
      <c r="H56" s="1431" t="s">
        <v>155</v>
      </c>
      <c r="I56" s="2280"/>
      <c r="J56" s="1498" t="str">
        <f>IF(项目基本情况!K6="上海银行",IF(J55="",4,J55+1),"")</f>
        <v/>
      </c>
      <c r="K56" s="3578" t="str">
        <f>IF(项目基本情况!K6="上海银行","其他处置费用","")</f>
        <v/>
      </c>
      <c r="L56" s="3579"/>
      <c r="M56" s="3265" t="str">
        <f>IF(项目基本情况!K6="上海银行",M69,"")</f>
        <v/>
      </c>
      <c r="N56" s="3581" t="str">
        <f>IF(项目基本情况!K6="上海银行","包含处置中涉及的律师、诉讼、拍卖、评估等费用","")</f>
        <v/>
      </c>
      <c r="O56" s="3582"/>
    </row>
    <row r="57" spans="1:35" ht="12.75">
      <c r="A57" s="515" t="s">
        <v>292</v>
      </c>
      <c r="B57" s="3513" t="s">
        <v>308</v>
      </c>
      <c r="C57" s="3536"/>
      <c r="D57" s="519">
        <v>0</v>
      </c>
      <c r="E57" s="312" t="s">
        <v>293</v>
      </c>
      <c r="F57" s="487"/>
      <c r="G57" s="466"/>
      <c r="H57" s="2280"/>
      <c r="I57" s="2280"/>
      <c r="J57" s="3561">
        <f>IF(AND(J55="",J56=""),4,IF(项目基本情况!K6="上海银行",结果表!J56+1,结果表!J55+1))</f>
        <v>4</v>
      </c>
      <c r="K57" s="3551" t="s">
        <v>786</v>
      </c>
      <c r="L57" s="3271" t="s">
        <v>223</v>
      </c>
      <c r="M57" s="3272"/>
      <c r="N57" s="3273">
        <f ca="1">SUMIF(M52:M56,"&lt;9e307")</f>
        <v>3913</v>
      </c>
      <c r="O57" s="3274"/>
      <c r="P57" s="3261">
        <f ca="1">N57/M49</f>
        <v>0.56595313855944462</v>
      </c>
    </row>
    <row r="58" spans="1:35" ht="24.75">
      <c r="A58" s="515" t="s">
        <v>296</v>
      </c>
      <c r="B58" s="3513" t="s">
        <v>309</v>
      </c>
      <c r="C58" s="3514"/>
      <c r="D58" s="517">
        <f ca="1">IF(H58="转让取得",C81,C97)</f>
        <v>3913</v>
      </c>
      <c r="E58" s="299" t="s">
        <v>307</v>
      </c>
      <c r="F58" s="313" t="s">
        <v>171</v>
      </c>
      <c r="G58" s="466"/>
      <c r="H58" s="1431" t="s">
        <v>1131</v>
      </c>
      <c r="I58" s="2280"/>
      <c r="J58" s="3561"/>
      <c r="K58" s="3551"/>
      <c r="L58" s="3271" t="s">
        <v>224</v>
      </c>
      <c r="M58" s="3275"/>
      <c r="N58" s="3276" t="str">
        <f ca="1">NUMBERSTRING(INT(N57*10000),2)&amp;"元整"</f>
        <v>叁仟玖佰壹拾叁万元整</v>
      </c>
      <c r="O58" s="3277"/>
    </row>
    <row r="59" spans="1:35" ht="24.75" thickBot="1">
      <c r="A59" s="3554" t="s">
        <v>310</v>
      </c>
      <c r="B59" s="3555"/>
      <c r="C59" s="3555"/>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52">
        <f>J57+1</f>
        <v>5</v>
      </c>
      <c r="K59" s="3551" t="s">
        <v>172</v>
      </c>
      <c r="L59" s="1497" t="s">
        <v>223</v>
      </c>
      <c r="M59" s="3278"/>
      <c r="N59" s="3279">
        <f ca="1">M49-N57</f>
        <v>3001</v>
      </c>
      <c r="O59" s="3280"/>
    </row>
    <row r="60" spans="1:35" ht="12" customHeight="1">
      <c r="A60" s="1258"/>
      <c r="B60" s="1243"/>
      <c r="C60" s="1243"/>
      <c r="D60" s="1243"/>
      <c r="E60" s="229"/>
      <c r="F60" s="2280"/>
      <c r="G60" s="2280"/>
      <c r="H60" s="2281"/>
      <c r="I60" s="2275"/>
      <c r="J60" s="3553"/>
      <c r="K60" s="3551"/>
      <c r="L60" s="3271" t="s">
        <v>224</v>
      </c>
      <c r="M60" s="3275"/>
      <c r="N60" s="3276" t="str">
        <f ca="1">NUMBERSTRING(INT(N59*10000),2)&amp;"元整"</f>
        <v>叁仟零壹万元整</v>
      </c>
      <c r="O60" s="3277"/>
    </row>
    <row r="61" spans="1:35" ht="13.5" thickBot="1">
      <c r="A61" s="3494" t="s">
        <v>311</v>
      </c>
      <c r="B61" s="3494"/>
      <c r="C61" s="3494"/>
      <c r="D61" s="3494"/>
      <c r="E61" s="3494"/>
      <c r="F61" s="2280"/>
      <c r="G61" s="2280"/>
      <c r="H61" s="2281"/>
      <c r="I61" s="2275"/>
      <c r="J61" s="1498">
        <f>J59+1</f>
        <v>6</v>
      </c>
      <c r="K61" s="3551" t="s">
        <v>225</v>
      </c>
      <c r="L61" s="3551"/>
      <c r="M61" s="3281"/>
      <c r="N61" s="3282">
        <f ca="1">ROUND(N59*10000/'数据-汇总表'!E3,0)</f>
        <v>14297</v>
      </c>
      <c r="O61" s="3283"/>
    </row>
    <row r="62" spans="1:35" ht="12.75">
      <c r="A62" s="3511" t="s">
        <v>312</v>
      </c>
      <c r="B62" s="3512"/>
      <c r="C62" s="1915"/>
      <c r="D62" s="1915" t="s">
        <v>320</v>
      </c>
      <c r="E62" s="524" t="s">
        <v>321</v>
      </c>
      <c r="F62" s="2280"/>
      <c r="G62" s="2280"/>
      <c r="H62" s="2281"/>
      <c r="I62" s="2275"/>
    </row>
    <row r="63" spans="1:35" ht="12.75">
      <c r="A63" s="535" t="s">
        <v>1892</v>
      </c>
      <c r="B63" s="525" t="s">
        <v>313</v>
      </c>
      <c r="C63" s="526">
        <f ca="1">ROUND((C64+C65)/(1+'数据-取费表'!C42),0)</f>
        <v>6585</v>
      </c>
      <c r="D63" s="527"/>
      <c r="E63" s="528"/>
      <c r="F63" s="2280"/>
      <c r="G63" s="2280"/>
      <c r="H63" s="2281"/>
      <c r="I63" s="2275"/>
      <c r="J63" s="3580" t="s">
        <v>2989</v>
      </c>
      <c r="K63" s="3260" t="s">
        <v>2990</v>
      </c>
      <c r="L63" s="3258">
        <f ca="1">IF(M49&gt;10000,M49*0.5%,IF(AND(M49&gt;1000,M49&lt;=10000),M49*1%,IF(AND(M49&gt;100,M49&lt;=1000),M49*3%,IF(AND(M49&gt;10,M49&lt;=100),M49*5%,M49*8%))))</f>
        <v>69.14</v>
      </c>
      <c r="M63" s="313">
        <f ca="1">ROUND(L63,1)</f>
        <v>69.099999999999994</v>
      </c>
      <c r="Z63" s="1434"/>
      <c r="AI63" s="1244"/>
    </row>
    <row r="64" spans="1:35" ht="14.25" customHeight="1">
      <c r="A64" s="529" t="s">
        <v>1887</v>
      </c>
      <c r="B64" s="530" t="s">
        <v>314</v>
      </c>
      <c r="C64" s="531">
        <f ca="1">D45</f>
        <v>6914</v>
      </c>
      <c r="D64" s="532" t="s">
        <v>167</v>
      </c>
      <c r="E64" s="533"/>
      <c r="F64" s="2280"/>
      <c r="G64" s="2280"/>
      <c r="H64" s="2281"/>
      <c r="I64" s="2275"/>
      <c r="J64" s="3580"/>
      <c r="K64" s="3260" t="s">
        <v>2991</v>
      </c>
      <c r="L64" s="3258">
        <f ca="1">IF(M49&gt;2000,M49*0.5%,IF(AND(M49&gt;1000,M49&lt;=2000),M49*0.6%,IF(AND(M49&gt;500,M49&lt;=1000),M49*0.7%,IF(AND(M49&gt;200,M49&lt;=500),M49*0.8%,IF(AND(M49&gt;100,M49&lt;=200),M49*0.9%,IF(AND(M49&gt;50,M49&lt;=100),M49*1%,IF(AND(M49&gt;20,M49&lt;=50),M49*1.5%,IF(AND(M49&gt;10,M49&lt;=20),M49*2%,IF(AND(M49&gt;1,M49&lt;=10),M49*2.5%)))))))))</f>
        <v>34.57</v>
      </c>
      <c r="M64" s="313">
        <f t="shared" ref="M64:M65" ca="1" si="1">ROUND(L64,1)</f>
        <v>34.6</v>
      </c>
      <c r="N64" s="469" t="s">
        <v>2997</v>
      </c>
      <c r="Z64" s="1434"/>
      <c r="AI64" s="1244"/>
    </row>
    <row r="65" spans="1:35" ht="14.25" customHeight="1">
      <c r="A65" s="529" t="s">
        <v>1888</v>
      </c>
      <c r="B65" s="530" t="s">
        <v>315</v>
      </c>
      <c r="C65" s="534"/>
      <c r="D65" s="532"/>
      <c r="E65" s="533"/>
      <c r="F65" s="2280"/>
      <c r="G65" s="2280"/>
      <c r="H65" s="2281"/>
      <c r="I65" s="2275"/>
      <c r="J65" s="3580"/>
      <c r="K65" s="3260" t="s">
        <v>2992</v>
      </c>
      <c r="L65" s="3258">
        <f ca="1">IF(M49&gt;1000,M49*0.1%,IF(AND(M49&gt;500,M49&lt;=1000),M49*0.5%,IF(AND(M49&gt;50,M49&lt;=500),M49*1%,IF(AND(M49&gt;1,M49&lt;=50),M49*1.5%))))</f>
        <v>6.9139999999999997</v>
      </c>
      <c r="M65" s="313">
        <f t="shared" ca="1" si="1"/>
        <v>6.9</v>
      </c>
      <c r="N65" s="469" t="s">
        <v>2998</v>
      </c>
      <c r="Z65" s="1434"/>
      <c r="AI65" s="1244"/>
    </row>
    <row r="66" spans="1:35" ht="14.25" customHeight="1">
      <c r="A66" s="535" t="s">
        <v>1889</v>
      </c>
      <c r="B66" s="536" t="s">
        <v>316</v>
      </c>
      <c r="C66" s="537"/>
      <c r="D66" s="538" t="s">
        <v>167</v>
      </c>
      <c r="E66" s="3311" t="s">
        <v>3035</v>
      </c>
      <c r="F66" s="2280"/>
      <c r="G66" s="2280"/>
      <c r="H66" s="2281"/>
      <c r="I66" s="2275"/>
      <c r="J66" s="3580"/>
      <c r="K66" s="3260" t="s">
        <v>2993</v>
      </c>
      <c r="L66" s="3258">
        <f ca="1">M49*0.5%</f>
        <v>34.57</v>
      </c>
      <c r="M66" s="313">
        <f ca="1">IF(L66&gt;0.5,0.5,ROUND(L66,0))</f>
        <v>0.5</v>
      </c>
      <c r="N66" s="469" t="s">
        <v>2999</v>
      </c>
      <c r="Z66" s="1434"/>
      <c r="AI66" s="1244"/>
    </row>
    <row r="67" spans="1:35" ht="14.25" customHeight="1">
      <c r="A67" s="535" t="s">
        <v>1890</v>
      </c>
      <c r="B67" s="536" t="s">
        <v>317</v>
      </c>
      <c r="C67" s="539">
        <f ca="1">C63-C66</f>
        <v>6585</v>
      </c>
      <c r="D67" s="532" t="s">
        <v>167</v>
      </c>
      <c r="E67" s="533"/>
      <c r="F67" s="2280"/>
      <c r="G67" s="2280"/>
      <c r="H67" s="2281"/>
      <c r="I67" s="2275"/>
      <c r="J67" s="3580"/>
      <c r="K67" s="3260" t="s">
        <v>2994</v>
      </c>
      <c r="L67" s="3258">
        <f ca="1">IF(M49&gt;=10000,(8.25+(M49-10000)*0.01%),IF(AND(M49&gt;=8000,M49&lt;10000),(7.85+(M49-8000)*0.02%),IF(AND(M49&gt;=5000,M49&lt;8000),(6.65+(M49-5000)*0.04%),IF(AND(M49&gt;=2000,M49&lt;5000),(4.25+(PM49-2000)*0.08%),IF(AND(M49&gt;=1000,M49&lt;2000),(2.75+(M49-1000)*0.15%),IF(AND(M49&gt;=100,M49&lt;1000),(0.5+(M49-100)*0.25%),IF(AND(M49&gt;0,M49&lt;100),M49*0.5%)))))))</f>
        <v>7.4156000000000004</v>
      </c>
      <c r="M67" s="313">
        <f ca="1">ROUND(L67*0.9,1)</f>
        <v>6.7</v>
      </c>
      <c r="Z67" s="1434"/>
      <c r="AI67" s="1244"/>
    </row>
    <row r="68" spans="1:35" ht="14.25" customHeight="1" thickBot="1">
      <c r="A68" s="540" t="s">
        <v>1891</v>
      </c>
      <c r="B68" s="541" t="s">
        <v>318</v>
      </c>
      <c r="C68" s="542">
        <f ca="1">IF(C67&lt;=0,0,ROUND(C67*D68,0))</f>
        <v>369</v>
      </c>
      <c r="D68" s="543">
        <f>'数据-取费表'!B41</f>
        <v>5.6000000000000001E-2</v>
      </c>
      <c r="E68" s="544"/>
      <c r="F68" s="2280"/>
      <c r="G68" s="2280"/>
      <c r="H68" s="2281"/>
      <c r="I68" s="2275"/>
      <c r="J68" s="3580"/>
      <c r="K68" s="3260" t="s">
        <v>2995</v>
      </c>
      <c r="L68" s="3258">
        <f ca="1">IF(M49&gt;10000,M49*0.5%,IF(AND(M49&gt;5000,M49&lt;=10000),M49*1%,IF(AND(M49&gt;1000,M49&lt;=5000),M49*2%,IF(AND(M49&gt;200,M49&lt;=1000),M49*3%,M49*5%))))</f>
        <v>69.14</v>
      </c>
      <c r="M68" s="313">
        <f ca="1">ROUND(L68,1)</f>
        <v>69.099999999999994</v>
      </c>
      <c r="Z68" s="1434"/>
      <c r="AI68" s="1244"/>
    </row>
    <row r="69" spans="1:35" s="1245" customFormat="1" ht="16.5" customHeight="1">
      <c r="A69" s="1259"/>
      <c r="B69" s="1260"/>
      <c r="C69" s="1261"/>
      <c r="D69" s="1262"/>
      <c r="E69" s="1263"/>
      <c r="F69" s="229"/>
      <c r="G69" s="229"/>
      <c r="H69" s="241"/>
      <c r="I69" s="1243"/>
      <c r="J69" s="3580"/>
      <c r="K69" s="3260" t="s">
        <v>187</v>
      </c>
      <c r="L69" s="3259"/>
      <c r="M69" s="313">
        <f ca="1">ROUND(SUM(M63:M68),0)</f>
        <v>187</v>
      </c>
      <c r="N69" s="3261">
        <f ca="1">M69/M49</f>
        <v>2.7046572172403818E-2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4" t="s">
        <v>319</v>
      </c>
      <c r="B70" s="3535"/>
      <c r="C70" s="3535"/>
      <c r="D70" s="3535"/>
      <c r="E70" s="3535"/>
      <c r="F70" s="3535"/>
      <c r="G70" s="3535"/>
      <c r="H70" s="3535"/>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11" t="s">
        <v>312</v>
      </c>
      <c r="B71" s="3512"/>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1892</v>
      </c>
      <c r="B72" s="536" t="s">
        <v>322</v>
      </c>
      <c r="C72" s="539">
        <f ca="1">ROUND(D45/(1+'数据-取费表'!C42),0)</f>
        <v>6585</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1889</v>
      </c>
      <c r="B73" s="505" t="s">
        <v>323</v>
      </c>
      <c r="C73" s="539">
        <f ca="1">C74+C78</f>
        <v>40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2412</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06" t="s">
        <v>328</v>
      </c>
      <c r="F76" s="3481"/>
      <c r="G76" s="3481"/>
      <c r="H76" s="3533"/>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0</v>
      </c>
      <c r="E77" s="303" t="s">
        <v>797</v>
      </c>
      <c r="F77" s="556"/>
      <c r="G77" s="1428"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40</v>
      </c>
      <c r="D78" s="558">
        <f>'数据-取费表'!B43</f>
        <v>6.000000000000001E-3</v>
      </c>
      <c r="E78" s="3501" t="s">
        <v>2504</v>
      </c>
      <c r="F78" s="3492"/>
      <c r="G78" s="3492"/>
      <c r="H78" s="3502"/>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1898</v>
      </c>
      <c r="B79" s="536" t="s">
        <v>331</v>
      </c>
      <c r="C79" s="539">
        <f ca="1">C72-C73</f>
        <v>6545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1899</v>
      </c>
      <c r="B80" s="536" t="s">
        <v>332</v>
      </c>
      <c r="C80" s="559">
        <f ca="1">IF(C79&lt;=0,0,C79/C73)</f>
        <v>163.625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1900</v>
      </c>
      <c r="B81" s="541" t="s">
        <v>333</v>
      </c>
      <c r="C81" s="560">
        <f ca="1">ROUND(IF(C79&lt;=0,0,IF(C80&gt;=200%,C79*60%-C73*35%,IF(C80&gt;=100%,C79*50%-C73*15%,IF(C80&gt;=50%,C79*40%-C73*5%,IF(C80&lt;50%,C79*30%,0))))),0)</f>
        <v>3913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34" t="s">
        <v>334</v>
      </c>
      <c r="B83" s="3535"/>
      <c r="C83" s="3535"/>
      <c r="D83" s="3535"/>
      <c r="E83" s="3535"/>
      <c r="F83" s="3535"/>
      <c r="G83" s="3535"/>
      <c r="H83" s="3535"/>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11" t="s">
        <v>312</v>
      </c>
      <c r="B84" s="3512"/>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1892</v>
      </c>
      <c r="B85" s="536" t="s">
        <v>322</v>
      </c>
      <c r="C85" s="539">
        <f ca="1">ROUND(D45/(1+'数据-取费表'!C42),0)</f>
        <v>6585</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40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1893</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1894</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1901</v>
      </c>
      <c r="B91" s="530" t="s">
        <v>341</v>
      </c>
      <c r="C91" s="557">
        <f>IF(H91="——",成本法!C33,I91)</f>
        <v>0</v>
      </c>
      <c r="D91" s="558"/>
      <c r="E91" s="3491" t="s">
        <v>798</v>
      </c>
      <c r="F91" s="3492"/>
      <c r="G91" s="3492"/>
      <c r="H91" s="1430" t="s">
        <v>2313</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1902</v>
      </c>
      <c r="B92" s="530" t="s">
        <v>342</v>
      </c>
      <c r="C92" s="557">
        <f>ROUND((C87+C90+C91)*D92,0)</f>
        <v>0</v>
      </c>
      <c r="D92" s="558">
        <v>0.1</v>
      </c>
      <c r="E92" s="3491" t="s">
        <v>343</v>
      </c>
      <c r="F92" s="3492"/>
      <c r="G92" s="3492"/>
      <c r="H92" s="3502"/>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1903</v>
      </c>
      <c r="B93" s="530" t="s">
        <v>330</v>
      </c>
      <c r="C93" s="557">
        <f ca="1">ROUND(D45*D93/(1+'数据-取费表'!C42),0)</f>
        <v>40</v>
      </c>
      <c r="D93" s="558">
        <f>'数据-取费表'!B43</f>
        <v>6.000000000000001E-3</v>
      </c>
      <c r="E93" s="3501" t="s">
        <v>2504</v>
      </c>
      <c r="F93" s="3492"/>
      <c r="G93" s="3492"/>
      <c r="H93" s="3502"/>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1904</v>
      </c>
      <c r="B94" s="530" t="s">
        <v>344</v>
      </c>
      <c r="C94" s="568">
        <f>ROUND((C87+C90+C91)*D94,0)</f>
        <v>0</v>
      </c>
      <c r="D94" s="558">
        <v>0.2</v>
      </c>
      <c r="E94" s="3503" t="s">
        <v>3050</v>
      </c>
      <c r="F94" s="3504"/>
      <c r="G94" s="3504"/>
      <c r="H94" s="3505"/>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1898</v>
      </c>
      <c r="B95" s="536" t="s">
        <v>331</v>
      </c>
      <c r="C95" s="539">
        <f ca="1">ROUND(C85-C86,0)</f>
        <v>6545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1899</v>
      </c>
      <c r="B96" s="536" t="s">
        <v>332</v>
      </c>
      <c r="C96" s="559">
        <f ca="1">IF(C95&lt;=0,0,C95/C86)</f>
        <v>163.625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1900</v>
      </c>
      <c r="B97" s="541" t="s">
        <v>333</v>
      </c>
      <c r="C97" s="560">
        <f ca="1">ROUND(IF(C95&lt;=0,0,IF(C96&gt;=200%,C95*60%-C86*35%,IF(C96&gt;=100%,C95*50%-C86*15%,IF(C96&gt;=50%,C95*40%-C86*5%,IF(C96&lt;50%,C95*30%,0))))),0)</f>
        <v>3913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75" t="s">
        <v>230</v>
      </c>
      <c r="B100" s="3476"/>
      <c r="C100" s="3476"/>
      <c r="D100" s="3493"/>
      <c r="E100" s="3476" t="s">
        <v>2902</v>
      </c>
      <c r="F100" s="3476"/>
      <c r="G100" s="3476"/>
      <c r="H100" s="3493"/>
      <c r="I100" s="2275"/>
    </row>
    <row r="101" spans="1:35" ht="18.75" customHeight="1">
      <c r="A101" s="3559" t="s">
        <v>208</v>
      </c>
      <c r="B101" s="3560"/>
      <c r="C101" s="1266" t="str">
        <f>C4</f>
        <v>比较法-办公</v>
      </c>
      <c r="D101" s="1267" t="str">
        <f>D4</f>
        <v>收益法</v>
      </c>
      <c r="E101" s="3577" t="s">
        <v>1906</v>
      </c>
      <c r="F101" s="3526"/>
      <c r="G101" s="1268" t="s">
        <v>210</v>
      </c>
      <c r="H101" s="1983">
        <f ca="1">H118</f>
        <v>6914</v>
      </c>
      <c r="I101" s="2275"/>
    </row>
    <row r="102" spans="1:35" ht="18.75" customHeight="1">
      <c r="A102" s="3528" t="s">
        <v>209</v>
      </c>
      <c r="B102" s="1268" t="s">
        <v>210</v>
      </c>
      <c r="C102" s="1235">
        <f ca="1">C19</f>
        <v>6955</v>
      </c>
      <c r="D102" s="1236">
        <f ca="1">D19</f>
        <v>6873</v>
      </c>
      <c r="E102" s="3577"/>
      <c r="F102" s="3526"/>
      <c r="G102" s="1268" t="s">
        <v>211</v>
      </c>
      <c r="H102" s="711">
        <f ca="1">I118</f>
        <v>32939</v>
      </c>
      <c r="I102" s="2275"/>
    </row>
    <row r="103" spans="1:35" ht="42.75" customHeight="1">
      <c r="A103" s="3528"/>
      <c r="B103" s="1268" t="s">
        <v>211</v>
      </c>
      <c r="C103" s="1237">
        <f ca="1">C20</f>
        <v>33133</v>
      </c>
      <c r="D103" s="1238">
        <f ca="1">D20</f>
        <v>32744</v>
      </c>
      <c r="E103" s="3572" t="s">
        <v>3012</v>
      </c>
      <c r="F103" s="3573"/>
      <c r="G103" s="1269" t="s">
        <v>213</v>
      </c>
      <c r="H103" s="1983">
        <f>IF(D36="正常操作",H104+H105+H106,H105+H106)</f>
        <v>0</v>
      </c>
      <c r="I103" s="2275"/>
    </row>
    <row r="104" spans="1:35" ht="18.75" customHeight="1">
      <c r="A104" s="3528" t="s">
        <v>212</v>
      </c>
      <c r="B104" s="1270" t="s">
        <v>210</v>
      </c>
      <c r="C104" s="1239">
        <f ca="1">H118</f>
        <v>6914</v>
      </c>
      <c r="D104" s="1240"/>
      <c r="E104" s="13" t="s">
        <v>1905</v>
      </c>
      <c r="F104" s="6"/>
      <c r="G104" s="1269" t="s">
        <v>213</v>
      </c>
      <c r="H104" s="1984">
        <f>IF(D36="同一抵押权人同一抵押物续贷",C36&amp;"（未扣减，详见特别提示）",C36)</f>
        <v>0</v>
      </c>
      <c r="I104" s="2275"/>
    </row>
    <row r="105" spans="1:35" ht="18.75" customHeight="1" thickBot="1">
      <c r="A105" s="3529"/>
      <c r="B105" s="1271" t="s">
        <v>211</v>
      </c>
      <c r="C105" s="1241">
        <f ca="1">I118</f>
        <v>32939</v>
      </c>
      <c r="D105" s="1242"/>
      <c r="E105" s="13" t="s">
        <v>1907</v>
      </c>
      <c r="F105" s="6"/>
      <c r="G105" s="1269" t="s">
        <v>213</v>
      </c>
      <c r="H105" s="1984">
        <f>C37</f>
        <v>0</v>
      </c>
      <c r="I105" s="2275"/>
    </row>
    <row r="106" spans="1:35" ht="18.75" customHeight="1">
      <c r="A106" s="1243" t="s">
        <v>2003</v>
      </c>
      <c r="B106" s="1243"/>
      <c r="C106" s="1243"/>
      <c r="D106" s="1243"/>
      <c r="E106" s="467" t="s">
        <v>1908</v>
      </c>
      <c r="F106" s="6"/>
      <c r="G106" s="1269" t="s">
        <v>213</v>
      </c>
      <c r="H106" s="1984">
        <f>C38</f>
        <v>0</v>
      </c>
      <c r="I106" s="2275"/>
    </row>
    <row r="107" spans="1:35" ht="18.75" customHeight="1">
      <c r="A107" s="2275"/>
      <c r="B107" s="2275"/>
      <c r="C107" s="2275"/>
      <c r="D107" s="2275"/>
      <c r="E107" s="3525" t="str">
        <f>IF(项目基本情况!E8="已注销","——","3.房地产抵押价值")</f>
        <v>3.房地产抵押价值</v>
      </c>
      <c r="F107" s="3526"/>
      <c r="G107" s="1268" t="s">
        <v>210</v>
      </c>
      <c r="H107" s="1983">
        <f ca="1">IF(E107="——","——",H101-H103)</f>
        <v>6914</v>
      </c>
      <c r="I107" s="2275"/>
    </row>
    <row r="108" spans="1:35" ht="18.75" customHeight="1">
      <c r="A108" s="2275"/>
      <c r="B108" s="2275"/>
      <c r="C108" s="2275"/>
      <c r="D108" s="2275"/>
      <c r="E108" s="3525"/>
      <c r="F108" s="3526"/>
      <c r="G108" s="1268" t="s">
        <v>211</v>
      </c>
      <c r="H108" s="711">
        <f ca="1">ROUND(H107*10000/'数据-汇总表'!E3,0)</f>
        <v>32939</v>
      </c>
      <c r="I108" s="2275"/>
    </row>
    <row r="109" spans="1:35" ht="18.75" customHeight="1">
      <c r="A109" s="2275"/>
      <c r="B109" s="2275"/>
      <c r="C109" s="2275"/>
      <c r="D109" s="2275"/>
      <c r="E109" s="3525" t="str">
        <f>IF(项目基本情况!E8="已注销及未注销","4.抵押担保权已注销时的房地产抵押价值",IF(项目基本情况!E8="已注销","3.抵押担保权已注销时的房地产抵押价值","——"))</f>
        <v>——</v>
      </c>
      <c r="F109" s="3526"/>
      <c r="G109" s="1268" t="s">
        <v>210</v>
      </c>
      <c r="H109" s="685" t="str">
        <f>IF(E109="——","——",H101-H105-H106)</f>
        <v>——</v>
      </c>
      <c r="I109" s="2275"/>
    </row>
    <row r="110" spans="1:35" ht="18.75" customHeight="1">
      <c r="A110" s="2275"/>
      <c r="B110" s="2275"/>
      <c r="C110" s="2275"/>
      <c r="D110" s="2275"/>
      <c r="E110" s="3525"/>
      <c r="F110" s="3526"/>
      <c r="G110" s="1268" t="s">
        <v>211</v>
      </c>
      <c r="H110" s="711" t="str">
        <f>IF(H109="——","——",ROUND(H109*10000/'数据-汇总表'!E3,0))</f>
        <v>——</v>
      </c>
      <c r="I110" s="2275"/>
    </row>
    <row r="111" spans="1:35" ht="18.75" customHeight="1">
      <c r="A111" s="2275"/>
      <c r="B111" s="2275"/>
      <c r="C111" s="2275"/>
      <c r="D111" s="2275"/>
      <c r="E111" s="3562" t="str">
        <f>IF(项目基本情况!E9="抵押净值",IF(OR(项目基本情况!E8="已注销",项目基本情况!E8="房地产抵押价值"),"4.抵押净值","5.抵押净值"),"——")</f>
        <v>——</v>
      </c>
      <c r="F111" s="3563"/>
      <c r="G111" s="1268" t="s">
        <v>210</v>
      </c>
      <c r="H111" s="1983" t="str">
        <f>IF(E111="——","——",N59)</f>
        <v>——</v>
      </c>
      <c r="I111" s="2275"/>
    </row>
    <row r="112" spans="1:35" ht="18.75" customHeight="1" thickBot="1">
      <c r="A112" s="2275"/>
      <c r="B112" s="2275"/>
      <c r="C112" s="2275"/>
      <c r="D112" s="2275"/>
      <c r="E112" s="3564"/>
      <c r="F112" s="3565"/>
      <c r="G112" s="1272" t="s">
        <v>211</v>
      </c>
      <c r="H112" s="1423" t="str">
        <f>IF(E111="——","——",N61)</f>
        <v>——</v>
      </c>
      <c r="I112" s="2275"/>
    </row>
    <row r="113" spans="1:11" ht="18.75" customHeight="1">
      <c r="A113" s="2275"/>
      <c r="B113" s="2275"/>
      <c r="C113" s="2275"/>
      <c r="D113" s="2275"/>
      <c r="E113" s="3530" t="s">
        <v>2003</v>
      </c>
      <c r="F113" s="3530"/>
      <c r="G113" s="3530"/>
      <c r="H113" s="3530"/>
      <c r="I113" s="2275"/>
    </row>
    <row r="114" spans="1:11" ht="3.75" customHeight="1">
      <c r="A114" s="1243"/>
      <c r="B114" s="1243"/>
      <c r="C114" s="1243"/>
      <c r="D114" s="1243"/>
      <c r="E114" s="1258"/>
      <c r="F114" s="1258"/>
      <c r="G114" s="1258"/>
      <c r="H114" s="1258"/>
      <c r="I114" s="1243"/>
    </row>
    <row r="115" spans="1:11" ht="18.75" customHeight="1">
      <c r="A115" s="3544" t="s">
        <v>226</v>
      </c>
      <c r="B115" s="3545"/>
      <c r="C115" s="3545"/>
      <c r="D115" s="3545"/>
      <c r="E115" s="3545"/>
      <c r="F115" s="3545"/>
      <c r="G115" s="3545"/>
      <c r="H115" s="3545"/>
      <c r="I115" s="3546"/>
    </row>
    <row r="116" spans="1:11" ht="27" customHeight="1">
      <c r="A116" s="3433" t="s">
        <v>5</v>
      </c>
      <c r="B116" s="3531" t="s">
        <v>787</v>
      </c>
      <c r="C116" s="3531" t="s">
        <v>788</v>
      </c>
      <c r="D116" s="3548" t="s">
        <v>206</v>
      </c>
      <c r="E116" s="3549"/>
      <c r="F116" s="3540" t="s">
        <v>2381</v>
      </c>
      <c r="G116" s="3540"/>
      <c r="H116" s="3433" t="s">
        <v>6</v>
      </c>
      <c r="I116" s="3433"/>
    </row>
    <row r="117" spans="1:11" ht="18.75" customHeight="1">
      <c r="A117" s="3433"/>
      <c r="B117" s="3532"/>
      <c r="C117" s="3532"/>
      <c r="D117" s="1912" t="s">
        <v>7</v>
      </c>
      <c r="E117" s="1912" t="s">
        <v>789</v>
      </c>
      <c r="F117" s="1912" t="s">
        <v>7</v>
      </c>
      <c r="G117" s="1912" t="s">
        <v>8</v>
      </c>
      <c r="H117" s="1912" t="s">
        <v>7</v>
      </c>
      <c r="I117" s="1912" t="s">
        <v>8</v>
      </c>
    </row>
    <row r="118" spans="1:11" ht="24.75" customHeight="1">
      <c r="A118" s="2030" t="str">
        <f>项目基本情况!S2</f>
        <v>北京市朝阳区亮马桥路32号房地产</v>
      </c>
      <c r="B118" s="1917">
        <f>M18</f>
        <v>2099.0100000000002</v>
      </c>
      <c r="C118" s="1917">
        <f>M19</f>
        <v>0</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6914</v>
      </c>
      <c r="I118" s="1917">
        <f ca="1">ROUND(IF(D32="楼面单价",C32,H118*10000/B118),0)</f>
        <v>32939</v>
      </c>
    </row>
    <row r="119" spans="1:11" ht="18.75" customHeight="1">
      <c r="A119" s="3433" t="s">
        <v>9</v>
      </c>
      <c r="B119" s="3433"/>
      <c r="C119" s="3433"/>
      <c r="D119" s="3537" t="e">
        <f ca="1">NUMBERSTRING(INT(D118*10000),2)&amp;"元整"</f>
        <v>#REF!</v>
      </c>
      <c r="E119" s="3539"/>
      <c r="F119" s="3537" t="e">
        <f ca="1">NUMBERSTRING(INT(F118*10000),2)&amp;"元整"</f>
        <v>#REF!</v>
      </c>
      <c r="G119" s="3539"/>
      <c r="H119" s="3537" t="str">
        <f ca="1">NUMBERSTRING(INT(H118*10000),2)&amp;"元整"</f>
        <v>陆仟玖佰壹拾肆万元整</v>
      </c>
      <c r="I119" s="3539"/>
    </row>
    <row r="120" spans="1:11" ht="18.75" customHeight="1">
      <c r="A120" s="3569" t="str">
        <f>IF(项目基本情况!B9="房地产市场价值","",MID(E103,3,LEN(E103)-2))</f>
        <v>估价师知悉的法定优先受偿款</v>
      </c>
      <c r="B120" s="3570"/>
      <c r="C120" s="3571"/>
      <c r="D120" s="3566">
        <f>H103</f>
        <v>0</v>
      </c>
      <c r="E120" s="3567"/>
      <c r="F120" s="3567"/>
      <c r="G120" s="3567"/>
      <c r="H120" s="3567"/>
      <c r="I120" s="3568"/>
      <c r="K120" s="1434"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IF(项目基本情况!B9="房地产市场价值","",MID(E107,3,LEN(E107)-2))</f>
        <v>房地产抵押价值</v>
      </c>
      <c r="B122" s="3527"/>
      <c r="C122" s="3527"/>
      <c r="D122" s="3566">
        <f ca="1">H107</f>
        <v>6914</v>
      </c>
      <c r="E122" s="3567"/>
      <c r="F122" s="3567"/>
      <c r="G122" s="3567"/>
      <c r="H122" s="3567"/>
      <c r="I122" s="3568"/>
    </row>
    <row r="123" spans="1:11" ht="18.75" customHeight="1">
      <c r="A123" s="3433" t="s">
        <v>9</v>
      </c>
      <c r="B123" s="3433"/>
      <c r="C123" s="3433"/>
      <c r="D123" s="3537" t="str">
        <f ca="1">NUMBERSTRING(INT(D122*10000),2)&amp;"元整"</f>
        <v>陆仟玖佰壹拾肆万元整</v>
      </c>
      <c r="E123" s="3538"/>
      <c r="F123" s="3538"/>
      <c r="G123" s="3538"/>
      <c r="H123" s="3538"/>
      <c r="I123" s="3539"/>
    </row>
    <row r="124" spans="1:11" ht="18.75" customHeight="1">
      <c r="A124" s="3527" t="str">
        <f>IF(项目基本情况!B9="房地产市场价值","",MID(E109,3,LEN(E109)-2))</f>
        <v/>
      </c>
      <c r="B124" s="3527"/>
      <c r="C124" s="3527"/>
      <c r="D124" s="3566" t="str">
        <f>H109</f>
        <v>——</v>
      </c>
      <c r="E124" s="3567"/>
      <c r="F124" s="3567"/>
      <c r="G124" s="3567"/>
      <c r="H124" s="3567"/>
      <c r="I124" s="3568"/>
    </row>
    <row r="125" spans="1:11" ht="18.75" customHeight="1">
      <c r="A125" s="3433" t="s">
        <v>9</v>
      </c>
      <c r="B125" s="3433"/>
      <c r="C125" s="3433"/>
      <c r="D125" s="3537" t="e">
        <f>NUMBERSTRING(INT(D124*10000),2)&amp;"元整"</f>
        <v>#VALUE!</v>
      </c>
      <c r="E125" s="3538"/>
      <c r="F125" s="3538"/>
      <c r="G125" s="3538"/>
      <c r="H125" s="3538"/>
      <c r="I125" s="3539"/>
    </row>
    <row r="126" spans="1:11" ht="18.75" customHeight="1">
      <c r="A126" s="3527" t="str">
        <f>IF(项目基本情况!B9="房地产市场价值","",MID(E111,3,LEN(E111)-2))</f>
        <v/>
      </c>
      <c r="B126" s="3527"/>
      <c r="C126" s="3527"/>
      <c r="D126" s="3566" t="str">
        <f>H111</f>
        <v>——</v>
      </c>
      <c r="E126" s="3567"/>
      <c r="F126" s="3567"/>
      <c r="G126" s="3567"/>
      <c r="H126" s="3567"/>
      <c r="I126" s="3568"/>
    </row>
    <row r="127" spans="1:11" ht="18.75" customHeight="1">
      <c r="A127" s="3433" t="s">
        <v>9</v>
      </c>
      <c r="B127" s="3433"/>
      <c r="C127" s="3433"/>
      <c r="D127" s="3537" t="e">
        <f>NUMBERSTRING(INT(D126*10000),2)&amp;"元整"</f>
        <v>#VALUE!</v>
      </c>
      <c r="E127" s="3538"/>
      <c r="F127" s="3538"/>
      <c r="G127" s="3538"/>
      <c r="H127" s="3538"/>
      <c r="I127" s="3539"/>
    </row>
    <row r="128" spans="1:11" ht="21.75" customHeight="1">
      <c r="A128" s="3547" t="s">
        <v>2002</v>
      </c>
      <c r="B128" s="3547"/>
      <c r="C128" s="3547"/>
      <c r="D128" s="3547"/>
      <c r="E128" s="3547"/>
      <c r="F128" s="3547"/>
      <c r="G128" s="3547"/>
      <c r="H128" s="3547"/>
      <c r="I128" s="3547"/>
    </row>
    <row r="129" spans="1:35" ht="21.75" customHeight="1">
      <c r="A129" s="2025" t="s">
        <v>790</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9"/>
      <c r="C1" s="574"/>
      <c r="D1" s="574"/>
      <c r="E1" s="574"/>
      <c r="F1" s="574"/>
      <c r="G1" s="2750">
        <f>MATCH(B1,'数据-取费表'!A6:A16,0)+5</f>
        <v>7</v>
      </c>
    </row>
    <row r="2" spans="1:9" s="576" customFormat="1" ht="18" customHeight="1">
      <c r="A2" s="577" t="s">
        <v>446</v>
      </c>
      <c r="B2" s="578" t="e">
        <f ca="1">IF(D2="——",C52,C52-E2)</f>
        <v>#DIV/0!</v>
      </c>
      <c r="C2" s="85" t="s">
        <v>869</v>
      </c>
      <c r="D2" s="2867" t="s">
        <v>530</v>
      </c>
      <c r="E2" s="2865" t="e">
        <f ca="1">SUMIF(INDIRECT("'"&amp;G2&amp;"'"&amp;"!A:A"),"承租人权益价值",INDIRECT("'"&amp;G2&amp;"'"&amp;"!c:c"))</f>
        <v>#REF!</v>
      </c>
      <c r="F2" s="2863" t="s">
        <v>869</v>
      </c>
      <c r="G2" s="2866"/>
    </row>
    <row r="3" spans="1:9" s="576" customFormat="1" ht="18" customHeight="1" thickBot="1">
      <c r="A3" s="579" t="s">
        <v>447</v>
      </c>
      <c r="B3" s="580" t="e">
        <f ca="1">ROUND(B2*10000/(IF(B1="",'数据-汇总表'!E3,INDIRECT("'数据-取费表'!k"&amp;$G$1))),0)</f>
        <v>#DIV/0!</v>
      </c>
      <c r="C3" s="85" t="s">
        <v>870</v>
      </c>
      <c r="D3" s="575"/>
      <c r="E3" s="575"/>
      <c r="F3" s="575"/>
      <c r="G3" s="575"/>
    </row>
    <row r="4" spans="1:9" s="584" customFormat="1" ht="15.75">
      <c r="A4" s="581" t="s">
        <v>822</v>
      </c>
      <c r="B4" s="582"/>
      <c r="C4" s="582"/>
      <c r="D4" s="582"/>
      <c r="E4" s="582"/>
      <c r="F4" s="582"/>
      <c r="G4" s="583"/>
    </row>
    <row r="5" spans="1:9" s="590" customFormat="1" ht="13.5" customHeight="1">
      <c r="A5" s="631" t="s">
        <v>2505</v>
      </c>
      <c r="B5" s="586" t="s">
        <v>823</v>
      </c>
      <c r="C5" s="587" t="e">
        <f ca="1">C6+C7+C8</f>
        <v>#DIV/0!</v>
      </c>
      <c r="D5" s="587" t="s">
        <v>824</v>
      </c>
      <c r="E5" s="588" t="s">
        <v>825</v>
      </c>
      <c r="F5" s="588" t="s">
        <v>826</v>
      </c>
      <c r="G5" s="589"/>
    </row>
    <row r="6" spans="1:9" s="590" customFormat="1" ht="13.5" customHeight="1">
      <c r="A6" s="1801" t="s">
        <v>1918</v>
      </c>
      <c r="B6" s="591" t="s">
        <v>827</v>
      </c>
      <c r="C6" s="592" t="e">
        <f ca="1">'基准地价（汇总）'!B2</f>
        <v>#DIV/0!</v>
      </c>
      <c r="D6" s="593"/>
      <c r="E6" s="594"/>
      <c r="F6" s="594"/>
      <c r="G6" s="595"/>
    </row>
    <row r="7" spans="1:9" s="590" customFormat="1" ht="13.5" customHeight="1">
      <c r="A7" s="1801" t="s">
        <v>1919</v>
      </c>
      <c r="B7" s="591" t="s">
        <v>347</v>
      </c>
      <c r="C7" s="596" t="e">
        <f ca="1">ROUND(C6*F7,0)</f>
        <v>#DIV/0!</v>
      </c>
      <c r="D7" s="596"/>
      <c r="E7" s="594"/>
      <c r="F7" s="597">
        <f>'数据-取费表'!B48+'数据-取费表'!B49</f>
        <v>0</v>
      </c>
      <c r="G7" s="595"/>
    </row>
    <row r="8" spans="1:9" s="599" customFormat="1">
      <c r="A8" s="1801" t="s">
        <v>1920</v>
      </c>
      <c r="B8" s="591" t="s">
        <v>828</v>
      </c>
      <c r="C8" s="596">
        <f>IF(G8="已包含在土地购买价格中","0",IF(B1="",'数据-取费表'!B29,IF(G9="全部缴纳",C9+C10,H9)))</f>
        <v>0</v>
      </c>
      <c r="D8" s="598"/>
      <c r="E8" s="596"/>
      <c r="F8" s="597"/>
      <c r="G8" s="84" t="s">
        <v>3107</v>
      </c>
    </row>
    <row r="9" spans="1:9" s="590" customFormat="1" ht="13.5" customHeight="1">
      <c r="A9" s="1802" t="s">
        <v>1927</v>
      </c>
      <c r="B9" s="600" t="s">
        <v>829</v>
      </c>
      <c r="C9" s="601">
        <f ca="1">ROUND(D9*E9/10000,0)</f>
        <v>0</v>
      </c>
      <c r="D9" s="1906">
        <f ca="1">IF(B1="",'数据-汇总表'!E5,IF(INDIRECT("'数据-取费表'!c"&amp;$G$1)="住宅",INDIRECT("'数据-取费表'!k"&amp;$G$1),0))</f>
        <v>0</v>
      </c>
      <c r="E9" s="601">
        <f>'数据-取费表'!B27</f>
        <v>190</v>
      </c>
      <c r="F9" s="597"/>
      <c r="G9" s="2797"/>
      <c r="H9" s="2798"/>
      <c r="I9" s="2799" t="s">
        <v>2687</v>
      </c>
    </row>
    <row r="10" spans="1:9" s="590" customFormat="1" ht="13.5" customHeight="1">
      <c r="A10" s="1802" t="s">
        <v>1928</v>
      </c>
      <c r="B10" s="600" t="s">
        <v>830</v>
      </c>
      <c r="C10" s="601">
        <f ca="1">ROUND(D10*E10/10000,0)</f>
        <v>42</v>
      </c>
      <c r="D10" s="1906">
        <f ca="1">IF(B1="",'数据-汇总表'!E6,IF(INDIRECT("'数据-取费表'!c"&amp;$G$1)="住宅",INDIRECT("'数据-取费表'!s"&amp;$G$1),INDIRECT("'数据-取费表'!k"&amp;$G$1)+INDIRECT("'数据-取费表'!s"&amp;$G$1)))</f>
        <v>2099.0100000000002</v>
      </c>
      <c r="E10" s="601">
        <f>'数据-取费表'!B28</f>
        <v>200</v>
      </c>
      <c r="F10" s="597"/>
      <c r="G10" s="602"/>
    </row>
    <row r="11" spans="1:9" s="590" customFormat="1" ht="13.5" hidden="1" customHeight="1">
      <c r="A11" s="603" t="s">
        <v>42</v>
      </c>
      <c r="B11" s="591" t="s">
        <v>831</v>
      </c>
      <c r="C11" s="587"/>
      <c r="D11" s="1908"/>
      <c r="E11" s="594"/>
      <c r="F11" s="594"/>
      <c r="G11" s="595"/>
    </row>
    <row r="12" spans="1:9" s="590" customFormat="1" ht="13.5" hidden="1" customHeight="1">
      <c r="A12" s="603" t="s">
        <v>43</v>
      </c>
      <c r="B12" s="591" t="s">
        <v>832</v>
      </c>
      <c r="C12" s="587">
        <v>0</v>
      </c>
      <c r="D12" s="1908"/>
      <c r="E12" s="604"/>
      <c r="F12" s="597">
        <v>3.0499999999999999E-2</v>
      </c>
      <c r="G12" s="595"/>
    </row>
    <row r="13" spans="1:9" s="590" customFormat="1" ht="13.5" hidden="1" customHeight="1">
      <c r="A13" s="603" t="s">
        <v>44</v>
      </c>
      <c r="B13" s="591" t="s">
        <v>833</v>
      </c>
      <c r="C13" s="587"/>
      <c r="D13" s="1908"/>
      <c r="E13" s="594"/>
      <c r="F13" s="594"/>
      <c r="G13" s="595"/>
    </row>
    <row r="14" spans="1:9" s="590" customFormat="1" ht="13.5" hidden="1" customHeight="1">
      <c r="A14" s="603" t="s">
        <v>45</v>
      </c>
      <c r="B14" s="591" t="s">
        <v>828</v>
      </c>
      <c r="C14" s="587"/>
      <c r="D14" s="1908"/>
      <c r="E14" s="594"/>
      <c r="F14" s="594"/>
      <c r="G14" s="595" t="s">
        <v>834</v>
      </c>
    </row>
    <row r="15" spans="1:9" s="590" customFormat="1" ht="13.5" hidden="1" customHeight="1">
      <c r="A15" s="603" t="s">
        <v>46</v>
      </c>
      <c r="B15" s="591" t="s">
        <v>835</v>
      </c>
      <c r="C15" s="596"/>
      <c r="D15" s="1908"/>
      <c r="E15" s="594"/>
      <c r="F15" s="594"/>
      <c r="G15" s="595" t="s">
        <v>836</v>
      </c>
    </row>
    <row r="16" spans="1:9"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t="str">
        <f>IF(G19="已包含在土地取得成本中","0",ROUND(D19*E19/10000,0))</f>
        <v>0</v>
      </c>
      <c r="D19" s="1910">
        <f ca="1">D9+D10</f>
        <v>2099.0100000000002</v>
      </c>
      <c r="E19" s="587">
        <f>'数据-取费表'!B31</f>
        <v>200</v>
      </c>
      <c r="F19" s="607"/>
      <c r="G19" s="84" t="s">
        <v>3108</v>
      </c>
    </row>
    <row r="20" spans="1:7" s="590" customFormat="1" ht="13.5" customHeight="1">
      <c r="A20" s="1800" t="s">
        <v>2508</v>
      </c>
      <c r="B20" s="586" t="s">
        <v>840</v>
      </c>
      <c r="C20" s="608" t="e">
        <f ca="1">ROUND((C5+C19)*F20,0)</f>
        <v>#DIV/0!</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t="e">
        <f ca="1">ROUND(SUM(C23:C25),0)</f>
        <v>#DIV/0!</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697" t="e">
        <f ca="1">ROUND(IF('数据-取费表'!B22&lt;=1,C5*F22*'数据-取费表'!B23,C5*(POWER((1+F22),'数据-取费表'!B23)-1)),0)</f>
        <v>#DIV/0!</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0</v>
      </c>
      <c r="D24" s="614"/>
      <c r="E24" s="614"/>
      <c r="F24" s="615"/>
      <c r="G24" s="616" t="s">
        <v>845</v>
      </c>
    </row>
    <row r="25" spans="1:7" s="590" customFormat="1" ht="24">
      <c r="A25" s="1803" t="s">
        <v>1920</v>
      </c>
      <c r="B25" s="591" t="s">
        <v>2509</v>
      </c>
      <c r="C25" s="2697" t="e">
        <f ca="1">ROUND(IF('数据-取费表'!B22&lt;=1,C20*F22*'数据-取费表'!B23/2,C20*(POWER((1+F22),'数据-取费表'!B23/2)-1)),0)</f>
        <v>#DIV/0!</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t="e">
        <f ca="1">C28</f>
        <v>#DIV/0!</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t="e">
        <f ca="1">ROUND((C5+C19+C20)*F27*'数据-取费表'!B21/'数据-取费表'!B20,0)</f>
        <v>#DIV/0!</v>
      </c>
      <c r="D28" s="611"/>
      <c r="E28" s="612"/>
      <c r="F28" s="622"/>
      <c r="G28" s="623"/>
    </row>
    <row r="29" spans="1:7" s="590" customFormat="1" ht="13.5" customHeight="1">
      <c r="A29" s="1803" t="s">
        <v>1919</v>
      </c>
      <c r="B29" s="624" t="s">
        <v>2514</v>
      </c>
      <c r="C29" s="614">
        <f ca="1">ROUND(C21*F27*'数据-取费表'!B21/'数据-取费表'!B20,4)</f>
        <v>4.0000000000000001E-3</v>
      </c>
      <c r="D29" s="611"/>
      <c r="E29" s="612"/>
      <c r="F29" s="622"/>
      <c r="G29" s="623"/>
    </row>
    <row r="30" spans="1:7" s="590" customFormat="1" ht="13.5" customHeight="1">
      <c r="A30" s="1800" t="s">
        <v>1915</v>
      </c>
      <c r="B30" s="586" t="s">
        <v>348</v>
      </c>
      <c r="C30" s="611">
        <f>ROUND(F30/(1+'数据-取费表'!C42),4)</f>
        <v>5.33E-2</v>
      </c>
      <c r="D30" s="612" t="s">
        <v>2939</v>
      </c>
      <c r="E30" s="617"/>
      <c r="F30" s="613">
        <f>'数据-取费表'!B41</f>
        <v>5.6000000000000001E-2</v>
      </c>
      <c r="G30" s="2617" t="s">
        <v>2940</v>
      </c>
    </row>
    <row r="31" spans="1:7" ht="16.5" customHeight="1">
      <c r="A31" s="585">
        <v>1</v>
      </c>
      <c r="B31" s="586" t="s">
        <v>864</v>
      </c>
      <c r="C31" s="587" t="e">
        <f ca="1">ROUND((C5+C19+C20+C22+C27)/(1-C21-D22-D27-C30),0)</f>
        <v>#DIV/0!</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 ca="1">SUM(C34:C38)</f>
        <v>713</v>
      </c>
      <c r="D33" s="608"/>
      <c r="E33" s="588"/>
      <c r="F33" s="617"/>
      <c r="G33" s="610"/>
    </row>
    <row r="34" spans="1:7" s="634" customFormat="1" ht="13.5" customHeight="1">
      <c r="A34" s="1803" t="s">
        <v>1918</v>
      </c>
      <c r="B34" s="591" t="s">
        <v>349</v>
      </c>
      <c r="C34" s="596">
        <f ca="1">IF(B1="",IF(F34=100%,'数据-取费表'!M16,'数据-取费表'!O16),IF(F34=100%,INDIRECT("'数据-取费表'!m"&amp;$G$1)+INDIRECT("'数据-取费表'!t"&amp;$G$1),INDIRECT("'数据-取费表'!o"&amp;$G$1)+INDIRECT("'数据-取费表'!aq"&amp;$G$1)))</f>
        <v>630</v>
      </c>
      <c r="D34" s="593"/>
      <c r="E34" s="596"/>
      <c r="F34" s="633">
        <f ca="1">IF('数据-取费表'!B24=0,1,IF(B1="",'数据-取费表'!N16,INDIRECT("'数据-取费表'!n"&amp;$G$1)))</f>
        <v>1</v>
      </c>
      <c r="G34" s="595" t="s">
        <v>852</v>
      </c>
    </row>
    <row r="35" spans="1:7" ht="13.5" customHeight="1">
      <c r="A35" s="1803" t="s">
        <v>1923</v>
      </c>
      <c r="B35" s="591" t="s">
        <v>350</v>
      </c>
      <c r="C35" s="596">
        <f ca="1">ROUND(C34*F35,0)</f>
        <v>32</v>
      </c>
      <c r="D35" s="596"/>
      <c r="E35" s="596"/>
      <c r="F35" s="635">
        <f>'数据-取费表'!B33</f>
        <v>0.05</v>
      </c>
      <c r="G35" s="595" t="s">
        <v>853</v>
      </c>
    </row>
    <row r="36" spans="1:7" ht="24">
      <c r="A36" s="1803" t="s">
        <v>1924</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1925</v>
      </c>
      <c r="B37" s="591" t="s">
        <v>854</v>
      </c>
      <c r="C37" s="625">
        <f ca="1">ROUND(E37*D37*F34/10000,0)</f>
        <v>42</v>
      </c>
      <c r="D37" s="593">
        <f ca="1">D19</f>
        <v>2099.0100000000002</v>
      </c>
      <c r="E37" s="625">
        <f>'数据-取费表'!B35</f>
        <v>200</v>
      </c>
      <c r="F37" s="635"/>
      <c r="G37" s="637" t="s">
        <v>855</v>
      </c>
    </row>
    <row r="38" spans="1:7" ht="13.5" customHeight="1">
      <c r="A38" s="1803" t="s">
        <v>1926</v>
      </c>
      <c r="B38" s="591" t="s">
        <v>353</v>
      </c>
      <c r="C38" s="596">
        <f ca="1">ROUND(C34*F38,0)</f>
        <v>9</v>
      </c>
      <c r="D38" s="596"/>
      <c r="E38" s="596"/>
      <c r="F38" s="635">
        <f>'数据-取费表'!B36</f>
        <v>1.4999999999999999E-2</v>
      </c>
      <c r="G38" s="595" t="s">
        <v>853</v>
      </c>
    </row>
    <row r="39" spans="1:7" s="590" customFormat="1" ht="13.5" customHeight="1">
      <c r="A39" s="1800" t="s">
        <v>1910</v>
      </c>
      <c r="B39" s="586" t="s">
        <v>840</v>
      </c>
      <c r="C39" s="608">
        <f ca="1">ROUND(C33*F20,0)</f>
        <v>14</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ROUND(IF('数据-取费表'!B22&lt;=1,C33*F22*'数据-取费表'!B21/2,C33*(POWER((1+F22),'数据-取费表'!B21/2)-1)),0)</f>
        <v>34</v>
      </c>
      <c r="D42" s="614"/>
      <c r="E42" s="614"/>
      <c r="F42" s="615"/>
      <c r="G42" s="3583" t="s">
        <v>857</v>
      </c>
    </row>
    <row r="43" spans="1:7" ht="13.5" customHeight="1">
      <c r="A43" s="1803" t="s">
        <v>1919</v>
      </c>
      <c r="B43" s="591" t="s">
        <v>2515</v>
      </c>
      <c r="C43" s="614">
        <f ca="1">ROUND(IF('数据-取费表'!B22&lt;=1,C39*F22*'数据-取费表'!B21/2,C39*(POWER((1+F22),'数据-取费表'!B21/2)-1)),0)</f>
        <v>1</v>
      </c>
      <c r="D43" s="614"/>
      <c r="E43" s="614"/>
      <c r="F43" s="615"/>
      <c r="G43" s="3584"/>
    </row>
    <row r="44" spans="1:7" ht="13.5" customHeight="1">
      <c r="A44" s="1803" t="s">
        <v>1920</v>
      </c>
      <c r="B44" s="591" t="s">
        <v>2517</v>
      </c>
      <c r="C44" s="614">
        <f ca="1">ROUND(IF('数据-取费表'!B22&lt;=1,C40*F22*'数据-取费表'!B21/2,C40*(POWER((1+F22),'数据-取费表'!B21/2)-1)),4)</f>
        <v>1E-3</v>
      </c>
      <c r="D44" s="614"/>
      <c r="E44" s="614"/>
      <c r="F44" s="615"/>
      <c r="G44" s="3585"/>
    </row>
    <row r="45" spans="1:7" s="590" customFormat="1" ht="13.5" customHeight="1">
      <c r="A45" s="1800" t="s">
        <v>1913</v>
      </c>
      <c r="B45" s="620" t="s">
        <v>848</v>
      </c>
      <c r="C45" s="621">
        <f ca="1">C46</f>
        <v>145</v>
      </c>
      <c r="D45" s="611">
        <f ca="1">C47</f>
        <v>4.0000000000000001E-3</v>
      </c>
      <c r="E45" s="612" t="s">
        <v>865</v>
      </c>
      <c r="F45" s="622"/>
      <c r="G45" s="623" t="s">
        <v>2523</v>
      </c>
    </row>
    <row r="46" spans="1:7" s="590" customFormat="1" ht="13.5" customHeight="1">
      <c r="A46" s="1803" t="s">
        <v>1918</v>
      </c>
      <c r="B46" s="624" t="s">
        <v>2516</v>
      </c>
      <c r="C46" s="625">
        <f ca="1">ROUND((C33+C39)*F27,0)</f>
        <v>145</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3230">
        <f>ROUND(F30/(1+'数据-取费表'!C42),4)</f>
        <v>5.33E-2</v>
      </c>
      <c r="D48" s="612" t="s">
        <v>2941</v>
      </c>
      <c r="E48" s="608"/>
      <c r="F48" s="613"/>
      <c r="G48" s="2617" t="s">
        <v>2942</v>
      </c>
    </row>
    <row r="49" spans="1:7" ht="16.5" customHeight="1">
      <c r="A49" s="1800" t="s">
        <v>1915</v>
      </c>
      <c r="B49" s="586" t="s">
        <v>867</v>
      </c>
      <c r="C49" s="608">
        <f ca="1">ROUND((C33+C39+C41+C45)/(1-C40-D41-D45-C48),0)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t="e">
        <f ca="1">C31+C51</f>
        <v>#DIV/0!</v>
      </c>
      <c r="D52" s="642"/>
      <c r="E52" s="642"/>
      <c r="F52" s="642"/>
      <c r="G52" s="644"/>
    </row>
    <row r="55" spans="1:7" ht="15">
      <c r="B55" s="646" t="s">
        <v>356</v>
      </c>
      <c r="C55" s="647"/>
    </row>
    <row r="56" spans="1:7">
      <c r="B56" s="2869" t="s">
        <v>2699</v>
      </c>
      <c r="C56" s="651" t="e">
        <f ca="1">1-C57</f>
        <v>#DIV/0!</v>
      </c>
    </row>
    <row r="57" spans="1:7">
      <c r="B57" s="2869" t="s">
        <v>2698</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1959</v>
      </c>
      <c r="B36" s="1885" t="s">
        <v>1960</v>
      </c>
    </row>
    <row r="37" spans="1:9" ht="27.75" customHeight="1">
      <c r="A37" s="1885"/>
      <c r="B37" s="3390" t="str">
        <f>项目基本情况!B1</f>
        <v>北京市朝阳区亮马桥路32号房地产抵押价值预评估</v>
      </c>
      <c r="C37" s="3390"/>
      <c r="D37" s="3390"/>
      <c r="E37" s="3390"/>
      <c r="F37" s="3390"/>
      <c r="G37" s="3390"/>
      <c r="H37" s="3390"/>
      <c r="I37" s="3390"/>
    </row>
    <row r="38" spans="1:9">
      <c r="A38" s="1887"/>
      <c r="B38" s="1887"/>
    </row>
    <row r="39" spans="1:9">
      <c r="A39" s="1885" t="s">
        <v>1959</v>
      </c>
      <c r="B39" s="1885" t="s">
        <v>1961</v>
      </c>
    </row>
    <row r="40" spans="1:9">
      <c r="A40" s="1885"/>
      <c r="B40" s="1885" t="str">
        <f>项目基本情况!B5</f>
        <v>北京高斓大厦有限公司</v>
      </c>
    </row>
    <row r="41" spans="1:9">
      <c r="A41" s="1885"/>
      <c r="B41" s="1885"/>
    </row>
    <row r="42" spans="1:9">
      <c r="A42" s="1885" t="s">
        <v>1959</v>
      </c>
      <c r="B42" s="1885" t="s">
        <v>1962</v>
      </c>
    </row>
    <row r="43" spans="1:9">
      <c r="A43" s="1885"/>
      <c r="B43" s="1885" t="s">
        <v>1963</v>
      </c>
    </row>
    <row r="44" spans="1:9">
      <c r="A44" s="1885"/>
      <c r="B44" s="1885"/>
    </row>
    <row r="45" spans="1:9">
      <c r="A45" s="1885" t="s">
        <v>1959</v>
      </c>
      <c r="B45" s="1885" t="s">
        <v>1964</v>
      </c>
    </row>
    <row r="46" spans="1:9" s="1885" customFormat="1" ht="12.75">
      <c r="B46" s="1885" t="str">
        <f ca="1">项目基本情况!K4</f>
        <v>欧红伟（注册号：1120000080)、梁津（注册号：1119970066)</v>
      </c>
    </row>
    <row r="47" spans="1:9">
      <c r="A47" s="1885"/>
      <c r="B47" s="1885" t="str">
        <f>项目基本情况!K5</f>
        <v/>
      </c>
    </row>
    <row r="48" spans="1:9">
      <c r="A48" s="1885" t="s">
        <v>1959</v>
      </c>
      <c r="B48" s="1885" t="s">
        <v>1965</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9"/>
      <c r="C1" s="2754" t="s">
        <v>2629</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760</v>
      </c>
      <c r="C2" s="85" t="s">
        <v>869</v>
      </c>
      <c r="D2" s="2867" t="s">
        <v>530</v>
      </c>
      <c r="E2" s="2865" t="e">
        <f ca="1">SUMIF(INDIRECT("'"&amp;G2&amp;"'"&amp;"!A:A"),"承租人权益价值",INDIRECT("'"&amp;G2&amp;"'"&amp;"!c:c"))</f>
        <v>#REF!</v>
      </c>
      <c r="F2" s="2863" t="s">
        <v>869</v>
      </c>
      <c r="G2" s="2866"/>
    </row>
    <row r="3" spans="1:8" s="576" customFormat="1" ht="18" customHeight="1" thickBot="1">
      <c r="A3" s="579" t="s">
        <v>346</v>
      </c>
      <c r="B3" s="580">
        <f ca="1">ROUND(B2*10000/(IF(B1="",'数据-汇总表'!E3,INDIRECT("'数据-取费表'!k"&amp;$G$1))),0)</f>
        <v>3621</v>
      </c>
      <c r="C3" s="85" t="s">
        <v>870</v>
      </c>
      <c r="D3" s="575"/>
      <c r="E3" s="575"/>
      <c r="F3" s="575"/>
      <c r="G3" s="575"/>
    </row>
    <row r="4" spans="1:8" s="584" customFormat="1" ht="15.75">
      <c r="A4" s="581" t="s">
        <v>822</v>
      </c>
      <c r="B4" s="582"/>
      <c r="C4" s="582"/>
      <c r="D4" s="582"/>
      <c r="E4" s="582"/>
      <c r="F4" s="582"/>
      <c r="G4" s="583"/>
    </row>
    <row r="5" spans="1:8" s="590" customFormat="1" ht="13.5" customHeight="1">
      <c r="A5" s="631" t="s">
        <v>1909</v>
      </c>
      <c r="B5" s="586" t="s">
        <v>823</v>
      </c>
      <c r="C5" s="587">
        <f ca="1">C6+C7+C8</f>
        <v>419802</v>
      </c>
      <c r="D5" s="587" t="s">
        <v>824</v>
      </c>
      <c r="E5" s="588" t="s">
        <v>825</v>
      </c>
      <c r="F5" s="588" t="s">
        <v>826</v>
      </c>
      <c r="G5" s="589"/>
    </row>
    <row r="6" spans="1:8" s="590" customFormat="1" ht="13.5" customHeight="1">
      <c r="A6" s="1801" t="s">
        <v>1918</v>
      </c>
      <c r="B6" s="591" t="s">
        <v>827</v>
      </c>
      <c r="C6" s="592"/>
      <c r="D6" s="593"/>
      <c r="E6" s="594"/>
      <c r="F6" s="594"/>
      <c r="G6" s="595"/>
    </row>
    <row r="7" spans="1:8" s="590" customFormat="1" ht="13.5" customHeight="1">
      <c r="A7" s="1801" t="s">
        <v>1919</v>
      </c>
      <c r="B7" s="591" t="s">
        <v>347</v>
      </c>
      <c r="C7" s="596">
        <f>ROUND(C6*F7,0)</f>
        <v>0</v>
      </c>
      <c r="D7" s="596"/>
      <c r="E7" s="594"/>
      <c r="F7" s="597">
        <f>'数据-取费表'!B48+'数据-取费表'!B49</f>
        <v>0</v>
      </c>
      <c r="G7" s="595"/>
    </row>
    <row r="8" spans="1:8" s="599" customFormat="1">
      <c r="A8" s="1801" t="s">
        <v>1920</v>
      </c>
      <c r="B8" s="591" t="s">
        <v>828</v>
      </c>
      <c r="C8" s="596">
        <f ca="1">IF(G8="已包含在土地购买价格中",0,C9+C10)</f>
        <v>419802</v>
      </c>
      <c r="D8" s="598"/>
      <c r="E8" s="596"/>
      <c r="F8" s="597"/>
      <c r="G8" s="84"/>
    </row>
    <row r="9" spans="1:8" s="590" customFormat="1" ht="13.5" customHeight="1">
      <c r="A9" s="1802" t="s">
        <v>1927</v>
      </c>
      <c r="B9" s="600" t="s">
        <v>829</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1928</v>
      </c>
      <c r="B10" s="600" t="s">
        <v>830</v>
      </c>
      <c r="C10" s="601">
        <f ca="1">ROUND(D10*E10,0)</f>
        <v>419802</v>
      </c>
      <c r="D10" s="1906">
        <f ca="1">IF(B1="",'数据-汇总表'!E6,IF(INDIRECT("'数据-取费表'!c"&amp;$G$1)="住宅",INDIRECT("'数据-取费表'!s"&amp;$G$1),INDIRECT("'数据-取费表'!k"&amp;$G$1)+INDIRECT("'数据-取费表'!s"&amp;$G$1)))</f>
        <v>2099.0100000000002</v>
      </c>
      <c r="E10" s="601">
        <f>'数据-取费表'!B28</f>
        <v>200</v>
      </c>
      <c r="F10" s="597"/>
      <c r="G10" s="602"/>
    </row>
    <row r="11" spans="1:8" s="590" customFormat="1" ht="13.5" hidden="1" customHeight="1">
      <c r="A11" s="603" t="s">
        <v>42</v>
      </c>
      <c r="B11" s="591" t="s">
        <v>831</v>
      </c>
      <c r="C11" s="587"/>
      <c r="D11" s="1908"/>
      <c r="E11" s="594"/>
      <c r="F11" s="594"/>
      <c r="G11" s="595"/>
    </row>
    <row r="12" spans="1:8" s="590" customFormat="1" ht="13.5" hidden="1" customHeight="1">
      <c r="A12" s="603" t="s">
        <v>43</v>
      </c>
      <c r="B12" s="591" t="s">
        <v>832</v>
      </c>
      <c r="C12" s="587">
        <v>0</v>
      </c>
      <c r="D12" s="1908"/>
      <c r="E12" s="604"/>
      <c r="F12" s="597">
        <v>3.0499999999999999E-2</v>
      </c>
      <c r="G12" s="595"/>
    </row>
    <row r="13" spans="1:8" s="590" customFormat="1" ht="13.5" hidden="1" customHeight="1">
      <c r="A13" s="603" t="s">
        <v>44</v>
      </c>
      <c r="B13" s="591" t="s">
        <v>833</v>
      </c>
      <c r="C13" s="587"/>
      <c r="D13" s="1908"/>
      <c r="E13" s="594"/>
      <c r="F13" s="594"/>
      <c r="G13" s="595"/>
    </row>
    <row r="14" spans="1:8" s="590" customFormat="1" ht="13.5" hidden="1" customHeight="1">
      <c r="A14" s="603" t="s">
        <v>45</v>
      </c>
      <c r="B14" s="591" t="s">
        <v>828</v>
      </c>
      <c r="C14" s="587"/>
      <c r="D14" s="1908"/>
      <c r="E14" s="594"/>
      <c r="F14" s="594"/>
      <c r="G14" s="595" t="s">
        <v>834</v>
      </c>
    </row>
    <row r="15" spans="1:8" s="590" customFormat="1" ht="13.5" hidden="1" customHeight="1">
      <c r="A15" s="603" t="s">
        <v>46</v>
      </c>
      <c r="B15" s="591" t="s">
        <v>835</v>
      </c>
      <c r="C15" s="596"/>
      <c r="D15" s="1908"/>
      <c r="E15" s="594"/>
      <c r="F15" s="594"/>
      <c r="G15" s="595" t="s">
        <v>836</v>
      </c>
    </row>
    <row r="16" spans="1:8"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1910</v>
      </c>
      <c r="B19" s="586" t="s">
        <v>847</v>
      </c>
      <c r="C19" s="587">
        <f ca="1">IF(G19="已包含在土地取得成本中","0",ROUND(D19*E19,0))</f>
        <v>419802</v>
      </c>
      <c r="D19" s="1910">
        <f ca="1">D9+D10</f>
        <v>2099.0100000000002</v>
      </c>
      <c r="E19" s="587">
        <f>'数据-取费表'!B31</f>
        <v>200</v>
      </c>
      <c r="F19" s="607"/>
      <c r="G19" s="84"/>
    </row>
    <row r="20" spans="1:7" s="590" customFormat="1" ht="13.5" customHeight="1">
      <c r="A20" s="1800" t="s">
        <v>1911</v>
      </c>
      <c r="B20" s="586" t="s">
        <v>840</v>
      </c>
      <c r="C20" s="608">
        <f ca="1">ROUND((C5+C19)*F20,0)</f>
        <v>16792</v>
      </c>
      <c r="D20" s="608"/>
      <c r="E20" s="608"/>
      <c r="F20" s="609">
        <f>'数据-取费表'!B37</f>
        <v>0.02</v>
      </c>
      <c r="G20" s="2617" t="s">
        <v>2519</v>
      </c>
    </row>
    <row r="21" spans="1:7" s="590" customFormat="1" ht="13.5" customHeight="1">
      <c r="A21" s="1800" t="s">
        <v>1912</v>
      </c>
      <c r="B21" s="586" t="s">
        <v>841</v>
      </c>
      <c r="C21" s="611">
        <f>F21</f>
        <v>0.02</v>
      </c>
      <c r="D21" s="612" t="s">
        <v>862</v>
      </c>
      <c r="E21" s="608"/>
      <c r="F21" s="609">
        <f>'数据-取费表'!B38</f>
        <v>0.02</v>
      </c>
      <c r="G21" s="610" t="s">
        <v>842</v>
      </c>
    </row>
    <row r="22" spans="1:7" s="590" customFormat="1" ht="13.5" customHeight="1">
      <c r="A22" s="1800" t="s">
        <v>1913</v>
      </c>
      <c r="B22" s="586" t="s">
        <v>843</v>
      </c>
      <c r="C22" s="2751">
        <f ca="1">ROUND(SUM(C23:C25),0)</f>
        <v>82454</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752">
        <f ca="1">ROUND(IF('数据-取费表'!B22&lt;=1,C5*F22*'数据-取费表'!B22,C5*(POWER((1+F22),'数据-取费表'!B22)-1)),0)</f>
        <v>40828</v>
      </c>
      <c r="D23" s="614"/>
      <c r="E23" s="614"/>
      <c r="F23" s="615"/>
      <c r="G23" s="616" t="s">
        <v>844</v>
      </c>
    </row>
    <row r="24" spans="1:7" s="590" customFormat="1" ht="13.5" customHeight="1">
      <c r="A24" s="1803" t="s">
        <v>1919</v>
      </c>
      <c r="B24" s="591" t="s">
        <v>2507</v>
      </c>
      <c r="C24" s="2752">
        <f ca="1">ROUND(IF('数据-取费表'!B22&lt;=1,C19*F22*('数据-取费表'!B19/2+'数据-取费表'!B20),C19*(POWER((1+F22),('数据-取费表'!B19/2+'数据-取费表'!B20))-1)),0)</f>
        <v>40828</v>
      </c>
      <c r="D24" s="614"/>
      <c r="E24" s="614"/>
      <c r="F24" s="615"/>
      <c r="G24" s="616" t="s">
        <v>845</v>
      </c>
    </row>
    <row r="25" spans="1:7" s="590" customFormat="1" ht="24">
      <c r="A25" s="1803" t="s">
        <v>1920</v>
      </c>
      <c r="B25" s="591" t="s">
        <v>2509</v>
      </c>
      <c r="C25" s="2752">
        <f ca="1">ROUND(IF('数据-取费表'!B22&lt;=1,C20*F22*'数据-取费表'!B22/2,C20*(POWER((1+F22),'数据-取费表'!B22/2)-1)),0)</f>
        <v>798</v>
      </c>
      <c r="D25" s="614"/>
      <c r="E25" s="617"/>
      <c r="F25" s="615"/>
      <c r="G25" s="618" t="s">
        <v>846</v>
      </c>
    </row>
    <row r="26" spans="1:7" s="590" customFormat="1">
      <c r="A26" s="1803" t="s">
        <v>1922</v>
      </c>
      <c r="B26" s="591" t="s">
        <v>2511</v>
      </c>
      <c r="C26" s="614">
        <f ca="1">ROUND(IF('数据-取费表'!B22&lt;=1,F21*F22*'数据-取费表'!B22/2,F21*(POWER((1+F22),'数据-取费表'!B22/2)-1)),4)</f>
        <v>1E-3</v>
      </c>
      <c r="D26" s="614"/>
      <c r="E26" s="617"/>
      <c r="F26" s="615"/>
      <c r="G26" s="619"/>
    </row>
    <row r="27" spans="1:7" s="590" customFormat="1" ht="24.75">
      <c r="A27" s="1800" t="s">
        <v>1914</v>
      </c>
      <c r="B27" s="620" t="s">
        <v>848</v>
      </c>
      <c r="C27" s="621">
        <f ca="1">C28</f>
        <v>171279</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f ca="1">ROUND((C5+C19+C20)*F27,0)</f>
        <v>171279</v>
      </c>
      <c r="D28" s="611"/>
      <c r="E28" s="612"/>
      <c r="F28" s="622"/>
      <c r="G28" s="623"/>
    </row>
    <row r="29" spans="1:7" s="590" customFormat="1" ht="13.5" customHeight="1">
      <c r="A29" s="1803" t="s">
        <v>1919</v>
      </c>
      <c r="B29" s="624" t="s">
        <v>2514</v>
      </c>
      <c r="C29" s="614">
        <f ca="1">ROUND(C21*F27,4)</f>
        <v>4.0000000000000001E-3</v>
      </c>
      <c r="D29" s="611"/>
      <c r="E29" s="612"/>
      <c r="F29" s="622"/>
      <c r="G29" s="623"/>
    </row>
    <row r="30" spans="1:7" s="590" customFormat="1" ht="13.5" customHeight="1">
      <c r="A30" s="1800" t="s">
        <v>1915</v>
      </c>
      <c r="B30" s="586" t="s">
        <v>348</v>
      </c>
      <c r="C30" s="611">
        <f>ROUND(F30/(1+'数据-取费表'!C42),4)</f>
        <v>5.33E-2</v>
      </c>
      <c r="D30" s="612" t="s">
        <v>2943</v>
      </c>
      <c r="E30" s="617"/>
      <c r="F30" s="613">
        <f>'数据-取费表'!B41</f>
        <v>5.6000000000000001E-2</v>
      </c>
      <c r="G30" s="2617" t="s">
        <v>2944</v>
      </c>
    </row>
    <row r="31" spans="1:7" ht="16.5" customHeight="1">
      <c r="A31" s="585">
        <v>1</v>
      </c>
      <c r="B31" s="586" t="s">
        <v>864</v>
      </c>
      <c r="C31" s="587">
        <f ca="1">ROUND((C5+C19+C20+C22+C27)/(1-C21-D22-D27-C30),0)</f>
        <v>1204436</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1909</v>
      </c>
      <c r="B33" s="2753" t="s">
        <v>2625</v>
      </c>
      <c r="C33" s="632">
        <f ca="1">SUM(C34:C38)</f>
        <v>7126139</v>
      </c>
      <c r="D33" s="608"/>
      <c r="E33" s="588"/>
      <c r="F33" s="617"/>
      <c r="G33" s="610"/>
    </row>
    <row r="34" spans="1:7" s="634" customFormat="1" ht="13.5" customHeight="1">
      <c r="A34" s="1803" t="s">
        <v>1918</v>
      </c>
      <c r="B34" s="591" t="s">
        <v>349</v>
      </c>
      <c r="C34" s="596">
        <f ca="1">ROUND(IF(B1="",SUMPRODUCT('数据-取费表'!K6:K14,'数据-取费表'!L6:L14),INDIRECT("'数据-取费表'!l"&amp;$G$1)*INDIRECT("'数据-取费表'!k"&amp;$G$1)+'数据-取费表'!L14*INDIRECT("'数据-取费表'!S"&amp;$G$1)),0)</f>
        <v>6297030</v>
      </c>
      <c r="D34" s="593"/>
      <c r="E34" s="596"/>
      <c r="F34" s="633"/>
      <c r="G34" s="595"/>
    </row>
    <row r="35" spans="1:7" ht="13.5" customHeight="1">
      <c r="A35" s="1803" t="s">
        <v>1923</v>
      </c>
      <c r="B35" s="591" t="s">
        <v>350</v>
      </c>
      <c r="C35" s="596">
        <f ca="1">ROUND(C34*F35,0)</f>
        <v>314852</v>
      </c>
      <c r="D35" s="596"/>
      <c r="E35" s="596"/>
      <c r="F35" s="635">
        <f>'数据-取费表'!B33</f>
        <v>0.05</v>
      </c>
      <c r="G35" s="595" t="s">
        <v>853</v>
      </c>
    </row>
    <row r="36" spans="1:7" ht="24">
      <c r="A36" s="1803" t="s">
        <v>1924</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1925</v>
      </c>
      <c r="B37" s="591" t="s">
        <v>854</v>
      </c>
      <c r="C37" s="625">
        <f ca="1">ROUND(E37*D37,0)</f>
        <v>419802</v>
      </c>
      <c r="D37" s="593">
        <f ca="1">D19</f>
        <v>2099.0100000000002</v>
      </c>
      <c r="E37" s="625">
        <f>'数据-取费表'!B35</f>
        <v>200</v>
      </c>
      <c r="F37" s="635"/>
      <c r="G37" s="637"/>
    </row>
    <row r="38" spans="1:7" ht="13.5" customHeight="1">
      <c r="A38" s="1803" t="s">
        <v>1926</v>
      </c>
      <c r="B38" s="591" t="s">
        <v>353</v>
      </c>
      <c r="C38" s="596">
        <f ca="1">ROUND(C34*F38,0)</f>
        <v>94455</v>
      </c>
      <c r="D38" s="596"/>
      <c r="E38" s="596"/>
      <c r="F38" s="635">
        <f>'数据-取费表'!B36</f>
        <v>1.4999999999999999E-2</v>
      </c>
      <c r="G38" s="595" t="s">
        <v>853</v>
      </c>
    </row>
    <row r="39" spans="1:7" s="590" customFormat="1" ht="13.5" customHeight="1">
      <c r="A39" s="1800" t="s">
        <v>1910</v>
      </c>
      <c r="B39" s="586" t="s">
        <v>840</v>
      </c>
      <c r="C39" s="608">
        <f ca="1">ROUND(C33*F20,0)</f>
        <v>142523</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345262</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ROUND(IF('数据-取费表'!B22&lt;=1,C33*F22*'数据-取费表'!B20/2,C33*(POWER((1+F22),'数据-取费表'!B20/2)-1)),0)</f>
        <v>338492</v>
      </c>
      <c r="D42" s="614"/>
      <c r="E42" s="614"/>
      <c r="F42" s="615"/>
      <c r="G42" s="3586" t="s">
        <v>2628</v>
      </c>
    </row>
    <row r="43" spans="1:7" ht="13.5" customHeight="1">
      <c r="A43" s="1803" t="s">
        <v>1919</v>
      </c>
      <c r="B43" s="591" t="s">
        <v>2507</v>
      </c>
      <c r="C43" s="614">
        <f ca="1">ROUND(IF('数据-取费表'!B22&lt;=1,C39*F22*'数据-取费表'!B20/2,C39*(POWER((1+F22),'数据-取费表'!B20/2)-1)),0)</f>
        <v>6770</v>
      </c>
      <c r="D43" s="614"/>
      <c r="E43" s="614"/>
      <c r="F43" s="615"/>
      <c r="G43" s="3584"/>
    </row>
    <row r="44" spans="1:7" ht="13.5" customHeight="1">
      <c r="A44" s="1803" t="s">
        <v>1920</v>
      </c>
      <c r="B44" s="591" t="s">
        <v>2509</v>
      </c>
      <c r="C44" s="614">
        <f ca="1">ROUND(IF('数据-取费表'!B22&lt;=1,C40*F22*'数据-取费表'!B20/2,C40*(POWER((1+F22),'数据-取费表'!B20/2)-1)),4)</f>
        <v>1E-3</v>
      </c>
      <c r="D44" s="614"/>
      <c r="E44" s="614"/>
      <c r="F44" s="615"/>
      <c r="G44" s="3585"/>
    </row>
    <row r="45" spans="1:7" s="590" customFormat="1" ht="13.5" customHeight="1">
      <c r="A45" s="1800" t="s">
        <v>1913</v>
      </c>
      <c r="B45" s="620" t="s">
        <v>848</v>
      </c>
      <c r="C45" s="621">
        <f ca="1">C46</f>
        <v>1453732</v>
      </c>
      <c r="D45" s="611">
        <f ca="1">C47</f>
        <v>4.0000000000000001E-3</v>
      </c>
      <c r="E45" s="612" t="s">
        <v>865</v>
      </c>
      <c r="F45" s="622"/>
      <c r="G45" s="623" t="s">
        <v>2523</v>
      </c>
    </row>
    <row r="46" spans="1:7" s="590" customFormat="1" ht="13.5" customHeight="1">
      <c r="A46" s="1803" t="s">
        <v>1918</v>
      </c>
      <c r="B46" s="624" t="s">
        <v>2516</v>
      </c>
      <c r="C46" s="625">
        <f ca="1">ROUND((C33+C39)*F27,0)</f>
        <v>1453732</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638">
        <f>ROUND(F30/(1+'数据-取费表'!C42),4)</f>
        <v>5.33E-2</v>
      </c>
      <c r="D48" s="612" t="s">
        <v>2941</v>
      </c>
      <c r="E48" s="608"/>
      <c r="F48" s="613"/>
      <c r="G48" s="2617" t="s">
        <v>2942</v>
      </c>
    </row>
    <row r="49" spans="1:7" ht="16.5" customHeight="1">
      <c r="A49" s="1800" t="s">
        <v>1915</v>
      </c>
      <c r="B49" s="586" t="s">
        <v>2626</v>
      </c>
      <c r="C49" s="608">
        <f ca="1">ROUND((C33+C39+C41+C45)/(1-C40-D41-D45-C48),0)</f>
        <v>9837969</v>
      </c>
      <c r="D49" s="608"/>
      <c r="E49" s="608"/>
      <c r="F49" s="640"/>
      <c r="G49" s="610" t="s">
        <v>2524</v>
      </c>
    </row>
    <row r="50" spans="1:7" s="634" customFormat="1">
      <c r="A50" s="1800" t="s">
        <v>1916</v>
      </c>
      <c r="B50" s="586" t="s">
        <v>860</v>
      </c>
      <c r="C50" s="608"/>
      <c r="D50" s="608"/>
      <c r="E50" s="608"/>
      <c r="F50" s="640">
        <f>IF('数据-取费表'!B24=0,'数据-取费表'!N16,1)</f>
        <v>0.65</v>
      </c>
      <c r="G50" s="623"/>
    </row>
    <row r="51" spans="1:7" ht="16.5" customHeight="1">
      <c r="A51" s="1800" t="s">
        <v>1917</v>
      </c>
      <c r="B51" s="586" t="s">
        <v>2627</v>
      </c>
      <c r="C51" s="608">
        <f ca="1">ROUND(C49*F50,0)</f>
        <v>6394680</v>
      </c>
      <c r="D51" s="608"/>
      <c r="E51" s="608"/>
      <c r="F51" s="640"/>
      <c r="G51" s="610" t="s">
        <v>354</v>
      </c>
    </row>
    <row r="52" spans="1:7" s="584" customFormat="1" ht="16.5" thickBot="1">
      <c r="A52" s="641" t="s">
        <v>355</v>
      </c>
      <c r="B52" s="642"/>
      <c r="C52" s="643">
        <f ca="1">C31+C51</f>
        <v>7599116</v>
      </c>
      <c r="D52" s="642"/>
      <c r="E52" s="642"/>
      <c r="F52" s="642"/>
      <c r="G52" s="644"/>
    </row>
    <row r="55" spans="1:7" ht="15">
      <c r="B55" s="646" t="s">
        <v>356</v>
      </c>
      <c r="C55" s="647"/>
    </row>
    <row r="56" spans="1:7">
      <c r="B56" s="2869" t="s">
        <v>2699</v>
      </c>
      <c r="C56" s="651">
        <f ca="1">1-C57</f>
        <v>0.15800000000000003</v>
      </c>
    </row>
    <row r="57" spans="1:7">
      <c r="B57" s="2869" t="s">
        <v>2698</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871</v>
      </c>
      <c r="B1" s="3047"/>
      <c r="C1" s="3048"/>
      <c r="D1" s="3046"/>
      <c r="E1" s="652"/>
      <c r="F1" s="652"/>
      <c r="G1" s="3047"/>
      <c r="H1" s="652"/>
      <c r="I1" s="652"/>
      <c r="J1" s="652"/>
      <c r="K1" s="652">
        <f>MATCH(C1,'数据-取费表'!A6:A16,0)+5</f>
        <v>7</v>
      </c>
    </row>
    <row r="2" spans="1:33" ht="18" customHeight="1">
      <c r="A2" s="577" t="s">
        <v>820</v>
      </c>
      <c r="B2" s="580">
        <f ca="1">C32</f>
        <v>-52</v>
      </c>
      <c r="C2" s="88" t="s">
        <v>1097</v>
      </c>
      <c r="D2" s="652"/>
      <c r="E2" s="652"/>
      <c r="F2" s="652"/>
      <c r="G2" s="652"/>
      <c r="H2" s="652"/>
      <c r="I2" s="652"/>
      <c r="J2" s="652"/>
      <c r="K2" s="652"/>
    </row>
    <row r="3" spans="1:33" ht="18" customHeight="1" thickBot="1">
      <c r="A3" s="579" t="s">
        <v>821</v>
      </c>
      <c r="B3" s="580">
        <f ca="1">ROUND(B2*10000/IF(C1="",'数据-汇总表'!E3,INDIRECT("'数据-取费表'!K"&amp;$K$1)),0)</f>
        <v>-248</v>
      </c>
      <c r="C3" s="88" t="s">
        <v>870</v>
      </c>
      <c r="D3" s="652"/>
      <c r="E3" s="652"/>
      <c r="F3" s="652"/>
      <c r="G3" s="652"/>
      <c r="H3" s="652"/>
      <c r="I3" s="652"/>
      <c r="J3" s="652"/>
      <c r="K3" s="652"/>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1929</v>
      </c>
      <c r="B6" s="471"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1910</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1911</v>
      </c>
      <c r="B8" s="509"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2947</v>
      </c>
      <c r="B11" s="1825" t="s">
        <v>883</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2948</v>
      </c>
      <c r="B12" s="1825" t="s">
        <v>884</v>
      </c>
      <c r="C12" s="313">
        <f ca="1">ROUND(C11*F12,0)</f>
        <v>0</v>
      </c>
      <c r="D12" s="1826"/>
      <c r="E12" s="715"/>
      <c r="F12" s="1829">
        <f>'数据-取费表'!B33</f>
        <v>0.05</v>
      </c>
      <c r="G12" s="295" t="s">
        <v>885</v>
      </c>
      <c r="H12" s="1821"/>
      <c r="I12" s="1821"/>
      <c r="J12" s="1821"/>
      <c r="K12" s="1822"/>
    </row>
    <row r="13" spans="1:33" s="1828" customFormat="1" ht="13.5" customHeight="1">
      <c r="A13" s="1824" t="s">
        <v>2949</v>
      </c>
      <c r="B13" s="1825" t="s">
        <v>886</v>
      </c>
      <c r="C13" s="313">
        <f ca="1">ROUND(IF(C1="",SUMIF('数据-取费表'!C:C,"住宅",'数据-取费表'!P:P)*F13,IF(INDIRECT("'数据-取费表'!c"&amp;$K$1)="住宅",INDIRECT("'数据-取费表'!P"&amp;$K$1)*F13,0)),0)</f>
        <v>0</v>
      </c>
      <c r="D13" s="1907"/>
      <c r="E13" s="715"/>
      <c r="F13" s="1829">
        <f>'数据-取费表'!B34</f>
        <v>0</v>
      </c>
      <c r="G13" s="295" t="s">
        <v>887</v>
      </c>
      <c r="H13" s="1821"/>
      <c r="I13" s="1821"/>
      <c r="J13" s="1821"/>
      <c r="K13" s="1822"/>
    </row>
    <row r="14" spans="1:33" s="1830" customFormat="1" ht="13.5" customHeight="1">
      <c r="A14" s="1824" t="s">
        <v>2950</v>
      </c>
      <c r="B14" s="1825" t="s">
        <v>888</v>
      </c>
      <c r="C14" s="313">
        <f ca="1">ROUND(D14*E14*F11/10000,0)</f>
        <v>0</v>
      </c>
      <c r="D14" s="1907">
        <f ca="1">IF(C1="",'数据-汇总表'!E3,INDIRECT("'数据-取费表'!K"&amp;$K$1)+INDIRECT("'数据-取费表'!S"&amp;$K$1))</f>
        <v>2099.0100000000002</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895</v>
      </c>
      <c r="C15" s="1836">
        <f ca="1">ROUND(C11*F15,0)</f>
        <v>0</v>
      </c>
      <c r="D15" s="1831"/>
      <c r="E15" s="1836"/>
      <c r="F15" s="1837">
        <f>'数据-取费表'!B36</f>
        <v>1.4999999999999999E-2</v>
      </c>
      <c r="G15" s="471"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1930</v>
      </c>
      <c r="B16" s="3231" t="s">
        <v>2952</v>
      </c>
      <c r="C16" s="1836">
        <f ca="1">SUM(C11:C15)</f>
        <v>0</v>
      </c>
      <c r="D16" s="1831"/>
      <c r="E16" s="1836"/>
      <c r="F16" s="1837"/>
      <c r="G16" s="471"/>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1931</v>
      </c>
      <c r="B17" s="1825" t="s">
        <v>890</v>
      </c>
      <c r="C17" s="313">
        <f ca="1">ROUND(D17*E17/10000,0)</f>
        <v>0</v>
      </c>
      <c r="D17" s="1907">
        <f ca="1">D14</f>
        <v>2099.0100000000002</v>
      </c>
      <c r="E17" s="313">
        <f>'数据-取费表'!B32</f>
        <v>0</v>
      </c>
      <c r="F17" s="1831"/>
      <c r="G17" s="471" t="s">
        <v>891</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892</v>
      </c>
      <c r="C18" s="313">
        <f ca="1">C19+C20-IF(C1="",'数据-取费表'!B29,IF(G18="已全部缴纳",C19+C20,H18))</f>
        <v>42</v>
      </c>
      <c r="D18" s="1907"/>
      <c r="E18" s="313"/>
      <c r="F18" s="1829"/>
      <c r="G18" s="3043"/>
      <c r="H18" s="3041"/>
      <c r="I18" s="3042" t="s">
        <v>2798</v>
      </c>
      <c r="J18" s="1832"/>
      <c r="K18" s="1833"/>
    </row>
    <row r="19" spans="1:33" s="1828" customFormat="1" ht="13.5" customHeight="1">
      <c r="A19" s="1824" t="s">
        <v>1932</v>
      </c>
      <c r="B19" s="1825" t="s">
        <v>893</v>
      </c>
      <c r="C19" s="313">
        <f ca="1">ROUND(D19*E19/10000,0)</f>
        <v>0</v>
      </c>
      <c r="D19" s="1907">
        <f ca="1">IF(C1="",'数据-汇总表'!E5,IF(INDIRECT("'数据-取费表'!c"&amp;$K$1)="住宅",INDIRECT("'数据-取费表'!k"&amp;$K$1),0))</f>
        <v>0</v>
      </c>
      <c r="E19" s="313">
        <f>'数据-取费表'!B27</f>
        <v>190</v>
      </c>
      <c r="F19" s="1829"/>
      <c r="G19" s="303"/>
      <c r="H19" s="3045"/>
      <c r="I19" s="1834"/>
      <c r="J19" s="1834"/>
      <c r="K19" s="1835"/>
    </row>
    <row r="20" spans="1:33" s="1828" customFormat="1" ht="13.5" customHeight="1">
      <c r="A20" s="1824" t="s">
        <v>1933</v>
      </c>
      <c r="B20" s="1825" t="s">
        <v>894</v>
      </c>
      <c r="C20" s="313">
        <f ca="1">ROUND(D20*E20/10000,0)</f>
        <v>42</v>
      </c>
      <c r="D20" s="1907">
        <f ca="1">IF(C1="",'数据-汇总表'!E6,IF(INDIRECT("'数据-取费表'!c"&amp;$K$1)="住宅",INDIRECT("'数据-取费表'!s"&amp;$K$1),INDIRECT("'数据-取费表'!k"&amp;$K$1)+INDIRECT("'数据-取费表'!s"&amp;$K$1)))</f>
        <v>2099.0100000000002</v>
      </c>
      <c r="E20" s="313">
        <f>'数据-取费表'!B28</f>
        <v>200</v>
      </c>
      <c r="F20" s="1829"/>
      <c r="G20" s="303"/>
      <c r="H20" s="1834"/>
      <c r="I20" s="1834"/>
      <c r="J20" s="1834"/>
      <c r="K20" s="1835"/>
    </row>
    <row r="21" spans="1:33" s="1828" customFormat="1" ht="13.5" customHeight="1">
      <c r="A21" s="1813" t="s">
        <v>1929</v>
      </c>
      <c r="B21" s="1838" t="s">
        <v>897</v>
      </c>
      <c r="C21" s="1839">
        <f ca="1">C16+C17+C18</f>
        <v>42</v>
      </c>
      <c r="D21" s="1840"/>
      <c r="E21" s="657"/>
      <c r="F21" s="657"/>
      <c r="G21" s="471" t="s">
        <v>2525</v>
      </c>
      <c r="H21" s="1832"/>
      <c r="I21" s="1832"/>
      <c r="J21" s="1832"/>
      <c r="K21" s="1833"/>
    </row>
    <row r="22" spans="1:33" s="1828" customFormat="1" ht="13.5" customHeight="1">
      <c r="A22" s="1818" t="s">
        <v>1910</v>
      </c>
      <c r="B22" s="1838" t="s">
        <v>898</v>
      </c>
      <c r="C22" s="1839">
        <f ca="1">ROUND(C21*F22,0)</f>
        <v>1</v>
      </c>
      <c r="D22" s="657"/>
      <c r="E22" s="657"/>
      <c r="F22" s="1841">
        <f>'数据-取费表'!B37</f>
        <v>0.02</v>
      </c>
      <c r="G22" s="295" t="s">
        <v>899</v>
      </c>
      <c r="H22" s="1821"/>
      <c r="I22" s="1821"/>
      <c r="J22" s="1821"/>
      <c r="K22" s="1822"/>
    </row>
    <row r="23" spans="1:33" s="1828" customFormat="1" ht="13.5" customHeight="1">
      <c r="A23" s="1818" t="s">
        <v>1911</v>
      </c>
      <c r="B23" s="1838" t="s">
        <v>900</v>
      </c>
      <c r="C23" s="1839">
        <f ca="1">ROUND(C4*F23*F11,0)</f>
        <v>0</v>
      </c>
      <c r="D23" s="657"/>
      <c r="E23" s="657"/>
      <c r="F23" s="1841">
        <f>'数据-取费表'!B38</f>
        <v>0.02</v>
      </c>
      <c r="G23" s="295" t="s">
        <v>901</v>
      </c>
      <c r="H23" s="1821"/>
      <c r="I23" s="1821"/>
      <c r="J23" s="1821"/>
      <c r="K23" s="1822"/>
    </row>
    <row r="24" spans="1:33" s="1828" customFormat="1" ht="13.5" customHeight="1">
      <c r="A24" s="1818" t="s">
        <v>1912</v>
      </c>
      <c r="B24" s="1838" t="s">
        <v>902</v>
      </c>
      <c r="C24" s="656">
        <f>ROUND(F24/(1+'数据-取费表'!C42),4)</f>
        <v>0</v>
      </c>
      <c r="D24" s="657" t="s">
        <v>50</v>
      </c>
      <c r="E24" s="657"/>
      <c r="F24" s="1841">
        <f>'数据-取费表'!B48+'数据-取费表'!B49</f>
        <v>0</v>
      </c>
      <c r="G24" s="2020" t="s">
        <v>2945</v>
      </c>
      <c r="H24" s="1843"/>
      <c r="I24" s="1843"/>
      <c r="J24" s="1843"/>
      <c r="K24" s="1844"/>
    </row>
    <row r="25" spans="1:33" s="1828" customFormat="1" ht="13.5" customHeight="1">
      <c r="A25" s="1818" t="s">
        <v>1913</v>
      </c>
      <c r="B25" s="1840" t="s">
        <v>903</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1930</v>
      </c>
      <c r="B26" s="1845" t="s">
        <v>904</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1931</v>
      </c>
      <c r="B27" s="1845" t="s">
        <v>2615</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1914</v>
      </c>
      <c r="B28" s="3232" t="s">
        <v>2954</v>
      </c>
      <c r="C28" s="663">
        <f ca="1">C30</f>
        <v>9</v>
      </c>
      <c r="D28" s="656">
        <f ca="1">C29</f>
        <v>0</v>
      </c>
      <c r="E28" s="658" t="s">
        <v>50</v>
      </c>
      <c r="F28" s="664">
        <f ca="1">IF(C1="",'数据-取费表'!Q16,INDIRECT("'数据-取费表'!q"&amp;$K$1))</f>
        <v>0.2</v>
      </c>
      <c r="G28" s="1842"/>
      <c r="H28" s="1843"/>
      <c r="I28" s="1843"/>
      <c r="J28" s="1843"/>
      <c r="K28" s="1844"/>
    </row>
    <row r="29" spans="1:33" s="667" customFormat="1" ht="13.5" customHeight="1">
      <c r="A29" s="1824" t="s">
        <v>1930</v>
      </c>
      <c r="B29" s="1847" t="s">
        <v>905</v>
      </c>
      <c r="C29" s="660">
        <f ca="1">ROUND((1+C24)*F28*'数据-取费表'!B24/'数据-取费表'!B20,4)</f>
        <v>0</v>
      </c>
      <c r="D29" s="660"/>
      <c r="E29" s="661"/>
      <c r="F29" s="666"/>
      <c r="G29" s="471" t="s">
        <v>906</v>
      </c>
      <c r="H29" s="1832"/>
      <c r="I29" s="1832"/>
      <c r="J29" s="1832"/>
      <c r="K29" s="1833"/>
    </row>
    <row r="30" spans="1:33" s="667" customFormat="1" ht="13.5" customHeight="1">
      <c r="A30" s="1824" t="s">
        <v>1931</v>
      </c>
      <c r="B30" s="2706" t="s">
        <v>2616</v>
      </c>
      <c r="C30" s="668">
        <f ca="1">ROUND((C21+C22+C23)*F28,0)</f>
        <v>9</v>
      </c>
      <c r="D30" s="660"/>
      <c r="E30" s="661"/>
      <c r="F30" s="666"/>
      <c r="G30" s="471"/>
      <c r="H30" s="1832"/>
      <c r="I30" s="1832"/>
      <c r="J30" s="1832"/>
      <c r="K30" s="1833"/>
    </row>
    <row r="31" spans="1:33" s="1828" customFormat="1" ht="13.5" customHeight="1" thickBot="1">
      <c r="A31" s="1859" t="s">
        <v>1915</v>
      </c>
      <c r="B31" s="1860" t="s">
        <v>907</v>
      </c>
      <c r="C31" s="1861">
        <f>ROUND(C4*F31/(1+'数据-取费表'!C42),0)</f>
        <v>0</v>
      </c>
      <c r="D31" s="1862"/>
      <c r="E31" s="1863"/>
      <c r="F31" s="1864">
        <f>'数据-取费表'!B41</f>
        <v>5.6000000000000001E-2</v>
      </c>
      <c r="G31" s="1865" t="s">
        <v>908</v>
      </c>
      <c r="H31" s="1866"/>
      <c r="I31" s="1866"/>
      <c r="J31" s="1866"/>
      <c r="K31" s="1867"/>
    </row>
    <row r="32" spans="1:33" s="1823" customFormat="1" ht="13.5" customHeight="1" thickBot="1">
      <c r="A32" s="1854" t="s">
        <v>2946</v>
      </c>
      <c r="B32" s="1855"/>
      <c r="C32" s="1856">
        <f ca="1">ROUND((C4-C21-C22-C23-C25-C28-C31)/(1+C24+D25+D28),0)</f>
        <v>-52</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H56" sqref="H5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1069</v>
      </c>
      <c r="B1" s="3115" t="s">
        <v>1070</v>
      </c>
      <c r="C1" s="3109" t="s">
        <v>1071</v>
      </c>
      <c r="D1" s="3100" t="s">
        <v>141</v>
      </c>
      <c r="E1" s="3105"/>
      <c r="F1" s="3102" t="s">
        <v>2695</v>
      </c>
      <c r="G1" s="3104" t="s">
        <v>1072</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1073</v>
      </c>
      <c r="B2" s="2841">
        <f>IF(C2="——",ROUND(C50*D3/10000,0),ROUND(C50*D3/10000,0)-D2)</f>
        <v>6955</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33133</v>
      </c>
      <c r="C3" s="142" t="s">
        <v>1075</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1076</v>
      </c>
      <c r="B4" s="144"/>
      <c r="C4" s="3605" t="s">
        <v>1077</v>
      </c>
      <c r="D4" s="3606"/>
      <c r="E4" s="3607" t="s">
        <v>1078</v>
      </c>
      <c r="F4" s="3608"/>
      <c r="G4" s="3605" t="s">
        <v>1079</v>
      </c>
      <c r="H4" s="3606"/>
      <c r="I4" s="3605" t="s">
        <v>1080</v>
      </c>
      <c r="J4" s="3606"/>
      <c r="K4" s="187" t="s">
        <v>1081</v>
      </c>
      <c r="L4" s="2293"/>
      <c r="M4" s="2294"/>
      <c r="N4" s="2294"/>
      <c r="O4" s="2294"/>
      <c r="P4" s="3609" t="s">
        <v>1076</v>
      </c>
      <c r="Q4" s="3610"/>
      <c r="R4" s="3615" t="s">
        <v>1078</v>
      </c>
      <c r="S4" s="3616"/>
      <c r="T4" s="3615" t="s">
        <v>1079</v>
      </c>
      <c r="U4" s="3616"/>
      <c r="V4" s="3621" t="s">
        <v>1080</v>
      </c>
      <c r="W4" s="3621"/>
      <c r="X4" s="2333"/>
      <c r="Y4" s="3615" t="s">
        <v>1076</v>
      </c>
      <c r="Z4" s="3616"/>
      <c r="AA4" s="3631" t="s">
        <v>1078</v>
      </c>
      <c r="AB4" s="3631" t="s">
        <v>1079</v>
      </c>
      <c r="AC4" s="3602" t="s">
        <v>1080</v>
      </c>
    </row>
    <row r="5" spans="1:29">
      <c r="A5" s="146"/>
      <c r="B5" s="147"/>
      <c r="C5" s="3625" t="s">
        <v>3125</v>
      </c>
      <c r="D5" s="3626"/>
      <c r="E5" s="3625" t="s">
        <v>3125</v>
      </c>
      <c r="F5" s="3626"/>
      <c r="G5" s="3625" t="s">
        <v>3126</v>
      </c>
      <c r="H5" s="3626"/>
      <c r="I5" s="3625" t="s">
        <v>3127</v>
      </c>
      <c r="J5" s="3626"/>
      <c r="K5" s="187"/>
      <c r="L5" s="2293"/>
      <c r="M5" s="2294"/>
      <c r="N5" s="2294"/>
      <c r="O5" s="2294"/>
      <c r="P5" s="3611"/>
      <c r="Q5" s="3612"/>
      <c r="R5" s="3617"/>
      <c r="S5" s="3618"/>
      <c r="T5" s="3617"/>
      <c r="U5" s="3618"/>
      <c r="V5" s="3622"/>
      <c r="W5" s="3622"/>
      <c r="X5" s="2219"/>
      <c r="Y5" s="3617"/>
      <c r="Z5" s="3618"/>
      <c r="AA5" s="3632"/>
      <c r="AB5" s="3632"/>
      <c r="AC5" s="3603"/>
    </row>
    <row r="6" spans="1:29" ht="14.25" thickBot="1">
      <c r="A6" s="148"/>
      <c r="B6" s="149"/>
      <c r="C6" s="3623" t="s">
        <v>3128</v>
      </c>
      <c r="D6" s="3624"/>
      <c r="E6" s="3623" t="s">
        <v>3128</v>
      </c>
      <c r="F6" s="3624"/>
      <c r="G6" s="3623" t="s">
        <v>3129</v>
      </c>
      <c r="H6" s="3624"/>
      <c r="I6" s="3623" t="s">
        <v>3130</v>
      </c>
      <c r="J6" s="3624"/>
      <c r="K6" s="187" t="s">
        <v>1082</v>
      </c>
      <c r="L6" s="2293"/>
      <c r="M6" s="2294"/>
      <c r="N6" s="2294"/>
      <c r="O6" s="2294"/>
      <c r="P6" s="3613"/>
      <c r="Q6" s="3614"/>
      <c r="R6" s="3617"/>
      <c r="S6" s="3618"/>
      <c r="T6" s="3619"/>
      <c r="U6" s="3620"/>
      <c r="V6" s="3622"/>
      <c r="W6" s="3622"/>
      <c r="X6" s="2219"/>
      <c r="Y6" s="3619"/>
      <c r="Z6" s="3620"/>
      <c r="AA6" s="3633"/>
      <c r="AB6" s="3633"/>
      <c r="AC6" s="3604"/>
    </row>
    <row r="7" spans="1:29" s="40" customFormat="1" ht="15" thickBot="1">
      <c r="A7" s="1014" t="s">
        <v>1083</v>
      </c>
      <c r="B7" s="1015"/>
      <c r="C7" s="753">
        <f>'数据-取费表'!B2</f>
        <v>42962</v>
      </c>
      <c r="D7" s="754">
        <v>100</v>
      </c>
      <c r="E7" s="1017">
        <v>42951</v>
      </c>
      <c r="F7" s="756">
        <f>SUMIF(59:59,YEAR(E7)&amp;"-"&amp;MONTH(E7),60:60)</f>
        <v>100</v>
      </c>
      <c r="G7" s="1018">
        <v>42942</v>
      </c>
      <c r="H7" s="754">
        <f>SUMIF(59:59,YEAR(G7)&amp;"-"&amp;MONTH(G7),60:60)</f>
        <v>100</v>
      </c>
      <c r="I7" s="1018">
        <v>42920</v>
      </c>
      <c r="J7" s="754">
        <f>SUMIF(59:59,YEAR(I7)&amp;"-"&amp;MONTH(I7),60:60)</f>
        <v>100</v>
      </c>
      <c r="K7" s="1019"/>
      <c r="L7" s="2295"/>
      <c r="M7" s="2257"/>
      <c r="N7" s="2257"/>
      <c r="O7" s="2257"/>
      <c r="P7" s="3627" t="s">
        <v>1083</v>
      </c>
      <c r="Q7" s="3630"/>
      <c r="R7" s="1342" t="s">
        <v>65</v>
      </c>
      <c r="S7" s="1343">
        <f t="shared" ref="S7:S15" si="0">F7</f>
        <v>100</v>
      </c>
      <c r="T7" s="1342" t="s">
        <v>65</v>
      </c>
      <c r="U7" s="1343">
        <f t="shared" ref="U7:U15" si="1">H7</f>
        <v>100</v>
      </c>
      <c r="V7" s="1342" t="s">
        <v>65</v>
      </c>
      <c r="W7" s="1343">
        <f t="shared" ref="W7:W15" si="2">J7</f>
        <v>100</v>
      </c>
      <c r="X7" s="287"/>
      <c r="Y7" s="3629" t="s">
        <v>1083</v>
      </c>
      <c r="Z7" s="3628"/>
      <c r="AA7" s="1344">
        <f>D7/F7</f>
        <v>1</v>
      </c>
      <c r="AB7" s="1344">
        <f>D7/H7</f>
        <v>1</v>
      </c>
      <c r="AC7" s="2334">
        <f>D7/J7</f>
        <v>1</v>
      </c>
    </row>
    <row r="8" spans="1:29" s="40" customFormat="1" ht="15" thickBot="1">
      <c r="A8" s="1014" t="s">
        <v>1084</v>
      </c>
      <c r="B8" s="1015"/>
      <c r="C8" s="1020" t="s">
        <v>3131</v>
      </c>
      <c r="D8" s="754">
        <v>100</v>
      </c>
      <c r="E8" s="1020" t="s">
        <v>3131</v>
      </c>
      <c r="F8" s="756">
        <f>SUMIF(62:62,E8,63:63)-SUMIF(62:62,C8,63:63)+100</f>
        <v>100</v>
      </c>
      <c r="G8" s="1020" t="s">
        <v>3131</v>
      </c>
      <c r="H8" s="754">
        <f>SUMIF(62:62,G8,63:63)-SUMIF(62:62,C8,63:63)+100</f>
        <v>100</v>
      </c>
      <c r="I8" s="1020" t="s">
        <v>3131</v>
      </c>
      <c r="J8" s="754">
        <f>SUMIF(62:62,I8,63:63)-SUMIF(62:62,C8,63:63)+100</f>
        <v>100</v>
      </c>
      <c r="K8" s="1019"/>
      <c r="L8" s="2295"/>
      <c r="M8" s="2257"/>
      <c r="N8" s="2257"/>
      <c r="O8" s="2257"/>
      <c r="P8" s="3627" t="s">
        <v>1022</v>
      </c>
      <c r="Q8" s="3628"/>
      <c r="R8" s="1342" t="s">
        <v>65</v>
      </c>
      <c r="S8" s="1343">
        <f t="shared" si="0"/>
        <v>100</v>
      </c>
      <c r="T8" s="1342" t="s">
        <v>65</v>
      </c>
      <c r="U8" s="1343">
        <f t="shared" si="1"/>
        <v>100</v>
      </c>
      <c r="V8" s="1342" t="s">
        <v>65</v>
      </c>
      <c r="W8" s="1343">
        <f t="shared" si="2"/>
        <v>100</v>
      </c>
      <c r="X8" s="287"/>
      <c r="Y8" s="3629" t="s">
        <v>1022</v>
      </c>
      <c r="Z8" s="3628"/>
      <c r="AA8" s="1344">
        <f t="shared" ref="AA8:AA47" si="3">D8/F8</f>
        <v>1</v>
      </c>
      <c r="AB8" s="1344">
        <f t="shared" ref="AB8:AB47" si="4">D8/H8</f>
        <v>1</v>
      </c>
      <c r="AC8" s="2334">
        <f t="shared" ref="AC8:AC47" si="5">D8/J8</f>
        <v>1</v>
      </c>
    </row>
    <row r="9" spans="1:29" s="40" customFormat="1" ht="14.25">
      <c r="A9" s="1021" t="s">
        <v>1023</v>
      </c>
      <c r="B9" s="62" t="s">
        <v>1024</v>
      </c>
      <c r="C9" s="1346" t="s">
        <v>3132</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587" t="s">
        <v>67</v>
      </c>
      <c r="Q9" s="2210" t="str">
        <f t="shared" ref="Q9:Q15" si="6">B9</f>
        <v>用途</v>
      </c>
      <c r="R9" s="1342" t="s">
        <v>65</v>
      </c>
      <c r="S9" s="1343">
        <f t="shared" si="0"/>
        <v>100</v>
      </c>
      <c r="T9" s="1342" t="s">
        <v>65</v>
      </c>
      <c r="U9" s="1343">
        <f t="shared" si="1"/>
        <v>100</v>
      </c>
      <c r="V9" s="1342" t="s">
        <v>65</v>
      </c>
      <c r="W9" s="1343">
        <f t="shared" si="2"/>
        <v>100</v>
      </c>
      <c r="X9" s="287"/>
      <c r="Y9" s="3433" t="s">
        <v>67</v>
      </c>
      <c r="Z9" s="2209" t="str">
        <f t="shared" ref="Z9:Z15" si="7">Q9</f>
        <v>用途</v>
      </c>
      <c r="AA9" s="1344">
        <f t="shared" si="3"/>
        <v>1</v>
      </c>
      <c r="AB9" s="1344">
        <f t="shared" si="4"/>
        <v>1</v>
      </c>
      <c r="AC9" s="2334">
        <f t="shared" si="5"/>
        <v>1</v>
      </c>
    </row>
    <row r="10" spans="1:29" s="92" customFormat="1" ht="27">
      <c r="A10" s="150"/>
      <c r="B10" s="12" t="s">
        <v>106</v>
      </c>
      <c r="C10" s="1349" t="s">
        <v>3133</v>
      </c>
      <c r="D10" s="426">
        <v>100</v>
      </c>
      <c r="E10" s="1349" t="s">
        <v>3133</v>
      </c>
      <c r="F10" s="426">
        <f>SUMIF(66:66,E10,67:67)-SUMIF(66:66,C10,67:67)+100</f>
        <v>100</v>
      </c>
      <c r="G10" s="1350" t="s">
        <v>3133</v>
      </c>
      <c r="H10" s="426">
        <f>SUMIF(66:66,G10,67:67)-SUMIF(66:66,C10,67:67)+100</f>
        <v>100</v>
      </c>
      <c r="I10" s="1349" t="s">
        <v>3134</v>
      </c>
      <c r="J10" s="426">
        <f>SUMIF(66:66,I10,67:67)-SUMIF(66:66,C10,67:67)+100</f>
        <v>101</v>
      </c>
      <c r="K10" s="955">
        <v>1</v>
      </c>
      <c r="L10" s="2296"/>
      <c r="M10" s="2297"/>
      <c r="N10" s="2297"/>
      <c r="O10" s="2297"/>
      <c r="P10" s="3587"/>
      <c r="Q10" s="2210" t="str">
        <f t="shared" si="6"/>
        <v>土地使用年限（年）</v>
      </c>
      <c r="R10" s="1342" t="s">
        <v>65</v>
      </c>
      <c r="S10" s="1343">
        <f t="shared" si="0"/>
        <v>100</v>
      </c>
      <c r="T10" s="1342" t="s">
        <v>65</v>
      </c>
      <c r="U10" s="1343">
        <f t="shared" si="1"/>
        <v>100</v>
      </c>
      <c r="V10" s="1342" t="s">
        <v>65</v>
      </c>
      <c r="W10" s="1343">
        <f t="shared" si="2"/>
        <v>101</v>
      </c>
      <c r="X10" s="287"/>
      <c r="Y10" s="3433"/>
      <c r="Z10" s="2209" t="str">
        <f t="shared" si="7"/>
        <v>土地使用年限（年）</v>
      </c>
      <c r="AA10" s="1344">
        <f t="shared" si="3"/>
        <v>1</v>
      </c>
      <c r="AB10" s="1344">
        <f t="shared" si="4"/>
        <v>1</v>
      </c>
      <c r="AC10" s="2334">
        <f t="shared" si="5"/>
        <v>0.99009900990099009</v>
      </c>
    </row>
    <row r="11" spans="1:29" ht="15.75" thickBot="1">
      <c r="A11" s="151"/>
      <c r="B11" s="12"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587"/>
      <c r="Q11" s="2210" t="str">
        <f t="shared" si="6"/>
        <v>容积率</v>
      </c>
      <c r="R11" s="1342" t="s">
        <v>65</v>
      </c>
      <c r="S11" s="1343">
        <f t="shared" si="0"/>
        <v>100</v>
      </c>
      <c r="T11" s="1342" t="s">
        <v>65</v>
      </c>
      <c r="U11" s="1343">
        <f t="shared" si="1"/>
        <v>100</v>
      </c>
      <c r="V11" s="1342" t="s">
        <v>65</v>
      </c>
      <c r="W11" s="1343">
        <f t="shared" si="2"/>
        <v>100</v>
      </c>
      <c r="X11" s="287"/>
      <c r="Y11" s="3433"/>
      <c r="Z11" s="2209" t="str">
        <f t="shared" si="7"/>
        <v>容积率</v>
      </c>
      <c r="AA11" s="1344">
        <f t="shared" si="3"/>
        <v>1</v>
      </c>
      <c r="AB11" s="1344">
        <f t="shared" si="4"/>
        <v>1</v>
      </c>
      <c r="AC11" s="2334">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587"/>
      <c r="Q12" s="2210">
        <f t="shared" si="6"/>
        <v>111</v>
      </c>
      <c r="R12" s="1342" t="s">
        <v>65</v>
      </c>
      <c r="S12" s="1343">
        <f t="shared" si="0"/>
        <v>100</v>
      </c>
      <c r="T12" s="1342" t="s">
        <v>65</v>
      </c>
      <c r="U12" s="1343">
        <f t="shared" si="1"/>
        <v>100</v>
      </c>
      <c r="V12" s="1342" t="s">
        <v>65</v>
      </c>
      <c r="W12" s="1343">
        <f t="shared" si="2"/>
        <v>100</v>
      </c>
      <c r="X12" s="287"/>
      <c r="Y12" s="3433"/>
      <c r="Z12" s="2209">
        <f t="shared" si="7"/>
        <v>111</v>
      </c>
      <c r="AA12" s="1344">
        <f>D12/F12</f>
        <v>1</v>
      </c>
      <c r="AB12" s="1344">
        <f>D12/H12</f>
        <v>1</v>
      </c>
      <c r="AC12" s="2334">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587"/>
      <c r="Q13" s="2210">
        <f t="shared" si="6"/>
        <v>111</v>
      </c>
      <c r="R13" s="1342" t="s">
        <v>65</v>
      </c>
      <c r="S13" s="1343">
        <f t="shared" si="0"/>
        <v>100</v>
      </c>
      <c r="T13" s="1342" t="s">
        <v>65</v>
      </c>
      <c r="U13" s="1343">
        <f t="shared" si="1"/>
        <v>100</v>
      </c>
      <c r="V13" s="1342" t="s">
        <v>65</v>
      </c>
      <c r="W13" s="1343">
        <f t="shared" si="2"/>
        <v>100</v>
      </c>
      <c r="X13" s="287"/>
      <c r="Y13" s="3433"/>
      <c r="Z13" s="2209">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587"/>
      <c r="Q14" s="2210">
        <f t="shared" si="6"/>
        <v>111</v>
      </c>
      <c r="R14" s="1342" t="s">
        <v>65</v>
      </c>
      <c r="S14" s="1343">
        <f t="shared" si="0"/>
        <v>100</v>
      </c>
      <c r="T14" s="1342" t="s">
        <v>65</v>
      </c>
      <c r="U14" s="1343">
        <f t="shared" si="1"/>
        <v>100</v>
      </c>
      <c r="V14" s="1342" t="s">
        <v>65</v>
      </c>
      <c r="W14" s="1343">
        <f t="shared" si="2"/>
        <v>100</v>
      </c>
      <c r="X14" s="287"/>
      <c r="Y14" s="3433"/>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593" t="s">
        <v>69</v>
      </c>
      <c r="Q15" s="2217" t="str">
        <f t="shared" si="6"/>
        <v>办公集聚程度</v>
      </c>
      <c r="R15" s="1352" t="s">
        <v>65</v>
      </c>
      <c r="S15" s="1353">
        <f t="shared" si="0"/>
        <v>100</v>
      </c>
      <c r="T15" s="1352" t="s">
        <v>65</v>
      </c>
      <c r="U15" s="1353">
        <f t="shared" si="1"/>
        <v>100</v>
      </c>
      <c r="V15" s="1352" t="s">
        <v>65</v>
      </c>
      <c r="W15" s="1353">
        <f t="shared" si="2"/>
        <v>100</v>
      </c>
      <c r="X15" s="2219"/>
      <c r="Y15" s="3595" t="s">
        <v>69</v>
      </c>
      <c r="Z15" s="2218" t="str">
        <f t="shared" si="7"/>
        <v>办公集聚程度</v>
      </c>
      <c r="AA15" s="1355">
        <f t="shared" si="3"/>
        <v>1</v>
      </c>
      <c r="AB15" s="1355">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594"/>
      <c r="Q16" s="2217"/>
      <c r="R16" s="1352"/>
      <c r="S16" s="1353"/>
      <c r="T16" s="1352"/>
      <c r="U16" s="1353"/>
      <c r="V16" s="1352"/>
      <c r="W16" s="1353"/>
      <c r="X16" s="2219"/>
      <c r="Y16" s="3596"/>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594"/>
      <c r="Q17" s="2217" t="str">
        <f>B17</f>
        <v>交通便捷度</v>
      </c>
      <c r="R17" s="1352" t="s">
        <v>65</v>
      </c>
      <c r="S17" s="1353">
        <f>F17</f>
        <v>100</v>
      </c>
      <c r="T17" s="1352" t="s">
        <v>65</v>
      </c>
      <c r="U17" s="1353">
        <f>H17</f>
        <v>100</v>
      </c>
      <c r="V17" s="1352" t="s">
        <v>65</v>
      </c>
      <c r="W17" s="1353">
        <f>J17</f>
        <v>100</v>
      </c>
      <c r="X17" s="2219"/>
      <c r="Y17" s="3596"/>
      <c r="Z17" s="2218" t="str">
        <f>Q17</f>
        <v>交通便捷度</v>
      </c>
      <c r="AA17" s="1355">
        <f t="shared" si="3"/>
        <v>1</v>
      </c>
      <c r="AB17" s="1355">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594"/>
      <c r="Q18" s="2217"/>
      <c r="R18" s="1352"/>
      <c r="S18" s="1353"/>
      <c r="T18" s="1352"/>
      <c r="U18" s="1353"/>
      <c r="V18" s="1352"/>
      <c r="W18" s="1353"/>
      <c r="X18" s="2219"/>
      <c r="Y18" s="3596"/>
      <c r="Z18" s="2218"/>
      <c r="AA18" s="1355">
        <v>1</v>
      </c>
      <c r="AB18" s="1355">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594"/>
      <c r="Q19" s="2217" t="str">
        <f>B19</f>
        <v>公共配套设施</v>
      </c>
      <c r="R19" s="1352" t="s">
        <v>65</v>
      </c>
      <c r="S19" s="1353">
        <f>F19</f>
        <v>100</v>
      </c>
      <c r="T19" s="1352" t="s">
        <v>65</v>
      </c>
      <c r="U19" s="1353">
        <f>H19</f>
        <v>100</v>
      </c>
      <c r="V19" s="1352" t="s">
        <v>65</v>
      </c>
      <c r="W19" s="1353">
        <f>J19</f>
        <v>100</v>
      </c>
      <c r="X19" s="2219"/>
      <c r="Y19" s="3596"/>
      <c r="Z19" s="2218" t="str">
        <f>Q19</f>
        <v>公共配套设施</v>
      </c>
      <c r="AA19" s="1355">
        <f t="shared" si="3"/>
        <v>1</v>
      </c>
      <c r="AB19" s="1355">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594"/>
      <c r="Q20" s="2217"/>
      <c r="R20" s="1352"/>
      <c r="S20" s="1353"/>
      <c r="T20" s="1352"/>
      <c r="U20" s="1353"/>
      <c r="V20" s="1352"/>
      <c r="W20" s="1353"/>
      <c r="X20" s="2219"/>
      <c r="Y20" s="3596"/>
      <c r="Z20" s="2218"/>
      <c r="AA20" s="1355">
        <v>1</v>
      </c>
      <c r="AB20" s="1355">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594"/>
      <c r="Q21" s="2743" t="str">
        <f>B21</f>
        <v>基础设施水平</v>
      </c>
      <c r="R21" s="1352" t="s">
        <v>65</v>
      </c>
      <c r="S21" s="1353">
        <f>F21</f>
        <v>100</v>
      </c>
      <c r="T21" s="1352" t="s">
        <v>65</v>
      </c>
      <c r="U21" s="1353">
        <f>H21</f>
        <v>100</v>
      </c>
      <c r="V21" s="1352" t="s">
        <v>65</v>
      </c>
      <c r="W21" s="1353">
        <f>J21</f>
        <v>100</v>
      </c>
      <c r="X21" s="2745"/>
      <c r="Y21" s="3596"/>
      <c r="Z21" s="2744" t="str">
        <f>Q21</f>
        <v>基础设施水平</v>
      </c>
      <c r="AA21" s="1355">
        <f t="shared" ref="AA21" si="8">D21/F21</f>
        <v>1</v>
      </c>
      <c r="AB21" s="1355">
        <f t="shared" ref="AB21" si="9">D21/H21</f>
        <v>1</v>
      </c>
      <c r="AC21" s="2335">
        <f t="shared" ref="AC21" si="10">D21/J21</f>
        <v>1</v>
      </c>
    </row>
    <row r="22" spans="1:29" ht="14.25">
      <c r="A22" s="151"/>
      <c r="B22" s="1036"/>
      <c r="C22" s="193" t="s">
        <v>3135</v>
      </c>
      <c r="D22" s="791"/>
      <c r="E22" s="193" t="s">
        <v>3135</v>
      </c>
      <c r="F22" s="791"/>
      <c r="G22" s="193" t="s">
        <v>3135</v>
      </c>
      <c r="H22" s="791"/>
      <c r="I22" s="193" t="s">
        <v>3135</v>
      </c>
      <c r="J22" s="791"/>
      <c r="K22" s="2763"/>
      <c r="L22" s="2299"/>
      <c r="M22" s="2294"/>
      <c r="N22" s="2294"/>
      <c r="O22" s="2294"/>
      <c r="P22" s="3594"/>
      <c r="Q22" s="2743"/>
      <c r="R22" s="1352"/>
      <c r="S22" s="1353"/>
      <c r="T22" s="1352"/>
      <c r="U22" s="1353"/>
      <c r="V22" s="1352"/>
      <c r="W22" s="1353"/>
      <c r="X22" s="2745"/>
      <c r="Y22" s="3596"/>
      <c r="Z22" s="2744"/>
      <c r="AA22" s="1355">
        <v>1</v>
      </c>
      <c r="AB22" s="1355">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594"/>
      <c r="Q23" s="2217" t="str">
        <f>B23</f>
        <v>环境质量</v>
      </c>
      <c r="R23" s="1352" t="s">
        <v>65</v>
      </c>
      <c r="S23" s="1353">
        <f>F23</f>
        <v>100</v>
      </c>
      <c r="T23" s="1352" t="s">
        <v>65</v>
      </c>
      <c r="U23" s="1353">
        <f>H23</f>
        <v>100</v>
      </c>
      <c r="V23" s="1352" t="s">
        <v>65</v>
      </c>
      <c r="W23" s="1353">
        <f>J23</f>
        <v>100</v>
      </c>
      <c r="X23" s="2219"/>
      <c r="Y23" s="3596"/>
      <c r="Z23" s="2218" t="str">
        <f>Q23</f>
        <v>环境质量</v>
      </c>
      <c r="AA23" s="1355">
        <f t="shared" si="3"/>
        <v>1</v>
      </c>
      <c r="AB23" s="1355">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594"/>
      <c r="Q24" s="2217"/>
      <c r="R24" s="1352"/>
      <c r="S24" s="1353"/>
      <c r="T24" s="1352"/>
      <c r="U24" s="1353"/>
      <c r="V24" s="1352"/>
      <c r="W24" s="1353"/>
      <c r="X24" s="2219"/>
      <c r="Y24" s="3596"/>
      <c r="Z24" s="2218"/>
      <c r="AA24" s="1355">
        <v>1</v>
      </c>
      <c r="AB24" s="1355">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594"/>
      <c r="Q25" s="2217" t="str">
        <f>B25</f>
        <v>毗邻道路的类型与等级</v>
      </c>
      <c r="R25" s="1352" t="s">
        <v>65</v>
      </c>
      <c r="S25" s="1353">
        <f>F25</f>
        <v>100</v>
      </c>
      <c r="T25" s="1352" t="s">
        <v>65</v>
      </c>
      <c r="U25" s="1353">
        <f>H25</f>
        <v>99</v>
      </c>
      <c r="V25" s="1352" t="s">
        <v>65</v>
      </c>
      <c r="W25" s="1353">
        <f>J25</f>
        <v>99</v>
      </c>
      <c r="X25" s="2219"/>
      <c r="Y25" s="3596"/>
      <c r="Z25" s="2218" t="str">
        <f>Q25</f>
        <v>毗邻道路的类型与等级</v>
      </c>
      <c r="AA25" s="1355">
        <f t="shared" si="3"/>
        <v>1</v>
      </c>
      <c r="AB25" s="1355">
        <f t="shared" si="4"/>
        <v>1.0101010101010102</v>
      </c>
      <c r="AC25" s="2335">
        <f t="shared" si="5"/>
        <v>1.0101010101010102</v>
      </c>
    </row>
    <row r="26" spans="1:29" ht="14.25">
      <c r="A26" s="146"/>
      <c r="B26" s="1035"/>
      <c r="C26" s="195" t="s">
        <v>3136</v>
      </c>
      <c r="D26" s="778"/>
      <c r="E26" s="182" t="s">
        <v>3136</v>
      </c>
      <c r="F26" s="778"/>
      <c r="G26" s="195" t="s">
        <v>3143</v>
      </c>
      <c r="H26" s="778"/>
      <c r="I26" s="182" t="s">
        <v>3143</v>
      </c>
      <c r="J26" s="778"/>
      <c r="K26" s="189"/>
      <c r="L26" s="2299"/>
      <c r="M26" s="2294"/>
      <c r="N26" s="2294"/>
      <c r="O26" s="2294"/>
      <c r="P26" s="3594"/>
      <c r="Q26" s="2217"/>
      <c r="R26" s="1352"/>
      <c r="S26" s="1353"/>
      <c r="T26" s="1352"/>
      <c r="U26" s="1353"/>
      <c r="V26" s="1352"/>
      <c r="W26" s="1353"/>
      <c r="X26" s="2219"/>
      <c r="Y26" s="3596"/>
      <c r="Z26" s="2218"/>
      <c r="AA26" s="1355">
        <v>1</v>
      </c>
      <c r="AB26" s="1355">
        <v>1</v>
      </c>
      <c r="AC26" s="2335">
        <v>1</v>
      </c>
    </row>
    <row r="27" spans="1:29" ht="15">
      <c r="A27" s="151"/>
      <c r="B27" s="1035" t="s">
        <v>1085</v>
      </c>
      <c r="C27" s="195" t="s">
        <v>3145</v>
      </c>
      <c r="D27" s="778">
        <v>100</v>
      </c>
      <c r="E27" s="182" t="s">
        <v>3137</v>
      </c>
      <c r="F27" s="778">
        <f>SUMIF(89:89,E27,90:90)-SUMIF(89:89,C27,90:90)+100</f>
        <v>104</v>
      </c>
      <c r="G27" s="195" t="s">
        <v>3144</v>
      </c>
      <c r="H27" s="778">
        <f>SUMIF(89:89,G27,90:90)-SUMIF(89:89,C27,90:90)+100</f>
        <v>102</v>
      </c>
      <c r="I27" s="182" t="s">
        <v>3137</v>
      </c>
      <c r="J27" s="778">
        <f>SUMIF(89:89,I27,90:90)-SUMIF(89:89,C27,90:90)+100</f>
        <v>104</v>
      </c>
      <c r="K27" s="955">
        <v>2</v>
      </c>
      <c r="L27" s="2299"/>
      <c r="M27" s="2294"/>
      <c r="N27" s="2294"/>
      <c r="O27" s="2294"/>
      <c r="P27" s="3594"/>
      <c r="Q27" s="2217" t="str">
        <f t="shared" ref="Q27:Q47" si="11">B27</f>
        <v>楼层</v>
      </c>
      <c r="R27" s="1352" t="s">
        <v>65</v>
      </c>
      <c r="S27" s="1353">
        <f>F27</f>
        <v>104</v>
      </c>
      <c r="T27" s="1352" t="s">
        <v>65</v>
      </c>
      <c r="U27" s="1353">
        <f>H27</f>
        <v>102</v>
      </c>
      <c r="V27" s="1352" t="s">
        <v>65</v>
      </c>
      <c r="W27" s="1353">
        <f>J27</f>
        <v>104</v>
      </c>
      <c r="X27" s="2219"/>
      <c r="Y27" s="3596"/>
      <c r="Z27" s="2218" t="str">
        <f>Q27</f>
        <v>楼层</v>
      </c>
      <c r="AA27" s="1355">
        <f t="shared" si="3"/>
        <v>0.96153846153846156</v>
      </c>
      <c r="AB27" s="1355">
        <f t="shared" si="4"/>
        <v>0.98039215686274506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594"/>
      <c r="Q28" s="2210" t="str">
        <f t="shared" si="11"/>
        <v>朝向</v>
      </c>
      <c r="R28" s="1342" t="s">
        <v>65</v>
      </c>
      <c r="S28" s="1343">
        <f>F28</f>
        <v>100</v>
      </c>
      <c r="T28" s="1342" t="s">
        <v>65</v>
      </c>
      <c r="U28" s="1343">
        <f>H28</f>
        <v>100</v>
      </c>
      <c r="V28" s="1342" t="s">
        <v>65</v>
      </c>
      <c r="W28" s="1343">
        <f>J28</f>
        <v>100</v>
      </c>
      <c r="X28" s="287"/>
      <c r="Y28" s="3596"/>
      <c r="Z28" s="2209" t="str">
        <f>Q28</f>
        <v>朝向</v>
      </c>
      <c r="AA28" s="1355">
        <f>D28/F28</f>
        <v>1</v>
      </c>
      <c r="AB28" s="1355">
        <f>D28/H28</f>
        <v>1</v>
      </c>
      <c r="AC28" s="2335">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594"/>
      <c r="Q29" s="2217">
        <f t="shared" si="11"/>
        <v>111</v>
      </c>
      <c r="R29" s="1352" t="s">
        <v>65</v>
      </c>
      <c r="S29" s="1353">
        <f t="shared" ref="S29:S47" si="12">F29</f>
        <v>100</v>
      </c>
      <c r="T29" s="1352" t="s">
        <v>65</v>
      </c>
      <c r="U29" s="1353">
        <f t="shared" ref="U29:U47" si="13">H29</f>
        <v>100</v>
      </c>
      <c r="V29" s="1352" t="s">
        <v>65</v>
      </c>
      <c r="W29" s="1353">
        <f t="shared" ref="W29:W47" si="14">J29</f>
        <v>100</v>
      </c>
      <c r="X29" s="2219"/>
      <c r="Y29" s="3596"/>
      <c r="Z29" s="2218">
        <f t="shared" ref="Z29:Z47" si="15">Q29</f>
        <v>111</v>
      </c>
      <c r="AA29" s="1355">
        <f t="shared" si="3"/>
        <v>1</v>
      </c>
      <c r="AB29" s="1355">
        <f t="shared" si="4"/>
        <v>1</v>
      </c>
      <c r="AC29" s="2335">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594"/>
      <c r="Q30" s="2217">
        <f t="shared" si="11"/>
        <v>111</v>
      </c>
      <c r="R30" s="1352" t="s">
        <v>65</v>
      </c>
      <c r="S30" s="1353">
        <f t="shared" si="12"/>
        <v>100</v>
      </c>
      <c r="T30" s="1352" t="s">
        <v>65</v>
      </c>
      <c r="U30" s="1353">
        <f t="shared" si="13"/>
        <v>100</v>
      </c>
      <c r="V30" s="1352" t="s">
        <v>65</v>
      </c>
      <c r="W30" s="1353">
        <f t="shared" si="14"/>
        <v>100</v>
      </c>
      <c r="X30" s="2219"/>
      <c r="Y30" s="3596"/>
      <c r="Z30" s="2218">
        <f t="shared" si="15"/>
        <v>111</v>
      </c>
      <c r="AA30" s="1355">
        <f t="shared" si="3"/>
        <v>1</v>
      </c>
      <c r="AB30" s="1355">
        <f t="shared" si="4"/>
        <v>1</v>
      </c>
      <c r="AC30" s="2335">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594"/>
      <c r="Q31" s="2217">
        <f t="shared" si="11"/>
        <v>111</v>
      </c>
      <c r="R31" s="1352" t="s">
        <v>65</v>
      </c>
      <c r="S31" s="1353">
        <f t="shared" si="12"/>
        <v>100</v>
      </c>
      <c r="T31" s="1352" t="s">
        <v>65</v>
      </c>
      <c r="U31" s="1353">
        <f t="shared" si="13"/>
        <v>100</v>
      </c>
      <c r="V31" s="1352" t="s">
        <v>65</v>
      </c>
      <c r="W31" s="1353">
        <f t="shared" si="14"/>
        <v>100</v>
      </c>
      <c r="X31" s="2219"/>
      <c r="Y31" s="3596"/>
      <c r="Z31" s="2218">
        <f t="shared" si="15"/>
        <v>111</v>
      </c>
      <c r="AA31" s="1355">
        <f t="shared" si="3"/>
        <v>1</v>
      </c>
      <c r="AB31" s="1355">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594"/>
      <c r="Q32" s="2217">
        <f t="shared" si="11"/>
        <v>111</v>
      </c>
      <c r="R32" s="1352" t="s">
        <v>65</v>
      </c>
      <c r="S32" s="1353">
        <f t="shared" si="12"/>
        <v>100</v>
      </c>
      <c r="T32" s="1352" t="s">
        <v>65</v>
      </c>
      <c r="U32" s="1353">
        <f t="shared" si="13"/>
        <v>100</v>
      </c>
      <c r="V32" s="1352" t="s">
        <v>65</v>
      </c>
      <c r="W32" s="1353">
        <f t="shared" si="14"/>
        <v>100</v>
      </c>
      <c r="X32" s="2219"/>
      <c r="Y32" s="3596"/>
      <c r="Z32" s="2218">
        <f t="shared" si="15"/>
        <v>111</v>
      </c>
      <c r="AA32" s="1355">
        <f t="shared" si="3"/>
        <v>1</v>
      </c>
      <c r="AB32" s="1355">
        <f t="shared" si="4"/>
        <v>1</v>
      </c>
      <c r="AC32" s="2335">
        <f t="shared" si="5"/>
        <v>1</v>
      </c>
    </row>
    <row r="33" spans="1:29" ht="15">
      <c r="A33" s="155" t="s">
        <v>1086</v>
      </c>
      <c r="B33" s="62" t="s">
        <v>1087</v>
      </c>
      <c r="C33" s="197" t="s">
        <v>3138</v>
      </c>
      <c r="D33" s="810">
        <v>100</v>
      </c>
      <c r="E33" s="197" t="s">
        <v>3138</v>
      </c>
      <c r="F33" s="804">
        <f>SUMIF(101:101,E33,102:102)-SUMIF(101:101,C33,102:102)+100</f>
        <v>100</v>
      </c>
      <c r="G33" s="197" t="s">
        <v>3138</v>
      </c>
      <c r="H33" s="778">
        <f>SUMIF(101:101,G33,102:102)-SUMIF(101:101,C33,102:102)+100</f>
        <v>100</v>
      </c>
      <c r="I33" s="197" t="s">
        <v>3138</v>
      </c>
      <c r="J33" s="810">
        <f>SUMIF(101:101,I33,102:102)-SUMIF(101:101,C33,102:102)+100</f>
        <v>100</v>
      </c>
      <c r="K33" s="955">
        <v>5</v>
      </c>
      <c r="L33" s="2299"/>
      <c r="M33" s="2294"/>
      <c r="N33" s="2294"/>
      <c r="O33" s="2294"/>
      <c r="P33" s="3597" t="s">
        <v>1088</v>
      </c>
      <c r="Q33" s="2217" t="str">
        <f t="shared" si="11"/>
        <v>建筑类型</v>
      </c>
      <c r="R33" s="1352" t="s">
        <v>65</v>
      </c>
      <c r="S33" s="1353">
        <f t="shared" si="12"/>
        <v>100</v>
      </c>
      <c r="T33" s="1352" t="s">
        <v>65</v>
      </c>
      <c r="U33" s="1353">
        <f t="shared" si="13"/>
        <v>100</v>
      </c>
      <c r="V33" s="1352" t="s">
        <v>65</v>
      </c>
      <c r="W33" s="1353">
        <f t="shared" si="14"/>
        <v>100</v>
      </c>
      <c r="X33" s="2219"/>
      <c r="Y33" s="3600" t="s">
        <v>1088</v>
      </c>
      <c r="Z33" s="2218" t="str">
        <f t="shared" si="15"/>
        <v>建筑类型</v>
      </c>
      <c r="AA33" s="1355">
        <f t="shared" si="3"/>
        <v>1</v>
      </c>
      <c r="AB33" s="1355">
        <f t="shared" si="4"/>
        <v>1</v>
      </c>
      <c r="AC33" s="2335">
        <f t="shared" si="5"/>
        <v>1</v>
      </c>
    </row>
    <row r="34" spans="1:29" s="1039" customFormat="1" ht="14.25">
      <c r="A34" s="1043"/>
      <c r="B34" s="12"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598"/>
      <c r="Q34" s="1359" t="str">
        <f t="shared" si="11"/>
        <v>项目建筑规模</v>
      </c>
      <c r="R34" s="1360" t="s">
        <v>65</v>
      </c>
      <c r="S34" s="1361">
        <f t="shared" si="12"/>
        <v>100</v>
      </c>
      <c r="T34" s="1360" t="s">
        <v>65</v>
      </c>
      <c r="U34" s="1361">
        <f t="shared" si="13"/>
        <v>100</v>
      </c>
      <c r="V34" s="1360" t="s">
        <v>65</v>
      </c>
      <c r="W34" s="1361">
        <f t="shared" si="14"/>
        <v>100</v>
      </c>
      <c r="X34" s="1362"/>
      <c r="Y34" s="3600"/>
      <c r="Z34" s="1363" t="str">
        <f t="shared" si="15"/>
        <v>项目建筑规模</v>
      </c>
      <c r="AA34" s="1355">
        <f t="shared" si="3"/>
        <v>1</v>
      </c>
      <c r="AB34" s="1355">
        <f t="shared" si="4"/>
        <v>1</v>
      </c>
      <c r="AC34" s="2335">
        <f t="shared" si="5"/>
        <v>1</v>
      </c>
    </row>
    <row r="35" spans="1:29" ht="15">
      <c r="A35" s="161"/>
      <c r="B35" s="12"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598"/>
      <c r="Q35" s="2217" t="str">
        <f t="shared" si="11"/>
        <v>建筑结构</v>
      </c>
      <c r="R35" s="1352" t="s">
        <v>65</v>
      </c>
      <c r="S35" s="1353">
        <f t="shared" si="12"/>
        <v>100</v>
      </c>
      <c r="T35" s="1352" t="s">
        <v>65</v>
      </c>
      <c r="U35" s="1353">
        <f t="shared" si="13"/>
        <v>100</v>
      </c>
      <c r="V35" s="1352" t="s">
        <v>65</v>
      </c>
      <c r="W35" s="1353">
        <f t="shared" si="14"/>
        <v>100</v>
      </c>
      <c r="X35" s="2219"/>
      <c r="Y35" s="3600"/>
      <c r="Z35" s="2218" t="str">
        <f t="shared" si="15"/>
        <v>建筑结构</v>
      </c>
      <c r="AA35" s="1355">
        <f t="shared" si="3"/>
        <v>1</v>
      </c>
      <c r="AB35" s="1355">
        <f t="shared" si="4"/>
        <v>1</v>
      </c>
      <c r="AC35" s="2335">
        <f t="shared" si="5"/>
        <v>1</v>
      </c>
    </row>
    <row r="36" spans="1:29" ht="15">
      <c r="A36" s="161"/>
      <c r="B36" s="12" t="s">
        <v>133</v>
      </c>
      <c r="C36" s="107" t="s">
        <v>3139</v>
      </c>
      <c r="D36" s="778">
        <v>100</v>
      </c>
      <c r="E36" s="107" t="s">
        <v>3139</v>
      </c>
      <c r="F36" s="804">
        <f>SUMIF(108:108,E36,109:109)-SUMIF(108:108,C36,109:109)+100</f>
        <v>100</v>
      </c>
      <c r="G36" s="107" t="s">
        <v>3139</v>
      </c>
      <c r="H36" s="778">
        <f>SUMIF(108:108,G36,109:109)-SUMIF(108:108,C36,109:109)+100</f>
        <v>100</v>
      </c>
      <c r="I36" s="107" t="s">
        <v>3139</v>
      </c>
      <c r="J36" s="778">
        <f>SUMIF(108:108,I36,109:109)-SUMIF(108:108,C36,109:109)+100</f>
        <v>100</v>
      </c>
      <c r="K36" s="955">
        <v>1</v>
      </c>
      <c r="L36" s="2299"/>
      <c r="M36" s="2294"/>
      <c r="N36" s="2294"/>
      <c r="O36" s="2294"/>
      <c r="P36" s="3598"/>
      <c r="Q36" s="2217" t="str">
        <f t="shared" si="11"/>
        <v>公共部分装修</v>
      </c>
      <c r="R36" s="1352" t="s">
        <v>65</v>
      </c>
      <c r="S36" s="1353">
        <f t="shared" si="12"/>
        <v>100</v>
      </c>
      <c r="T36" s="1352" t="s">
        <v>65</v>
      </c>
      <c r="U36" s="1353">
        <f t="shared" si="13"/>
        <v>100</v>
      </c>
      <c r="V36" s="1352" t="s">
        <v>65</v>
      </c>
      <c r="W36" s="1353">
        <f t="shared" si="14"/>
        <v>100</v>
      </c>
      <c r="X36" s="2219"/>
      <c r="Y36" s="3600"/>
      <c r="Z36" s="2218" t="str">
        <f t="shared" si="15"/>
        <v>公共部分装修</v>
      </c>
      <c r="AA36" s="1355">
        <f t="shared" si="3"/>
        <v>1</v>
      </c>
      <c r="AB36" s="1355">
        <f t="shared" si="4"/>
        <v>1</v>
      </c>
      <c r="AC36" s="2335">
        <f t="shared" si="5"/>
        <v>1</v>
      </c>
    </row>
    <row r="37" spans="1:29" ht="15">
      <c r="A37" s="161"/>
      <c r="B37" s="12"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598"/>
      <c r="Q37" s="2217" t="str">
        <f t="shared" si="11"/>
        <v>成新度</v>
      </c>
      <c r="R37" s="1352" t="s">
        <v>65</v>
      </c>
      <c r="S37" s="1353">
        <f t="shared" si="12"/>
        <v>100</v>
      </c>
      <c r="T37" s="1352" t="s">
        <v>65</v>
      </c>
      <c r="U37" s="1353">
        <f t="shared" si="13"/>
        <v>100</v>
      </c>
      <c r="V37" s="1352" t="s">
        <v>65</v>
      </c>
      <c r="W37" s="1353">
        <f t="shared" si="14"/>
        <v>102</v>
      </c>
      <c r="X37" s="2219"/>
      <c r="Y37" s="3600"/>
      <c r="Z37" s="2218" t="str">
        <f t="shared" si="15"/>
        <v>成新度</v>
      </c>
      <c r="AA37" s="1355">
        <f t="shared" si="3"/>
        <v>1</v>
      </c>
      <c r="AB37" s="1355">
        <f t="shared" si="4"/>
        <v>1</v>
      </c>
      <c r="AC37" s="2335">
        <f t="shared" si="5"/>
        <v>0.98039215686274506</v>
      </c>
    </row>
    <row r="38" spans="1:29" s="40" customFormat="1" ht="15">
      <c r="A38" s="1041"/>
      <c r="B38" s="12" t="s">
        <v>147</v>
      </c>
      <c r="C38" s="107" t="s">
        <v>3140</v>
      </c>
      <c r="D38" s="426">
        <v>100</v>
      </c>
      <c r="E38" s="107" t="s">
        <v>3140</v>
      </c>
      <c r="F38" s="804">
        <f>SUMIF(113:113,E38,114:114)-SUMIF(113:113,C38,114:114)+100</f>
        <v>100</v>
      </c>
      <c r="G38" s="107" t="s">
        <v>3140</v>
      </c>
      <c r="H38" s="778">
        <f>SUMIF(113:113,G38,114:114)-SUMIF(113:113,C38,114:114)+100</f>
        <v>100</v>
      </c>
      <c r="I38" s="107" t="s">
        <v>3140</v>
      </c>
      <c r="J38" s="778">
        <f>SUMIF(113:113,I38,114:114)-SUMIF(113:113,C38,114:114)+100</f>
        <v>100</v>
      </c>
      <c r="K38" s="955">
        <v>1</v>
      </c>
      <c r="L38" s="2295"/>
      <c r="M38" s="2257"/>
      <c r="N38" s="2257"/>
      <c r="O38" s="2257"/>
      <c r="P38" s="3598"/>
      <c r="Q38" s="2210" t="str">
        <f t="shared" si="11"/>
        <v>写字楼等级</v>
      </c>
      <c r="R38" s="1342" t="s">
        <v>65</v>
      </c>
      <c r="S38" s="1343">
        <f t="shared" si="12"/>
        <v>100</v>
      </c>
      <c r="T38" s="1342" t="s">
        <v>65</v>
      </c>
      <c r="U38" s="1343">
        <f t="shared" si="13"/>
        <v>100</v>
      </c>
      <c r="V38" s="1342" t="s">
        <v>65</v>
      </c>
      <c r="W38" s="1343">
        <f t="shared" si="14"/>
        <v>100</v>
      </c>
      <c r="X38" s="287"/>
      <c r="Y38" s="3600"/>
      <c r="Z38" s="2209" t="str">
        <f t="shared" si="15"/>
        <v>写字楼等级</v>
      </c>
      <c r="AA38" s="1344">
        <f t="shared" si="3"/>
        <v>1</v>
      </c>
      <c r="AB38" s="1344">
        <f t="shared" si="4"/>
        <v>1</v>
      </c>
      <c r="AC38" s="2334">
        <f t="shared" si="5"/>
        <v>1</v>
      </c>
    </row>
    <row r="39" spans="1:29" ht="15">
      <c r="A39" s="161"/>
      <c r="B39" s="12"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598" t="s">
        <v>70</v>
      </c>
      <c r="Q39" s="2217" t="str">
        <f t="shared" si="11"/>
        <v>物业管理</v>
      </c>
      <c r="R39" s="1352" t="s">
        <v>65</v>
      </c>
      <c r="S39" s="1353">
        <f t="shared" si="12"/>
        <v>100</v>
      </c>
      <c r="T39" s="1352" t="s">
        <v>65</v>
      </c>
      <c r="U39" s="1353">
        <f t="shared" si="13"/>
        <v>100</v>
      </c>
      <c r="V39" s="1352" t="s">
        <v>65</v>
      </c>
      <c r="W39" s="1353">
        <f t="shared" si="14"/>
        <v>100</v>
      </c>
      <c r="X39" s="2219"/>
      <c r="Y39" s="3600" t="s">
        <v>70</v>
      </c>
      <c r="Z39" s="2218" t="str">
        <f t="shared" si="15"/>
        <v>物业管理</v>
      </c>
      <c r="AA39" s="1355">
        <f t="shared" si="3"/>
        <v>1</v>
      </c>
      <c r="AB39" s="1355">
        <f t="shared" si="4"/>
        <v>1</v>
      </c>
      <c r="AC39" s="2335">
        <f t="shared" si="5"/>
        <v>1</v>
      </c>
    </row>
    <row r="40" spans="1:29" ht="15">
      <c r="A40" s="161"/>
      <c r="B40" s="12" t="s">
        <v>2653</v>
      </c>
      <c r="C40" s="107" t="s">
        <v>3141</v>
      </c>
      <c r="D40" s="778">
        <v>100</v>
      </c>
      <c r="E40" s="107" t="s">
        <v>3141</v>
      </c>
      <c r="F40" s="804">
        <f>SUMIF(117:117,E40,118:118)-SUMIF(117:117,C40,118:118)+100</f>
        <v>100</v>
      </c>
      <c r="G40" s="107" t="s">
        <v>3141</v>
      </c>
      <c r="H40" s="778">
        <f>SUMIF(117:117,G40,118:118)-SUMIF(117:117,C40,118:118)+100</f>
        <v>100</v>
      </c>
      <c r="I40" s="107" t="s">
        <v>3141</v>
      </c>
      <c r="J40" s="778">
        <f>SUMIF(117:117,I40,118:118)-SUMIF(117:117,C40,118:118)+100</f>
        <v>100</v>
      </c>
      <c r="K40" s="955">
        <v>1</v>
      </c>
      <c r="L40" s="2299"/>
      <c r="M40" s="2294"/>
      <c r="N40" s="2294"/>
      <c r="O40" s="2294"/>
      <c r="P40" s="3598"/>
      <c r="Q40" s="2217" t="str">
        <f t="shared" si="11"/>
        <v>市政基础设施</v>
      </c>
      <c r="R40" s="1352" t="s">
        <v>65</v>
      </c>
      <c r="S40" s="1353">
        <f t="shared" si="12"/>
        <v>100</v>
      </c>
      <c r="T40" s="1352" t="s">
        <v>65</v>
      </c>
      <c r="U40" s="1353">
        <f t="shared" si="13"/>
        <v>100</v>
      </c>
      <c r="V40" s="1352" t="s">
        <v>65</v>
      </c>
      <c r="W40" s="1353">
        <f t="shared" si="14"/>
        <v>100</v>
      </c>
      <c r="X40" s="2219"/>
      <c r="Y40" s="3600"/>
      <c r="Z40" s="2218" t="str">
        <f t="shared" si="15"/>
        <v>市政基础设施</v>
      </c>
      <c r="AA40" s="1355">
        <f t="shared" si="3"/>
        <v>1</v>
      </c>
      <c r="AB40" s="1355">
        <f t="shared" si="4"/>
        <v>1</v>
      </c>
      <c r="AC40" s="2335">
        <f t="shared" si="5"/>
        <v>1</v>
      </c>
    </row>
    <row r="41" spans="1:29" ht="15">
      <c r="A41" s="161"/>
      <c r="B41" s="12" t="s">
        <v>136</v>
      </c>
      <c r="C41" s="182" t="s">
        <v>3142</v>
      </c>
      <c r="D41" s="778">
        <v>100</v>
      </c>
      <c r="E41" s="182" t="s">
        <v>3142</v>
      </c>
      <c r="F41" s="804">
        <f>SUMIF(119:119,E41,120:120)-SUMIF(119:119,C41,120:120)+100</f>
        <v>100</v>
      </c>
      <c r="G41" s="182" t="s">
        <v>3142</v>
      </c>
      <c r="H41" s="778">
        <f>SUMIF(119:119,G41,120:120)-SUMIF(119:119,C41,120:120)+100</f>
        <v>100</v>
      </c>
      <c r="I41" s="182" t="s">
        <v>3142</v>
      </c>
      <c r="J41" s="778">
        <f>SUMIF(119:119,I41,120:120)-SUMIF(119:119,C41,120:120)+100</f>
        <v>100</v>
      </c>
      <c r="K41" s="955">
        <v>1</v>
      </c>
      <c r="L41" s="2299"/>
      <c r="M41" s="2294"/>
      <c r="N41" s="2294"/>
      <c r="O41" s="2294"/>
      <c r="P41" s="3598"/>
      <c r="Q41" s="2217" t="str">
        <f t="shared" si="11"/>
        <v>层高</v>
      </c>
      <c r="R41" s="1352" t="s">
        <v>65</v>
      </c>
      <c r="S41" s="1353">
        <f t="shared" si="12"/>
        <v>100</v>
      </c>
      <c r="T41" s="1352" t="s">
        <v>65</v>
      </c>
      <c r="U41" s="1353">
        <f t="shared" si="13"/>
        <v>100</v>
      </c>
      <c r="V41" s="1352" t="s">
        <v>65</v>
      </c>
      <c r="W41" s="1353">
        <f t="shared" si="14"/>
        <v>100</v>
      </c>
      <c r="X41" s="2219"/>
      <c r="Y41" s="3600"/>
      <c r="Z41" s="2218" t="str">
        <f t="shared" si="15"/>
        <v>层高</v>
      </c>
      <c r="AA41" s="1355">
        <f t="shared" si="3"/>
        <v>1</v>
      </c>
      <c r="AB41" s="1355">
        <f t="shared" si="4"/>
        <v>1</v>
      </c>
      <c r="AC41" s="2335">
        <f t="shared" si="5"/>
        <v>1</v>
      </c>
    </row>
    <row r="42" spans="1:29" s="1039" customFormat="1" ht="14.25">
      <c r="A42" s="1043"/>
      <c r="B42" s="191" t="s">
        <v>1089</v>
      </c>
      <c r="C42" s="777">
        <f>'[1]数据-取费表'!E5</f>
        <v>2099.0100000000002</v>
      </c>
      <c r="D42" s="778">
        <v>100</v>
      </c>
      <c r="E42" s="777">
        <v>84</v>
      </c>
      <c r="F42" s="804">
        <f>SUMIF(121:121,E42,122:122)-SUMIF(121:121,C42,122:122)+100</f>
        <v>102</v>
      </c>
      <c r="G42" s="777">
        <v>126</v>
      </c>
      <c r="H42" s="778">
        <f>SUMIF(121:121,G42,122:122)-SUMIF(121:121,C42,122:122)+100</f>
        <v>103</v>
      </c>
      <c r="I42" s="777">
        <v>153</v>
      </c>
      <c r="J42" s="778">
        <f>SUMIF(121:121,I42,122:122)-SUMIF(121:121,C42,122:122)+100</f>
        <v>103</v>
      </c>
      <c r="K42" s="188"/>
      <c r="L42" s="2298"/>
      <c r="M42" s="2300"/>
      <c r="N42" s="2300"/>
      <c r="O42" s="2300"/>
      <c r="P42" s="3598"/>
      <c r="Q42" s="1359" t="str">
        <f t="shared" si="11"/>
        <v>单套建筑面积</v>
      </c>
      <c r="R42" s="1360" t="s">
        <v>65</v>
      </c>
      <c r="S42" s="1361">
        <f t="shared" si="12"/>
        <v>102</v>
      </c>
      <c r="T42" s="1360" t="s">
        <v>65</v>
      </c>
      <c r="U42" s="1361">
        <f t="shared" si="13"/>
        <v>103</v>
      </c>
      <c r="V42" s="1360" t="s">
        <v>65</v>
      </c>
      <c r="W42" s="1361">
        <f t="shared" si="14"/>
        <v>103</v>
      </c>
      <c r="X42" s="1362"/>
      <c r="Y42" s="3600"/>
      <c r="Z42" s="1363" t="str">
        <f t="shared" si="15"/>
        <v>单套建筑面积</v>
      </c>
      <c r="AA42" s="1355">
        <f t="shared" si="3"/>
        <v>0.98039215686274506</v>
      </c>
      <c r="AB42" s="1355">
        <f t="shared" si="4"/>
        <v>0.970873786407767</v>
      </c>
      <c r="AC42" s="2335">
        <f t="shared" si="5"/>
        <v>0.970873786407767</v>
      </c>
    </row>
    <row r="43" spans="1:29" ht="15">
      <c r="A43" s="161"/>
      <c r="B43" s="12" t="s">
        <v>1090</v>
      </c>
      <c r="C43" s="107" t="s">
        <v>3139</v>
      </c>
      <c r="D43" s="778">
        <v>100</v>
      </c>
      <c r="E43" s="107" t="s">
        <v>3139</v>
      </c>
      <c r="F43" s="804">
        <f>SUMIF(123:123,E43,124:124)-SUMIF(123:123,C43,124:124)+100</f>
        <v>100</v>
      </c>
      <c r="G43" s="107" t="s">
        <v>3139</v>
      </c>
      <c r="H43" s="778">
        <f>SUMIF(123:123,G43,124:124)-SUMIF(123:123,C43,124:124)+100</f>
        <v>100</v>
      </c>
      <c r="I43" s="107" t="s">
        <v>3139</v>
      </c>
      <c r="J43" s="778">
        <f>SUMIF(123:123,I43,124:124)-SUMIF(123:123,C43,124:124)+100</f>
        <v>100</v>
      </c>
      <c r="K43" s="955">
        <v>2</v>
      </c>
      <c r="L43" s="2299"/>
      <c r="M43" s="2294"/>
      <c r="N43" s="2294"/>
      <c r="O43" s="2294"/>
      <c r="P43" s="3598"/>
      <c r="Q43" s="2217" t="str">
        <f t="shared" si="11"/>
        <v>内部装修</v>
      </c>
      <c r="R43" s="1352" t="s">
        <v>65</v>
      </c>
      <c r="S43" s="1353">
        <f t="shared" si="12"/>
        <v>100</v>
      </c>
      <c r="T43" s="1352" t="s">
        <v>65</v>
      </c>
      <c r="U43" s="1353">
        <f t="shared" si="13"/>
        <v>100</v>
      </c>
      <c r="V43" s="1352" t="s">
        <v>65</v>
      </c>
      <c r="W43" s="1353">
        <f t="shared" si="14"/>
        <v>100</v>
      </c>
      <c r="X43" s="2219"/>
      <c r="Y43" s="3600"/>
      <c r="Z43" s="2218" t="str">
        <f t="shared" si="15"/>
        <v>内部装修</v>
      </c>
      <c r="AA43" s="1355">
        <f t="shared" si="3"/>
        <v>1</v>
      </c>
      <c r="AB43" s="1355">
        <f t="shared" si="4"/>
        <v>1</v>
      </c>
      <c r="AC43" s="2335">
        <f t="shared" si="5"/>
        <v>1</v>
      </c>
    </row>
    <row r="44" spans="1:29" ht="15.75" thickBot="1">
      <c r="A44" s="161"/>
      <c r="B44" s="12"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598"/>
      <c r="Q44" s="2217" t="str">
        <f t="shared" si="11"/>
        <v>内部装修维护情况</v>
      </c>
      <c r="R44" s="1352" t="s">
        <v>65</v>
      </c>
      <c r="S44" s="1353">
        <f t="shared" si="12"/>
        <v>100</v>
      </c>
      <c r="T44" s="1352" t="s">
        <v>65</v>
      </c>
      <c r="U44" s="1353">
        <f t="shared" si="13"/>
        <v>100</v>
      </c>
      <c r="V44" s="1352" t="s">
        <v>65</v>
      </c>
      <c r="W44" s="1353">
        <f t="shared" si="14"/>
        <v>100</v>
      </c>
      <c r="X44" s="2219"/>
      <c r="Y44" s="3600"/>
      <c r="Z44" s="2218" t="str">
        <f t="shared" si="15"/>
        <v>内部装修维护情况</v>
      </c>
      <c r="AA44" s="1355">
        <f t="shared" si="3"/>
        <v>1</v>
      </c>
      <c r="AB44" s="1355">
        <f t="shared" si="4"/>
        <v>1</v>
      </c>
      <c r="AC44" s="2335">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598"/>
      <c r="Q45" s="2210">
        <f t="shared" si="11"/>
        <v>111</v>
      </c>
      <c r="R45" s="1342" t="s">
        <v>65</v>
      </c>
      <c r="S45" s="1343">
        <f t="shared" si="12"/>
        <v>100</v>
      </c>
      <c r="T45" s="1342" t="s">
        <v>65</v>
      </c>
      <c r="U45" s="1343">
        <f t="shared" si="13"/>
        <v>100</v>
      </c>
      <c r="V45" s="1342" t="s">
        <v>65</v>
      </c>
      <c r="W45" s="1343">
        <f t="shared" si="14"/>
        <v>100</v>
      </c>
      <c r="X45" s="287"/>
      <c r="Y45" s="3600"/>
      <c r="Z45" s="2209">
        <f t="shared" si="15"/>
        <v>111</v>
      </c>
      <c r="AA45" s="1344">
        <f t="shared" si="3"/>
        <v>1</v>
      </c>
      <c r="AB45" s="1344">
        <f t="shared" si="4"/>
        <v>1</v>
      </c>
      <c r="AC45" s="2334">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598"/>
      <c r="Q46" s="2217">
        <f t="shared" si="11"/>
        <v>111</v>
      </c>
      <c r="R46" s="1352" t="s">
        <v>65</v>
      </c>
      <c r="S46" s="1353">
        <f t="shared" si="12"/>
        <v>100</v>
      </c>
      <c r="T46" s="1352" t="s">
        <v>65</v>
      </c>
      <c r="U46" s="1353">
        <f t="shared" si="13"/>
        <v>100</v>
      </c>
      <c r="V46" s="1352" t="s">
        <v>65</v>
      </c>
      <c r="W46" s="1353">
        <f t="shared" si="14"/>
        <v>100</v>
      </c>
      <c r="X46" s="2219"/>
      <c r="Y46" s="3600"/>
      <c r="Z46" s="2218">
        <f t="shared" si="15"/>
        <v>111</v>
      </c>
      <c r="AA46" s="1355">
        <f t="shared" si="3"/>
        <v>1</v>
      </c>
      <c r="AB46" s="1355">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599"/>
      <c r="Q47" s="2217">
        <f t="shared" si="11"/>
        <v>111</v>
      </c>
      <c r="R47" s="1352" t="s">
        <v>65</v>
      </c>
      <c r="S47" s="1353">
        <f t="shared" si="12"/>
        <v>100</v>
      </c>
      <c r="T47" s="1352" t="s">
        <v>65</v>
      </c>
      <c r="U47" s="1353">
        <f t="shared" si="13"/>
        <v>100</v>
      </c>
      <c r="V47" s="1352" t="s">
        <v>65</v>
      </c>
      <c r="W47" s="1353">
        <f t="shared" si="14"/>
        <v>100</v>
      </c>
      <c r="X47" s="2219"/>
      <c r="Y47" s="3601"/>
      <c r="Z47" s="2218">
        <f t="shared" si="15"/>
        <v>111</v>
      </c>
      <c r="AA47" s="1355">
        <f t="shared" si="3"/>
        <v>1</v>
      </c>
      <c r="AB47" s="1355">
        <f t="shared" si="4"/>
        <v>1</v>
      </c>
      <c r="AC47" s="2335">
        <f t="shared" si="5"/>
        <v>1</v>
      </c>
    </row>
    <row r="48" spans="1:29" ht="15">
      <c r="A48" s="163" t="s">
        <v>1037</v>
      </c>
      <c r="B48" s="164"/>
      <c r="C48" s="2830" t="s">
        <v>23</v>
      </c>
      <c r="D48" s="2831"/>
      <c r="E48" s="3386">
        <f>ROUND(35000*0.98,0)</f>
        <v>34300</v>
      </c>
      <c r="F48" s="3387"/>
      <c r="G48" s="3386">
        <f>ROUND(35000*0.98,0)</f>
        <v>34300</v>
      </c>
      <c r="H48" s="3388"/>
      <c r="I48" s="3386">
        <f>ROUND(38000*0.98,0)</f>
        <v>37240</v>
      </c>
      <c r="J48" s="828"/>
      <c r="K48" s="1393"/>
      <c r="L48" s="2301"/>
      <c r="M48" s="2294"/>
      <c r="N48" s="2294"/>
      <c r="O48" s="2294"/>
      <c r="P48" s="3587" t="str">
        <f>A48</f>
        <v>成交单价（元/平方米）</v>
      </c>
      <c r="Q48" s="3588"/>
      <c r="R48" s="3589">
        <f>E48</f>
        <v>34300</v>
      </c>
      <c r="S48" s="3589"/>
      <c r="T48" s="3589">
        <f>G48</f>
        <v>34300</v>
      </c>
      <c r="U48" s="3589"/>
      <c r="V48" s="3589">
        <f>I48</f>
        <v>37240</v>
      </c>
      <c r="W48" s="3589"/>
      <c r="X48" s="156"/>
      <c r="Y48" s="1366"/>
      <c r="Z48" s="156"/>
      <c r="AA48" s="156"/>
      <c r="AB48" s="156"/>
      <c r="AC48" s="209"/>
    </row>
    <row r="49" spans="1:29" ht="15.75" thickBot="1">
      <c r="A49" s="165" t="s">
        <v>1038</v>
      </c>
      <c r="B49" s="166"/>
      <c r="C49" s="2836">
        <f>R50</f>
        <v>33133</v>
      </c>
      <c r="D49" s="2837"/>
      <c r="E49" s="2838">
        <f>R49</f>
        <v>32334</v>
      </c>
      <c r="F49" s="2838"/>
      <c r="G49" s="2836">
        <f>T49</f>
        <v>32978</v>
      </c>
      <c r="H49" s="2837"/>
      <c r="I49" s="2838">
        <f>V49</f>
        <v>34086</v>
      </c>
      <c r="J49" s="832"/>
      <c r="K49" s="1394"/>
      <c r="L49" s="2301"/>
      <c r="M49" s="2294"/>
      <c r="N49" s="2294"/>
      <c r="O49" s="2294"/>
      <c r="P49" s="3587" t="str">
        <f>A49</f>
        <v>比较价值（元/平方米）</v>
      </c>
      <c r="Q49" s="3588"/>
      <c r="R49" s="3589">
        <f>IF(F1="售价",ROUND(PRODUCT(R48,AA7:AA47),0),ROUND(PRODUCT(R48,AA7:AA47),1))</f>
        <v>32334</v>
      </c>
      <c r="S49" s="3589"/>
      <c r="T49" s="3589">
        <f>IF(F1="售价",ROUND(PRODUCT(T48,AB7:AB47),0),ROUND(PRODUCT(T48,AB7:AB47),1))</f>
        <v>32978</v>
      </c>
      <c r="U49" s="3589"/>
      <c r="V49" s="3589">
        <f>IF(F1="售价",ROUND(PRODUCT(V48,AC7:AC47),0),ROUND(PRODUCT(V48,AC7:AC47),1))</f>
        <v>34086</v>
      </c>
      <c r="W49" s="3589"/>
      <c r="X49" s="156"/>
      <c r="Y49" s="156"/>
      <c r="Z49" s="156"/>
      <c r="AA49" s="156"/>
      <c r="AB49" s="156"/>
      <c r="AC49" s="209"/>
    </row>
    <row r="50" spans="1:29" ht="15.75" thickBot="1">
      <c r="A50" s="115" t="s">
        <v>3016</v>
      </c>
      <c r="B50" s="116"/>
      <c r="C50" s="2840">
        <f>R50</f>
        <v>33133</v>
      </c>
      <c r="D50" s="2840"/>
      <c r="E50" s="2840"/>
      <c r="F50" s="2840"/>
      <c r="G50" s="2840"/>
      <c r="H50" s="2840"/>
      <c r="I50" s="2840"/>
      <c r="J50" s="837"/>
      <c r="K50" s="1395"/>
      <c r="L50" s="2301"/>
      <c r="M50" s="2294"/>
      <c r="N50" s="2294"/>
      <c r="O50" s="2294"/>
      <c r="P50" s="3590" t="str">
        <f>A50</f>
        <v>估价对象XX用房的比较价值（楼面单价，元/平方米）</v>
      </c>
      <c r="Q50" s="3591"/>
      <c r="R50" s="3592">
        <f>IF(F1="售价",ROUND(AVERAGE(R49:V49),0),ROUND(AVERAGE(R49:V49),1))</f>
        <v>33133</v>
      </c>
      <c r="S50" s="3592"/>
      <c r="T50" s="3592"/>
      <c r="U50" s="3592"/>
      <c r="V50" s="3592"/>
      <c r="W50" s="3592"/>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1007</v>
      </c>
      <c r="D53" s="841"/>
      <c r="E53" s="842">
        <f>IF(E48&lt;E49,E49/E48-1,E48/E49-1)</f>
        <v>6.0802870043916712E-2</v>
      </c>
      <c r="F53" s="843" t="str">
        <f>IF(OR(E53&gt;=0.3,E53&lt;=-0.3),"超过30%","")</f>
        <v/>
      </c>
      <c r="G53" s="842">
        <f>IF(G48&lt;G49,G49/G48-1,G48/G49-1)</f>
        <v>4.008733094790462E-2</v>
      </c>
      <c r="H53" s="843" t="str">
        <f>IF(OR(G53&gt;=0.3,G53&lt;=-0.3),"超过30%","")</f>
        <v/>
      </c>
      <c r="I53" s="842">
        <f>IF(I48&lt;I49,I49/I48-1,I48/I49-1)</f>
        <v>9.2530657748049139E-2</v>
      </c>
      <c r="J53" s="843" t="str">
        <f>IF(OR(I53&gt;=0.3,I53&lt;=-0.3),"超过30%","")</f>
        <v/>
      </c>
      <c r="K53" s="2303"/>
      <c r="L53" s="2304"/>
      <c r="M53" s="2302"/>
      <c r="N53" s="2302"/>
      <c r="O53" s="2302"/>
    </row>
    <row r="54" spans="1:29" ht="13.5" customHeight="1">
      <c r="A54" s="2302"/>
      <c r="B54" s="2302"/>
      <c r="C54" s="840" t="s">
        <v>1008</v>
      </c>
      <c r="D54" s="844"/>
      <c r="E54" s="842">
        <f>IF(E49&lt;G49,G49/E49-1,E49/G49-1)</f>
        <v>1.9917115111028671E-2</v>
      </c>
      <c r="F54" s="843" t="str">
        <f>IF(OR(E54&gt;=0.2,E54&lt;=-0.2),"超过20%","")</f>
        <v/>
      </c>
      <c r="G54" s="842">
        <f>IF(G49&lt;I49,I49/G49-1,G49/I49-1)</f>
        <v>3.3598156346655417E-2</v>
      </c>
      <c r="H54" s="843" t="str">
        <f>IF(OR(G54&gt;=0.2,G54&lt;=-0.2),"超过20%","")</f>
        <v/>
      </c>
      <c r="I54" s="842">
        <f>IF(I49&lt;E49,E49/I49-1,I49/E49-1)</f>
        <v>5.4184449805158685E-2</v>
      </c>
      <c r="J54" s="843" t="str">
        <f>IF(OR(I54&gt;=0.2,I54&lt;=-0.2),"超过20%","")</f>
        <v/>
      </c>
      <c r="K54" s="2303"/>
      <c r="L54" s="2304"/>
      <c r="M54" s="2302"/>
      <c r="N54" s="2302"/>
      <c r="O54" s="2302"/>
    </row>
    <row r="55" spans="1:29" s="119" customFormat="1" ht="13.5" customHeight="1">
      <c r="A55" s="2307"/>
      <c r="B55" s="2307"/>
      <c r="C55" s="840" t="s">
        <v>1009</v>
      </c>
      <c r="D55" s="844"/>
      <c r="E55" s="842">
        <f>IF(E48&lt;G48,G48/E48-1,E48/G48-1)</f>
        <v>0</v>
      </c>
      <c r="F55" s="843" t="str">
        <f>IF(OR(E55&gt;=0.3,E55&lt;=-0.3),"超过30%","")</f>
        <v/>
      </c>
      <c r="G55" s="842">
        <f>IF(G48&lt;I48,I48/G48-1,G48/I48-1)</f>
        <v>8.5714285714285632E-2</v>
      </c>
      <c r="H55" s="843" t="str">
        <f>IF(OR(G55&gt;=0.3,G55&lt;=-0.3),"超过30%","")</f>
        <v/>
      </c>
      <c r="I55" s="842">
        <f>IF(I48&lt;E48,E48/I48-1,I48/E48-1)</f>
        <v>8.5714285714285632E-2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1039</v>
      </c>
      <c r="B58" s="1365"/>
      <c r="C58" s="1373"/>
      <c r="D58" s="1373"/>
      <c r="E58" s="1373"/>
      <c r="F58" s="1374"/>
      <c r="G58" s="1374"/>
      <c r="H58" s="1373"/>
      <c r="I58" s="1373"/>
      <c r="J58" s="1373"/>
      <c r="K58" s="1375"/>
      <c r="L58" s="2309"/>
      <c r="M58" s="2310"/>
      <c r="N58" s="2310"/>
      <c r="O58" s="2310"/>
      <c r="P58" s="2324"/>
      <c r="Q58" s="121"/>
    </row>
    <row r="59" spans="1:29" s="851" customFormat="1" ht="15">
      <c r="A59" s="848" t="s">
        <v>2792</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1040</v>
      </c>
      <c r="B61" s="1048"/>
      <c r="C61" s="860"/>
      <c r="D61" s="861"/>
      <c r="E61" s="861"/>
      <c r="F61" s="861"/>
      <c r="G61" s="861"/>
      <c r="H61" s="861"/>
      <c r="I61" s="861"/>
      <c r="J61" s="861"/>
      <c r="K61" s="861"/>
      <c r="L61" s="861"/>
      <c r="M61" s="862"/>
      <c r="N61" s="861"/>
      <c r="O61" s="862"/>
      <c r="P61" s="2325"/>
      <c r="Q61" s="121"/>
    </row>
    <row r="62" spans="1:29" s="40" customFormat="1">
      <c r="A62" s="1049" t="s">
        <v>1041</v>
      </c>
      <c r="B62" s="1046"/>
      <c r="C62" s="1050" t="s">
        <v>1042</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1043</v>
      </c>
      <c r="B64" s="286" t="s">
        <v>1044</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7"/>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1046</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1047</v>
      </c>
      <c r="B77" s="286" t="s">
        <v>1091</v>
      </c>
      <c r="C77" s="916" t="s">
        <v>1017</v>
      </c>
      <c r="D77" s="916" t="s">
        <v>1018</v>
      </c>
      <c r="E77" s="916" t="s">
        <v>1019</v>
      </c>
      <c r="F77" s="916" t="s">
        <v>1020</v>
      </c>
      <c r="G77" s="916" t="s">
        <v>1021</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1054</v>
      </c>
      <c r="C79" s="921" t="s">
        <v>1017</v>
      </c>
      <c r="D79" s="921" t="s">
        <v>1018</v>
      </c>
      <c r="E79" s="921" t="s">
        <v>1019</v>
      </c>
      <c r="F79" s="921" t="s">
        <v>1100</v>
      </c>
      <c r="G79" s="921" t="s">
        <v>1021</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2662</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1092</v>
      </c>
      <c r="C85" s="921" t="s">
        <v>1017</v>
      </c>
      <c r="D85" s="921" t="s">
        <v>1018</v>
      </c>
      <c r="E85" s="921" t="s">
        <v>1019</v>
      </c>
      <c r="F85" s="921" t="s">
        <v>1020</v>
      </c>
      <c r="G85" s="921" t="s">
        <v>1021</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3146</v>
      </c>
      <c r="D87" s="139" t="s">
        <v>3147</v>
      </c>
      <c r="E87" s="139" t="s">
        <v>3148</v>
      </c>
      <c r="F87" s="139" t="s">
        <v>3149</v>
      </c>
      <c r="G87" s="139" t="s">
        <v>3150</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3151</v>
      </c>
      <c r="D89" s="139" t="s">
        <v>3152</v>
      </c>
      <c r="E89" s="139" t="s">
        <v>3153</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1057</v>
      </c>
      <c r="B101" s="286" t="s">
        <v>1094</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1059</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1060</v>
      </c>
      <c r="C106" s="139" t="s">
        <v>3154</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1061</v>
      </c>
      <c r="C108" s="139" t="s">
        <v>3155</v>
      </c>
      <c r="D108" s="139" t="s">
        <v>3156</v>
      </c>
      <c r="E108" s="139" t="s">
        <v>3157</v>
      </c>
      <c r="F108" s="131" t="s">
        <v>3158</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3159</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1096</v>
      </c>
      <c r="C115" s="139" t="s">
        <v>3160</v>
      </c>
      <c r="D115" s="139" t="s">
        <v>3161</v>
      </c>
      <c r="E115" s="131" t="s">
        <v>3162</v>
      </c>
      <c r="F115" s="131" t="s">
        <v>3163</v>
      </c>
      <c r="G115" s="131" t="s">
        <v>3164</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3165</v>
      </c>
      <c r="D117" s="139" t="s">
        <v>3166</v>
      </c>
      <c r="E117" s="139" t="s">
        <v>3167</v>
      </c>
      <c r="F117" s="139" t="s">
        <v>3168</v>
      </c>
      <c r="G117" s="139" t="s">
        <v>3169</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3170</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84</v>
      </c>
      <c r="E121" s="897">
        <v>126</v>
      </c>
      <c r="F121" s="926">
        <v>153</v>
      </c>
      <c r="G121" s="898"/>
      <c r="H121" s="898"/>
      <c r="I121" s="898"/>
      <c r="J121" s="898"/>
      <c r="K121" s="898"/>
      <c r="L121" s="899"/>
      <c r="M121" s="900"/>
      <c r="N121" s="1391"/>
      <c r="O121" s="1391"/>
      <c r="P121" s="2328"/>
      <c r="Q121" s="1063"/>
    </row>
    <row r="122" spans="1:17" s="1039" customFormat="1" ht="15" thickBot="1">
      <c r="A122" s="1058"/>
      <c r="B122" s="1053"/>
      <c r="C122" s="903">
        <v>100</v>
      </c>
      <c r="D122" s="903">
        <v>102</v>
      </c>
      <c r="E122" s="903">
        <v>103</v>
      </c>
      <c r="F122" s="903">
        <v>103</v>
      </c>
      <c r="G122" s="903"/>
      <c r="H122" s="903"/>
      <c r="I122" s="903"/>
      <c r="J122" s="903"/>
      <c r="K122" s="903"/>
      <c r="L122" s="903"/>
      <c r="M122" s="903"/>
      <c r="N122" s="1391"/>
      <c r="O122" s="1391"/>
      <c r="P122" s="2328"/>
      <c r="Q122" s="1063"/>
    </row>
    <row r="123" spans="1:17" ht="14.25" thickTop="1">
      <c r="A123" s="175"/>
      <c r="B123" s="1054" t="s">
        <v>1067</v>
      </c>
      <c r="C123" s="139" t="s">
        <v>3155</v>
      </c>
      <c r="D123" s="139" t="s">
        <v>3156</v>
      </c>
      <c r="E123" s="139" t="s">
        <v>3157</v>
      </c>
      <c r="F123" s="131" t="s">
        <v>3158</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141</v>
      </c>
      <c r="D1" s="1274"/>
      <c r="E1" s="2582" t="s">
        <v>538</v>
      </c>
      <c r="F1" s="2583">
        <f ca="1">J53</f>
        <v>27.05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6873</v>
      </c>
      <c r="C2" s="1300" t="s">
        <v>1098</v>
      </c>
      <c r="D2" s="1276"/>
      <c r="E2" s="2572"/>
      <c r="F2" s="1277"/>
      <c r="G2" s="2285"/>
      <c r="H2" s="1275"/>
      <c r="I2" s="1275"/>
      <c r="J2" s="1275"/>
      <c r="K2" s="1299"/>
      <c r="L2" s="1275"/>
      <c r="M2" s="1275"/>
    </row>
    <row r="3" spans="1:37" ht="18" customHeight="1" thickBot="1">
      <c r="A3" s="675" t="s">
        <v>346</v>
      </c>
      <c r="B3" s="1408">
        <f ca="1">IF(ISERROR(B2*10000/F43),0,ROUND(B2*10000/F43,0))</f>
        <v>32744</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415</v>
      </c>
      <c r="D5" s="2633" t="s">
        <v>2535</v>
      </c>
      <c r="E5" s="2624"/>
      <c r="F5" s="2625"/>
      <c r="G5" s="2286"/>
      <c r="H5" s="681">
        <v>1</v>
      </c>
      <c r="I5" s="682" t="s">
        <v>2332</v>
      </c>
      <c r="J5" s="2623">
        <f ca="1">J6+J10+J12</f>
        <v>0</v>
      </c>
      <c r="K5" s="2626" t="s">
        <v>2535</v>
      </c>
      <c r="L5" s="2624"/>
      <c r="M5" s="2625"/>
    </row>
    <row r="6" spans="1:37" ht="18" customHeight="1">
      <c r="A6" s="2619" t="s">
        <v>2373</v>
      </c>
      <c r="B6" s="3634" t="s">
        <v>2534</v>
      </c>
      <c r="C6" s="2628">
        <f ca="1">ROUND(F6*F8*F7*(1-F9)/10000,0)</f>
        <v>414</v>
      </c>
      <c r="D6" s="2622" t="s">
        <v>2536</v>
      </c>
      <c r="E6" s="684" t="s">
        <v>917</v>
      </c>
      <c r="F6" s="685">
        <f ca="1">INDIRECT("'数据-取费表'!u"&amp;$G$1)</f>
        <v>6</v>
      </c>
      <c r="G6" s="2286"/>
      <c r="H6" s="2619" t="s">
        <v>2373</v>
      </c>
      <c r="I6" s="3634" t="s">
        <v>2534</v>
      </c>
      <c r="J6" s="683">
        <f ca="1">ROUND(M6*M8*M7*(1-M9)/10000,0)</f>
        <v>0</v>
      </c>
      <c r="K6" s="2622" t="s">
        <v>2536</v>
      </c>
      <c r="L6" s="684" t="s">
        <v>917</v>
      </c>
      <c r="M6" s="685">
        <f ca="1">INDIRECT("'数据-取费表'!z"&amp;$G$1)</f>
        <v>0</v>
      </c>
    </row>
    <row r="7" spans="1:37" ht="18" customHeight="1">
      <c r="A7" s="2627"/>
      <c r="B7" s="3635"/>
      <c r="C7" s="2629"/>
      <c r="D7" s="2059"/>
      <c r="E7" s="2630" t="s">
        <v>918</v>
      </c>
      <c r="F7" s="685">
        <f ca="1">IF(INDIRECT("'数据-取费表'!ah"&amp;$G$1)="",INDIRECT("'数据-取费表'!k"&amp;$G$1),INDIRECT("'数据-取费表'!ah"&amp;$G$1))</f>
        <v>2099.0100000000002</v>
      </c>
      <c r="G7" s="2286"/>
      <c r="H7" s="686"/>
      <c r="I7" s="3635"/>
      <c r="J7" s="688"/>
      <c r="K7" s="689"/>
      <c r="L7" s="684" t="s">
        <v>918</v>
      </c>
      <c r="M7" s="685">
        <f ca="1">F7</f>
        <v>2099.0100000000002</v>
      </c>
    </row>
    <row r="8" spans="1:37" ht="18" customHeight="1">
      <c r="A8" s="686"/>
      <c r="B8" s="3635"/>
      <c r="C8" s="688"/>
      <c r="D8" s="689"/>
      <c r="E8" s="684" t="s">
        <v>919</v>
      </c>
      <c r="F8" s="685">
        <f ca="1">INDIRECT("'数据-取费表'!ai"&amp;$G$1)</f>
        <v>365</v>
      </c>
      <c r="G8" s="2286"/>
      <c r="H8" s="686"/>
      <c r="I8" s="3635"/>
      <c r="J8" s="688"/>
      <c r="K8" s="689"/>
      <c r="L8" s="684" t="s">
        <v>919</v>
      </c>
      <c r="M8" s="685">
        <f ca="1">INDIRECT("'数据-取费表'!ai"&amp;$G$1)</f>
        <v>365</v>
      </c>
    </row>
    <row r="9" spans="1:37" ht="18" customHeight="1">
      <c r="A9" s="686"/>
      <c r="B9" s="3636"/>
      <c r="C9" s="688"/>
      <c r="D9" s="689"/>
      <c r="E9" s="684" t="s">
        <v>920</v>
      </c>
      <c r="F9" s="694">
        <f ca="1">INDIRECT("'数据-取费表'!w"&amp;$G$1)</f>
        <v>0.1</v>
      </c>
      <c r="G9" s="2286"/>
      <c r="H9" s="686"/>
      <c r="I9" s="3636"/>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ROUND(IF(F10="押一",F6*F8*F7/12*F11,IF(F10="押二",F6*F8*F7/12*2*F11,IF(F10="押三",F6*F8*F7/12*3*F11,C11*F11)))/10000,0)</f>
        <v>1</v>
      </c>
      <c r="D10" s="2631" t="s">
        <v>2537</v>
      </c>
      <c r="E10" s="2095" t="s">
        <v>2531</v>
      </c>
      <c r="F10" s="2825" t="s">
        <v>3093</v>
      </c>
      <c r="G10" s="2286"/>
      <c r="H10" s="2619" t="s">
        <v>2380</v>
      </c>
      <c r="I10" s="2620" t="s">
        <v>2529</v>
      </c>
      <c r="J10" s="683">
        <f ca="1">ROUND(IF(M10="押一",M6*M8*M7/12*M11,IF(M10="押二",M6*M8*M7/12*2*M11,IF(M10="押三",M6*M8*M7/12*3*M11,J11*M11)))/10000,0)</f>
        <v>0</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640</v>
      </c>
      <c r="D13" s="2665" t="s">
        <v>922</v>
      </c>
      <c r="E13" s="2665" t="s">
        <v>923</v>
      </c>
      <c r="F13" s="2666">
        <f ca="1">INDIRECT("'数据-取费表'!y"&amp;$G$1)</f>
        <v>0.65</v>
      </c>
      <c r="G13" s="2286"/>
      <c r="H13" s="2663">
        <v>2</v>
      </c>
      <c r="I13" s="2664" t="s">
        <v>921</v>
      </c>
      <c r="J13" s="2618">
        <f ca="1">ROUND(J14*J15,0)</f>
        <v>0</v>
      </c>
      <c r="K13" s="2673" t="s">
        <v>922</v>
      </c>
      <c r="L13" s="2684"/>
      <c r="M13" s="2685"/>
    </row>
    <row r="14" spans="1:37" ht="18" customHeight="1">
      <c r="A14" s="2436" t="s">
        <v>2370</v>
      </c>
      <c r="B14" s="684" t="s">
        <v>359</v>
      </c>
      <c r="C14" s="702">
        <f ca="1">INDIRECT("'数据-取费表'!m"&amp;$G$1)+INDIRECT("'数据-取费表'!t"&amp;$G$1)</f>
        <v>630</v>
      </c>
      <c r="D14" s="3358" t="s">
        <v>924</v>
      </c>
      <c r="E14" s="3357"/>
      <c r="F14" s="703"/>
      <c r="G14" s="2286"/>
      <c r="H14" s="2436" t="s">
        <v>2373</v>
      </c>
      <c r="I14" s="684" t="s">
        <v>925</v>
      </c>
      <c r="J14" s="313">
        <f ca="1">C29</f>
        <v>984</v>
      </c>
      <c r="K14" s="303"/>
      <c r="L14" s="700"/>
      <c r="M14" s="701"/>
    </row>
    <row r="15" spans="1:37" s="706" customFormat="1" ht="18" customHeight="1" thickBot="1">
      <c r="A15" s="2436" t="s">
        <v>2606</v>
      </c>
      <c r="B15" s="684" t="s">
        <v>360</v>
      </c>
      <c r="C15" s="313">
        <f ca="1">ROUND(C14*F15,0)</f>
        <v>32</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ROUND(INDIRECT("'数据-取费表'!m"&amp;$G$1)*F16,0)</f>
        <v>0</v>
      </c>
      <c r="D16" s="684" t="s">
        <v>926</v>
      </c>
      <c r="E16" s="684" t="s">
        <v>365</v>
      </c>
      <c r="F16" s="707">
        <f ca="1">IF(INDIRECT("'数据-取费表'!c"&amp;$G$1)="住宅",'数据-取费表'!B34,0)</f>
        <v>0</v>
      </c>
      <c r="G16" s="2286"/>
      <c r="H16" s="2663" t="s">
        <v>2338</v>
      </c>
      <c r="I16" s="2664" t="s">
        <v>928</v>
      </c>
      <c r="J16" s="692">
        <f ca="1">ROUND(J17+J22+J23+J24,0)</f>
        <v>23</v>
      </c>
      <c r="K16" s="2673" t="s">
        <v>929</v>
      </c>
      <c r="L16" s="2674"/>
      <c r="M16" s="2625"/>
    </row>
    <row r="17" spans="1:37" s="706" customFormat="1" ht="18" customHeight="1">
      <c r="A17" s="2436" t="s">
        <v>2608</v>
      </c>
      <c r="B17" s="684" t="s">
        <v>362</v>
      </c>
      <c r="C17" s="313">
        <f ca="1">ROUND(F17*(F43+INDIRECT("'数据-取费表'!S"&amp;$G$1))/10000,0)</f>
        <v>42</v>
      </c>
      <c r="D17" s="684" t="s">
        <v>930</v>
      </c>
      <c r="E17" s="684" t="s">
        <v>931</v>
      </c>
      <c r="F17" s="315">
        <f>'数据-取费表'!B35</f>
        <v>200</v>
      </c>
      <c r="G17" s="2287"/>
      <c r="H17" s="2436" t="s">
        <v>2373</v>
      </c>
      <c r="I17" s="684" t="s">
        <v>363</v>
      </c>
      <c r="J17" s="313">
        <f ca="1">ROUND(IF(项目基本情况!B11="自然人",J5*M17,J18+J19+J20),1)</f>
        <v>8.3000000000000007</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9</v>
      </c>
      <c r="D18" s="684" t="s">
        <v>926</v>
      </c>
      <c r="E18" s="684" t="s">
        <v>365</v>
      </c>
      <c r="F18" s="707">
        <f>'数据-取费表'!B36</f>
        <v>1.4999999999999999E-2</v>
      </c>
      <c r="G18" s="2287"/>
      <c r="H18" s="2436" t="s">
        <v>2370</v>
      </c>
      <c r="I18" s="684" t="s">
        <v>934</v>
      </c>
      <c r="J18" s="313">
        <f ca="1">ROUND(J5*M18/(1+'数据-取费表'!C42),2)</f>
        <v>0</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713</v>
      </c>
      <c r="D19" s="471" t="s">
        <v>936</v>
      </c>
      <c r="E19" s="3366"/>
      <c r="F19" s="315"/>
      <c r="G19" s="2286"/>
      <c r="H19" s="2436" t="s">
        <v>2606</v>
      </c>
      <c r="I19" s="684" t="s">
        <v>937</v>
      </c>
      <c r="J19" s="313">
        <f ca="1">IF(K19="按租金收入计税",ROUND(J5*M19,2),ROUND(C29*M19*0.7,2))</f>
        <v>8.27</v>
      </c>
      <c r="K19" s="1301" t="s">
        <v>2413</v>
      </c>
      <c r="L19" s="684" t="s">
        <v>365</v>
      </c>
      <c r="M19" s="707">
        <f>IF(K19="按租金收入计税",'数据-取费表'!B51,'数据-取费表'!B50)</f>
        <v>1.2E-2</v>
      </c>
    </row>
    <row r="20" spans="1:37" s="706" customFormat="1" ht="18" customHeight="1">
      <c r="A20" s="2436" t="s">
        <v>2610</v>
      </c>
      <c r="B20" s="684" t="s">
        <v>367</v>
      </c>
      <c r="C20" s="313">
        <f ca="1">ROUND(C19*F20,0)</f>
        <v>14</v>
      </c>
      <c r="D20" s="709" t="s">
        <v>938</v>
      </c>
      <c r="E20" s="684" t="s">
        <v>365</v>
      </c>
      <c r="F20" s="707">
        <f>'数据-取费表'!B37</f>
        <v>0.02</v>
      </c>
      <c r="G20" s="2287"/>
      <c r="H20" s="2436" t="s">
        <v>2607</v>
      </c>
      <c r="I20" s="496" t="s">
        <v>939</v>
      </c>
      <c r="J20" s="314">
        <f ca="1">ROUND(M20*M21/10000,2)</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f ca="1">ROUND(J14*M22,1)</f>
        <v>14.8</v>
      </c>
      <c r="K22" s="3359" t="s">
        <v>948</v>
      </c>
      <c r="L22" s="684" t="s">
        <v>365</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35</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ROUND(J13*M23,1)</f>
        <v>0</v>
      </c>
      <c r="K23" s="3359"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ROUND(J5*M24,1)</f>
        <v>0</v>
      </c>
      <c r="K24" s="2678" t="s">
        <v>371</v>
      </c>
      <c r="L24" s="2676" t="s">
        <v>365</v>
      </c>
      <c r="M24" s="2672">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f ca="1">J5-J16</f>
        <v>-23</v>
      </c>
      <c r="K25" s="2681" t="s">
        <v>378</v>
      </c>
      <c r="L25" s="2682"/>
      <c r="M25" s="2683"/>
    </row>
    <row r="26" spans="1:37" ht="18" customHeight="1">
      <c r="A26" s="2436" t="s">
        <v>2370</v>
      </c>
      <c r="B26" s="684" t="s">
        <v>2527</v>
      </c>
      <c r="C26" s="313">
        <f ca="1">ROUND((C19+C20)*F26,0)</f>
        <v>145</v>
      </c>
      <c r="D26" s="709" t="s">
        <v>957</v>
      </c>
      <c r="E26" s="695" t="s">
        <v>958</v>
      </c>
      <c r="F26" s="694">
        <f ca="1">INDIRECT("'数据-取费表'!q"&amp;$G$1)</f>
        <v>0.2</v>
      </c>
      <c r="G26" s="2286"/>
      <c r="H26" s="681" t="s">
        <v>2356</v>
      </c>
      <c r="I26" s="682" t="s">
        <v>959</v>
      </c>
      <c r="J26" s="683">
        <f ca="1">IF(J5&lt;&gt;0,ROUND(J25*(1-((1+M28)/(1+M26))^M27)/(M26-M28),0),0)</f>
        <v>0</v>
      </c>
      <c r="K26" s="710" t="s">
        <v>373</v>
      </c>
      <c r="L26" s="684" t="s">
        <v>374</v>
      </c>
      <c r="M26" s="694">
        <f ca="1">INDIRECT("'数据-取费表'!I"&amp;$G$1)</f>
        <v>5.5E-2</v>
      </c>
    </row>
    <row r="27" spans="1:37" ht="18" customHeight="1">
      <c r="A27" s="2436" t="s">
        <v>2376</v>
      </c>
      <c r="B27" s="684" t="s">
        <v>375</v>
      </c>
      <c r="C27" s="313">
        <f ca="1">ROUND(F21*F26,4)</f>
        <v>4.0000000000000001E-3</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984</v>
      </c>
      <c r="D29" s="2678"/>
      <c r="E29" s="2676"/>
      <c r="F29" s="2679"/>
      <c r="G29" s="2287"/>
      <c r="H29" s="720" t="s">
        <v>2363</v>
      </c>
      <c r="I29" s="721" t="s">
        <v>963</v>
      </c>
      <c r="J29" s="722">
        <f ca="1">ROUND(J26/(1+F40)^F41,0)</f>
        <v>0</v>
      </c>
      <c r="K29" s="723" t="s">
        <v>964</v>
      </c>
      <c r="L29" s="724"/>
      <c r="M29" s="725">
        <f ca="1">INDIRECT("'数据-取费表'!k"&amp;$G$1)</f>
        <v>2099.0100000000002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55</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ROUND(IF(项目基本情况!B11="自然人",C5*F31,C32+C33+C34),1)</f>
        <v>30.4</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IF(项目基本情况!B11="自然人","——",ROUND(C5*F32/(1+'数据-取费表'!C42),2))</f>
        <v>22.13</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IF(项目基本情况!B11="自然人","——",IF(D33="按租金收入计税",ROUND(C5*F33,2),IF(D33="按房产原值计税",ROUND(C29*F33*0.7,2),INDIRECT("'数据-取费表'!Aj"&amp;$G$1))))</f>
        <v>8.27</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IF(项目基本情况!B11="自然人","——",ROUND(F34*F35/10000,2))</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ROUND(C29*F36,1)</f>
        <v>14.8</v>
      </c>
      <c r="D36" s="3359" t="s">
        <v>977</v>
      </c>
      <c r="E36" s="684" t="s">
        <v>365</v>
      </c>
      <c r="F36" s="714">
        <f ca="1">INDIRECT("'数据-取费表'!Ak"&amp;$G$1)</f>
        <v>1.4999999999999999E-2</v>
      </c>
      <c r="G36" s="2286"/>
      <c r="H36" s="1290"/>
      <c r="I36" s="2878"/>
      <c r="J36" s="2879"/>
      <c r="K36" s="1294"/>
      <c r="L36" s="1290"/>
      <c r="M36" s="1290"/>
    </row>
    <row r="37" spans="1:18" ht="18" customHeight="1">
      <c r="A37" s="2436" t="s">
        <v>2611</v>
      </c>
      <c r="B37" s="684" t="s">
        <v>368</v>
      </c>
      <c r="C37" s="313">
        <f ca="1">ROUND(C13*F37,1)</f>
        <v>1.3</v>
      </c>
      <c r="D37" s="3359" t="s">
        <v>369</v>
      </c>
      <c r="E37" s="684" t="s">
        <v>365</v>
      </c>
      <c r="F37" s="716">
        <f ca="1">INDIRECT("'数据-取费表'!Al"&amp;$G$1)</f>
        <v>2E-3</v>
      </c>
      <c r="G37" s="2286"/>
      <c r="H37" s="1290"/>
      <c r="I37" s="2878"/>
      <c r="J37" s="2879"/>
      <c r="K37" s="1294"/>
      <c r="L37" s="1290"/>
      <c r="M37" s="1290"/>
    </row>
    <row r="38" spans="1:18" ht="18" customHeight="1" thickBot="1">
      <c r="A38" s="2675" t="s">
        <v>2612</v>
      </c>
      <c r="B38" s="2676" t="s">
        <v>367</v>
      </c>
      <c r="C38" s="2677">
        <f ca="1">ROUND(C5*F38,1)</f>
        <v>8.3000000000000007</v>
      </c>
      <c r="D38" s="2678" t="s">
        <v>371</v>
      </c>
      <c r="E38" s="2676" t="s">
        <v>365</v>
      </c>
      <c r="F38" s="2672">
        <f ca="1">INDIRECT("'数据-取费表'!Am"&amp;$G$1)</f>
        <v>0.02</v>
      </c>
      <c r="G38" s="2286"/>
      <c r="H38" s="1290"/>
      <c r="I38" s="2878"/>
      <c r="J38" s="2879"/>
      <c r="K38" s="1295"/>
      <c r="L38" s="1290"/>
      <c r="M38" s="1290"/>
    </row>
    <row r="39" spans="1:18" ht="24.6" customHeight="1" thickTop="1">
      <c r="A39" s="2663" t="s">
        <v>2353</v>
      </c>
      <c r="B39" s="2680" t="s">
        <v>377</v>
      </c>
      <c r="C39" s="692">
        <f ca="1">C5-C30</f>
        <v>360</v>
      </c>
      <c r="D39" s="2681" t="s">
        <v>378</v>
      </c>
      <c r="E39" s="2682"/>
      <c r="F39" s="2683"/>
      <c r="G39" s="2286"/>
      <c r="H39" s="1290"/>
      <c r="I39" s="2878"/>
      <c r="J39" s="2879"/>
      <c r="K39" s="1295"/>
      <c r="L39" s="1290"/>
      <c r="M39" s="1290"/>
    </row>
    <row r="40" spans="1:18" ht="18" customHeight="1">
      <c r="A40" s="681" t="s">
        <v>2356</v>
      </c>
      <c r="B40" s="682" t="s">
        <v>379</v>
      </c>
      <c r="C40" s="683">
        <f ca="1">ROUND(C39*(1-((1+F42)/(1+F40))^F41)/(F40-F42),0)</f>
        <v>6873</v>
      </c>
      <c r="D40" s="710" t="s">
        <v>373</v>
      </c>
      <c r="E40" s="684" t="s">
        <v>374</v>
      </c>
      <c r="F40" s="694">
        <f ca="1">INDIRECT("'数据-取费表'!I"&amp;$G$1)</f>
        <v>5.5E-2</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27.05</v>
      </c>
      <c r="G41" s="2286"/>
      <c r="H41" s="1192"/>
      <c r="I41" s="2878"/>
      <c r="J41" s="2879"/>
      <c r="K41" s="1294"/>
      <c r="L41" s="1192"/>
      <c r="M41" s="1192"/>
    </row>
    <row r="42" spans="1:18" ht="18" customHeight="1">
      <c r="A42" s="690"/>
      <c r="B42" s="691"/>
      <c r="C42" s="692"/>
      <c r="D42" s="713"/>
      <c r="E42" s="684" t="s">
        <v>382</v>
      </c>
      <c r="F42" s="694">
        <f ca="1">INDIRECT("'数据-取费表'!v"&amp;$G$1)</f>
        <v>0.03</v>
      </c>
      <c r="G42" s="2286"/>
      <c r="H42" s="1192"/>
      <c r="I42" s="2878"/>
      <c r="J42" s="2879"/>
      <c r="K42" s="1294"/>
      <c r="L42" s="1192"/>
      <c r="M42" s="1192"/>
    </row>
    <row r="43" spans="1:18" ht="18" customHeight="1" thickBot="1">
      <c r="A43" s="720" t="s">
        <v>2363</v>
      </c>
      <c r="B43" s="721" t="s">
        <v>383</v>
      </c>
      <c r="C43" s="722">
        <f ca="1">ROUND(C40*10000/F43,0)</f>
        <v>32744</v>
      </c>
      <c r="D43" s="723" t="s">
        <v>384</v>
      </c>
      <c r="E43" s="724" t="s">
        <v>385</v>
      </c>
      <c r="F43" s="725">
        <f ca="1">INDIRECT("'数据-取费表'!k"&amp;$G$1)</f>
        <v>2099.0100000000002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f ca="1">C68-C40</f>
        <v>-7207</v>
      </c>
      <c r="D46" s="2723" t="str">
        <f>C2</f>
        <v>万元</v>
      </c>
      <c r="E46" s="1433"/>
      <c r="F46" s="1433"/>
      <c r="I46" s="2575" t="s">
        <v>2421</v>
      </c>
      <c r="J46" s="2576"/>
      <c r="K46" s="2577"/>
      <c r="L46" s="2579" t="str">
        <f ca="1">IF(M47="住宅",0,IF(L48&gt;J51,L60,J60))</f>
        <v>0</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f ca="1">INDIRECT("'数据-取费表'!d"&amp;$G$1)</f>
        <v>50</v>
      </c>
      <c r="M47" s="2581" t="str">
        <f>IF(ISNUMBER(FIND("住宅",C1)),"住宅","非住宅")</f>
        <v>非住宅</v>
      </c>
      <c r="O47" s="2584" t="s">
        <v>2449</v>
      </c>
      <c r="P47" s="2594" t="s">
        <v>2467</v>
      </c>
      <c r="Q47" s="2585">
        <f ca="1">C40+J29</f>
        <v>6873</v>
      </c>
      <c r="R47" s="2585" t="s">
        <v>2468</v>
      </c>
    </row>
    <row r="48" spans="1:18" s="1455" customFormat="1" ht="47.25" thickBot="1">
      <c r="A48" s="2708" t="s">
        <v>2617</v>
      </c>
      <c r="B48" s="682" t="s">
        <v>2332</v>
      </c>
      <c r="C48" s="3365">
        <f ca="1">C49+C53+C55</f>
        <v>0</v>
      </c>
      <c r="D48" s="2712"/>
      <c r="E48" s="2713"/>
      <c r="F48" s="2416"/>
      <c r="G48" s="1457"/>
      <c r="H48" s="1458"/>
      <c r="I48" s="2541" t="s">
        <v>2415</v>
      </c>
      <c r="J48" s="2552" t="s">
        <v>2416</v>
      </c>
      <c r="K48" s="2562" t="s">
        <v>681</v>
      </c>
      <c r="L48" s="2166">
        <f ca="1">INDIRECT("'数据-取费表'!f"&amp;$G$1)</f>
        <v>27.05</v>
      </c>
      <c r="O48" s="2584" t="s">
        <v>2450</v>
      </c>
      <c r="P48" s="2594" t="s">
        <v>2469</v>
      </c>
      <c r="Q48" s="2585" t="str">
        <f ca="1">J60</f>
        <v>0</v>
      </c>
      <c r="R48" s="2585" t="s">
        <v>2477</v>
      </c>
    </row>
    <row r="49" spans="1:18" s="1455" customFormat="1" ht="15.75" thickBot="1">
      <c r="A49" s="2429" t="s">
        <v>2618</v>
      </c>
      <c r="B49" s="2711" t="s">
        <v>2620</v>
      </c>
      <c r="C49" s="2720">
        <f ca="1">ROUND(F49*F51*F50*(1-F52)/10000,0)</f>
        <v>0</v>
      </c>
      <c r="D49" s="2530" t="s">
        <v>2333</v>
      </c>
      <c r="E49" s="2533" t="s">
        <v>2326</v>
      </c>
      <c r="F49" s="2536"/>
      <c r="G49" s="1459"/>
      <c r="H49" s="1458"/>
      <c r="I49" s="2541" t="s">
        <v>2435</v>
      </c>
      <c r="J49" s="2553">
        <v>1996</v>
      </c>
      <c r="K49" s="2563" t="s">
        <v>2440</v>
      </c>
      <c r="L49" s="2564"/>
      <c r="O49" s="2586" t="s">
        <v>2451</v>
      </c>
      <c r="P49" s="2594" t="s">
        <v>2470</v>
      </c>
      <c r="Q49" s="2585">
        <f ca="1">C29</f>
        <v>984</v>
      </c>
      <c r="R49" s="2585" t="s">
        <v>2468</v>
      </c>
    </row>
    <row r="50" spans="1:18" s="1455" customFormat="1" ht="15.75" thickBot="1">
      <c r="A50" s="2430"/>
      <c r="B50" s="2433"/>
      <c r="C50" s="2728"/>
      <c r="D50" s="2403"/>
      <c r="E50" s="2531" t="s">
        <v>918</v>
      </c>
      <c r="F50" s="2532">
        <f ca="1">F7</f>
        <v>2099.0100000000002</v>
      </c>
      <c r="H50" s="1458"/>
      <c r="I50" s="2541" t="s">
        <v>2417</v>
      </c>
      <c r="J50" s="2554">
        <f>SUMPRODUCT((I63:I65=J47)*(J62:L62=J48)*(J63:L65))</f>
        <v>60</v>
      </c>
      <c r="K50" s="2563" t="s">
        <v>2441</v>
      </c>
      <c r="L50" s="2564"/>
      <c r="M50" s="2558"/>
      <c r="O50" s="2586" t="s">
        <v>2452</v>
      </c>
      <c r="P50" s="2594" t="s">
        <v>2478</v>
      </c>
      <c r="Q50" s="2587" t="e">
        <f ca="1">J58</f>
        <v>#VALUE!</v>
      </c>
      <c r="R50" s="2585"/>
    </row>
    <row r="51" spans="1:18" s="1455" customFormat="1" ht="15.75" thickBot="1">
      <c r="A51" s="2431"/>
      <c r="B51" s="2433"/>
      <c r="C51" s="2434"/>
      <c r="D51" s="2403"/>
      <c r="E51" s="2435" t="s">
        <v>919</v>
      </c>
      <c r="F51" s="685">
        <f ca="1">F8</f>
        <v>365</v>
      </c>
      <c r="I51" s="2555" t="s">
        <v>2422</v>
      </c>
      <c r="J51" s="2556">
        <f>IF(J49="",J50,J49+J50-YEAR('数据-取费表'!B2))</f>
        <v>39</v>
      </c>
      <c r="K51" s="2565" t="s">
        <v>2442</v>
      </c>
      <c r="L51" s="2578">
        <f ca="1">ROUND(-PV(INDIRECT("'数据-取费表'!h"&amp;$G$1),L48,(C39-C13*C76),0),0)</f>
        <v>4479</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27.05</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f ca="1">IF(M47="住宅",J51,MIN(J51,L48))</f>
        <v>27.05</v>
      </c>
      <c r="K53" s="36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8"/>
      <c r="O53" s="2584" t="s">
        <v>2455</v>
      </c>
      <c r="P53" s="2594" t="s">
        <v>2473</v>
      </c>
      <c r="Q53" s="2585">
        <f ca="1">Q47+Q48</f>
        <v>6873</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#VALUE!</v>
      </c>
      <c r="K55" s="2548" t="s">
        <v>2424</v>
      </c>
      <c r="L55" s="2570"/>
      <c r="O55" s="2591" t="s">
        <v>2464</v>
      </c>
      <c r="P55" s="2592" t="s">
        <v>2465</v>
      </c>
      <c r="Q55" s="2593" t="s">
        <v>2463</v>
      </c>
      <c r="R55" s="2593" t="s">
        <v>2466</v>
      </c>
    </row>
    <row r="56" spans="1:18" s="1455" customFormat="1" ht="44.25" thickTop="1" thickBot="1">
      <c r="A56" s="2407">
        <v>2</v>
      </c>
      <c r="B56" s="2408" t="s">
        <v>921</v>
      </c>
      <c r="C56" s="608">
        <f ca="1">C13</f>
        <v>640</v>
      </c>
      <c r="D56" s="2695"/>
      <c r="E56" s="2409"/>
      <c r="F56" s="2537"/>
      <c r="I56" s="2540" t="s">
        <v>2425</v>
      </c>
      <c r="J56" s="2569" t="s">
        <v>3053</v>
      </c>
      <c r="K56" s="2541" t="s">
        <v>2429</v>
      </c>
      <c r="L56" s="2166" t="str">
        <f ca="1">IF(L48&lt;J51,"——",L48-J51)</f>
        <v>——</v>
      </c>
      <c r="O56" s="2584" t="s">
        <v>2449</v>
      </c>
      <c r="P56" s="2594" t="s">
        <v>2467</v>
      </c>
      <c r="Q56" s="2585">
        <f ca="1">C40+J29</f>
        <v>6873</v>
      </c>
      <c r="R56" s="2585" t="s">
        <v>2468</v>
      </c>
    </row>
    <row r="57" spans="1:18" s="1455" customFormat="1" ht="29.25" thickBot="1">
      <c r="A57" s="2538"/>
      <c r="B57" s="2400" t="s">
        <v>970</v>
      </c>
      <c r="C57" s="614">
        <f ca="1">C29</f>
        <v>984</v>
      </c>
      <c r="D57" s="2411"/>
      <c r="E57" s="2412"/>
      <c r="F57" s="2539"/>
      <c r="I57" s="2542" t="s">
        <v>2446</v>
      </c>
      <c r="J57" s="2546" t="str">
        <f ca="1">IF(OR(M47="住宅",J51&lt;L48,J56="是"),"——",J51-L48)</f>
        <v>——</v>
      </c>
      <c r="K57" s="2541" t="s">
        <v>2899</v>
      </c>
      <c r="L57" s="2166" t="str">
        <f ca="1">IF(L48&lt;J51,"——",IF(L55="比较法",L49,IF(L55="基准地价",L50,L51)))</f>
        <v>——</v>
      </c>
      <c r="O57" s="2584" t="s">
        <v>2450</v>
      </c>
      <c r="P57" s="2594" t="s">
        <v>2474</v>
      </c>
      <c r="Q57" s="2585">
        <f ca="1">L60</f>
        <v>0</v>
      </c>
      <c r="R57" s="2585" t="s">
        <v>2489</v>
      </c>
    </row>
    <row r="58" spans="1:18" s="1455" customFormat="1" ht="29.25" thickBot="1">
      <c r="A58" s="697" t="s">
        <v>2338</v>
      </c>
      <c r="B58" s="2408" t="s">
        <v>928</v>
      </c>
      <c r="C58" s="698">
        <f ca="1">ROUND(C59+C64+C65+C66,0)</f>
        <v>24</v>
      </c>
      <c r="D58" s="2414" t="s">
        <v>929</v>
      </c>
      <c r="E58" s="2415"/>
      <c r="F58" s="2416"/>
      <c r="I58" s="2542" t="s">
        <v>2426</v>
      </c>
      <c r="J58" s="3314" t="e">
        <f ca="1">IF(J55&lt;0.4,0.4,J55)</f>
        <v>#VALUE!</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ROUND(IF(项目基本情况!B11="自然人",C48*F59,C60+C61+C62),1)</f>
        <v>8.3000000000000007</v>
      </c>
      <c r="D59" s="2417" t="s">
        <v>932</v>
      </c>
      <c r="E59" s="2418" t="s">
        <v>933</v>
      </c>
      <c r="F59" s="708" t="str">
        <f ca="1">IF(项目基本情况!B11="企业","",IF(INDIRECT("'数据-取费表'!c"&amp;$G$1)="住宅",5%,IF(F49*F50*F51/12/(1+'数据-取费表'!C42)&gt;20000,12%,7%)))</f>
        <v/>
      </c>
      <c r="I59" s="2542" t="s">
        <v>2427</v>
      </c>
      <c r="J59" s="2546" t="str">
        <f ca="1">IF(OR(M47="住宅",J51&lt;L48,J56="是"),"——",ROUND(C29*J58,0))</f>
        <v>——</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IF(项目基本情况!B11="自然人","——",ROUND(C48*F60/(1+'数据-取费表'!C42),2))</f>
        <v>0</v>
      </c>
      <c r="D60" s="2418" t="s">
        <v>935</v>
      </c>
      <c r="E60" s="2400" t="s">
        <v>365</v>
      </c>
      <c r="F60" s="717">
        <f t="shared" ref="F60:F66" si="0">F32</f>
        <v>5.6000000000000001E-2</v>
      </c>
      <c r="I60" s="2543" t="s">
        <v>2428</v>
      </c>
      <c r="J60" s="2547" t="str">
        <f ca="1">IF(OR(M47="住宅",J51&lt;L48,J56="是"),"0",ROUND(J59/(1+J52)^J53,0))</f>
        <v>0</v>
      </c>
      <c r="K60" s="2549" t="s">
        <v>2431</v>
      </c>
      <c r="L60" s="2547">
        <f ca="1">IF(OR(M47="住宅",L48&lt;J51),0,ROUND(L57*(L58/L59-1),0))</f>
        <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IF(项目基本情况!B11="自然人","——",IF(D61="按租金收入计税",ROUND(C48*F61,2),IF(D61="按房产原值计税",ROUND(C57*F61*0.7,2),INDIRECT("'数据-取费表'!Aj"&amp;$G$1))))</f>
        <v>8.27</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IF(项目基本情况!B11="自然人","——",ROUND(F62*F63/10000,2))</f>
        <v>0</v>
      </c>
      <c r="D62" s="2419" t="s">
        <v>940</v>
      </c>
      <c r="E62" s="2400" t="s">
        <v>941</v>
      </c>
      <c r="F62" s="711">
        <f t="shared" si="0"/>
        <v>18</v>
      </c>
      <c r="I62" s="2544" t="s">
        <v>2418</v>
      </c>
      <c r="J62" s="2545" t="s">
        <v>2419</v>
      </c>
      <c r="K62" s="2545" t="s">
        <v>2420</v>
      </c>
      <c r="L62" s="2545" t="s">
        <v>2416</v>
      </c>
      <c r="M62" s="3315" t="s">
        <v>3036</v>
      </c>
      <c r="O62" s="2584" t="s">
        <v>2455</v>
      </c>
      <c r="P62" s="2594" t="s">
        <v>2473</v>
      </c>
      <c r="Q62" s="2585">
        <f ca="1">Q56+Q57</f>
        <v>6873</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ROUND(C57*F64,1)</f>
        <v>14.8</v>
      </c>
      <c r="D64" s="2418" t="s">
        <v>977</v>
      </c>
      <c r="E64" s="2400" t="s">
        <v>365</v>
      </c>
      <c r="F64" s="714">
        <f t="shared" ca="1" si="0"/>
        <v>1.4999999999999999E-2</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ROUND(C56*F65,1)</f>
        <v>1.3</v>
      </c>
      <c r="D65" s="2418" t="s">
        <v>369</v>
      </c>
      <c r="E65" s="2400" t="s">
        <v>365</v>
      </c>
      <c r="F65" s="716">
        <f t="shared" ca="1" si="0"/>
        <v>2E-3</v>
      </c>
      <c r="I65" s="2544" t="s">
        <v>2434</v>
      </c>
      <c r="J65" s="3318">
        <v>40</v>
      </c>
      <c r="K65" s="3318">
        <v>30</v>
      </c>
      <c r="L65" s="3318">
        <v>50</v>
      </c>
      <c r="M65" s="3316">
        <v>0.02</v>
      </c>
      <c r="O65" s="2584" t="s">
        <v>2449</v>
      </c>
      <c r="P65" s="2594" t="s">
        <v>2467</v>
      </c>
      <c r="Q65" s="2585">
        <f ca="1">C40+J29</f>
        <v>6873</v>
      </c>
      <c r="R65" s="2585" t="s">
        <v>2468</v>
      </c>
    </row>
    <row r="66" spans="1:18" s="1455" customFormat="1" ht="20.25" thickBot="1">
      <c r="A66" s="2436" t="s">
        <v>2375</v>
      </c>
      <c r="B66" s="2400" t="s">
        <v>367</v>
      </c>
      <c r="C66" s="313">
        <f ca="1">ROUND(C48*F66,1)</f>
        <v>0</v>
      </c>
      <c r="D66" s="2418" t="s">
        <v>371</v>
      </c>
      <c r="E66" s="2400" t="s">
        <v>365</v>
      </c>
      <c r="F66" s="694">
        <f t="shared" ca="1" si="0"/>
        <v>0.02</v>
      </c>
      <c r="O66" s="2584" t="s">
        <v>2450</v>
      </c>
      <c r="P66" s="2594" t="s">
        <v>2474</v>
      </c>
      <c r="Q66" s="2585">
        <f ca="1">L60</f>
        <v>0</v>
      </c>
      <c r="R66" s="2585" t="s">
        <v>2457</v>
      </c>
    </row>
    <row r="67" spans="1:18" s="1455" customFormat="1" ht="23.25" thickBot="1">
      <c r="A67" s="2407" t="s">
        <v>2353</v>
      </c>
      <c r="B67" s="2421" t="s">
        <v>377</v>
      </c>
      <c r="C67" s="698">
        <f ca="1">C48-C58</f>
        <v>-24</v>
      </c>
      <c r="D67" s="2417" t="s">
        <v>378</v>
      </c>
      <c r="E67" s="2422"/>
      <c r="F67" s="2423"/>
      <c r="O67" s="2586" t="s">
        <v>2451</v>
      </c>
      <c r="P67" s="2594" t="s">
        <v>2481</v>
      </c>
      <c r="Q67" s="2589">
        <f ca="1">L51</f>
        <v>4479</v>
      </c>
      <c r="R67" s="2590" t="s">
        <v>2491</v>
      </c>
    </row>
    <row r="68" spans="1:18" s="1455" customFormat="1" ht="20.25" thickBot="1">
      <c r="A68" s="2397" t="s">
        <v>2356</v>
      </c>
      <c r="B68" s="2398" t="s">
        <v>379</v>
      </c>
      <c r="C68" s="683">
        <f ca="1">ROUND(C67*(1-((1+F70)/(1+F68))^F69)/(F68-F70),0)</f>
        <v>-334</v>
      </c>
      <c r="D68" s="2419" t="s">
        <v>373</v>
      </c>
      <c r="E68" s="2400" t="s">
        <v>374</v>
      </c>
      <c r="F68" s="694">
        <f ca="1">F40</f>
        <v>5.5E-2</v>
      </c>
      <c r="O68" s="2586" t="s">
        <v>2452</v>
      </c>
      <c r="P68" s="2595" t="s">
        <v>2485</v>
      </c>
      <c r="Q68" s="2585">
        <f ca="1">ROUND(Q69-Q70*Q71,0)</f>
        <v>306</v>
      </c>
      <c r="R68" s="2585" t="s">
        <v>2490</v>
      </c>
    </row>
    <row r="69" spans="1:18" s="1455" customFormat="1" ht="15.75" thickBot="1">
      <c r="A69" s="2401"/>
      <c r="B69" s="2402"/>
      <c r="C69" s="688"/>
      <c r="D69" s="2424" t="s">
        <v>962</v>
      </c>
      <c r="E69" s="2400" t="s">
        <v>381</v>
      </c>
      <c r="F69" s="719">
        <f ca="1">F41</f>
        <v>27.05</v>
      </c>
      <c r="O69" s="2586" t="s">
        <v>2460</v>
      </c>
      <c r="P69" s="2595" t="s">
        <v>2475</v>
      </c>
      <c r="Q69" s="2585">
        <f ca="1">C39</f>
        <v>360</v>
      </c>
      <c r="R69" s="2585" t="s">
        <v>2468</v>
      </c>
    </row>
    <row r="70" spans="1:18" s="1455" customFormat="1" ht="15.75" thickBot="1">
      <c r="A70" s="2404"/>
      <c r="B70" s="2405"/>
      <c r="C70" s="692"/>
      <c r="D70" s="2420"/>
      <c r="E70" s="2400" t="s">
        <v>382</v>
      </c>
      <c r="F70" s="2529"/>
      <c r="O70" s="2586" t="s">
        <v>2461</v>
      </c>
      <c r="P70" s="2595" t="s">
        <v>2476</v>
      </c>
      <c r="Q70" s="2585">
        <f ca="1">C13</f>
        <v>640</v>
      </c>
      <c r="R70" s="2585" t="s">
        <v>2468</v>
      </c>
    </row>
    <row r="71" spans="1:18" s="1455" customFormat="1" ht="15.75" thickBot="1">
      <c r="A71" s="2425" t="s">
        <v>2363</v>
      </c>
      <c r="B71" s="2426" t="s">
        <v>383</v>
      </c>
      <c r="C71" s="722">
        <f ca="1">ROUND(C68*10000/F71,0)</f>
        <v>-1591</v>
      </c>
      <c r="D71" s="2427" t="s">
        <v>384</v>
      </c>
      <c r="E71" s="2428" t="s">
        <v>385</v>
      </c>
      <c r="F71" s="725">
        <f ca="1">F43</f>
        <v>2099.0100000000002</v>
      </c>
      <c r="I71" s="2395"/>
      <c r="K71" s="2395"/>
      <c r="O71" s="2586" t="s">
        <v>2462</v>
      </c>
      <c r="P71" s="2595" t="s">
        <v>2488</v>
      </c>
      <c r="Q71" s="2587">
        <f ca="1">C76</f>
        <v>8.5000000000000006E-2</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54</v>
      </c>
      <c r="D75" s="1455"/>
      <c r="E75" s="1455"/>
      <c r="F75" s="1455"/>
      <c r="K75" s="1456"/>
      <c r="L75" s="1455"/>
      <c r="O75" s="2584" t="s">
        <v>2455</v>
      </c>
      <c r="P75" s="2594" t="s">
        <v>2473</v>
      </c>
      <c r="Q75" s="2585">
        <f ca="1">Q65+Q66</f>
        <v>6873</v>
      </c>
      <c r="R75" s="2585" t="s">
        <v>2456</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0" t="s">
        <v>2701</v>
      </c>
      <c r="C79" s="650">
        <f ca="1">1-C80</f>
        <v>0.85</v>
      </c>
    </row>
    <row r="80" spans="1:18">
      <c r="B80" s="2870" t="s">
        <v>2700</v>
      </c>
      <c r="C80" s="650">
        <f ca="1">ROUND(C75/C39,3)</f>
        <v>0.15</v>
      </c>
    </row>
    <row r="81" spans="2:3">
      <c r="B81" s="646" t="s">
        <v>387</v>
      </c>
      <c r="C81" s="647"/>
    </row>
    <row r="82" spans="2:3">
      <c r="B82" s="2869" t="s">
        <v>2699</v>
      </c>
      <c r="C82" s="651">
        <f ca="1">1-C83</f>
        <v>0.90700000000000003</v>
      </c>
    </row>
    <row r="83" spans="2:3">
      <c r="B83" s="2869" t="s">
        <v>2698</v>
      </c>
      <c r="C83" s="650">
        <f ca="1">ROUND(C13/C40,3)</f>
        <v>9.2999999999999999E-2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3086</v>
      </c>
      <c r="D1" s="1274"/>
      <c r="E1" s="2582" t="s">
        <v>538</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1098</v>
      </c>
      <c r="D2" s="1276"/>
      <c r="E2" s="2572"/>
      <c r="F2" s="1277"/>
      <c r="G2" s="2285"/>
      <c r="H2" s="1275"/>
      <c r="I2" s="1275"/>
      <c r="J2" s="1275"/>
      <c r="K2" s="1299"/>
      <c r="L2" s="1275"/>
      <c r="M2" s="1275"/>
    </row>
    <row r="3" spans="1:37" ht="18" customHeight="1" thickBot="1">
      <c r="A3" s="675" t="s">
        <v>346</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t="e">
        <f ca="1">C6+C10+C12</f>
        <v>#N/A</v>
      </c>
      <c r="D5" s="2633" t="s">
        <v>2535</v>
      </c>
      <c r="E5" s="2624"/>
      <c r="F5" s="2625"/>
      <c r="G5" s="2286"/>
      <c r="H5" s="681">
        <v>1</v>
      </c>
      <c r="I5" s="682" t="s">
        <v>2332</v>
      </c>
      <c r="J5" s="2623" t="e">
        <f ca="1">J6+J10+J12</f>
        <v>#N/A</v>
      </c>
      <c r="K5" s="2626" t="s">
        <v>2535</v>
      </c>
      <c r="L5" s="2624"/>
      <c r="M5" s="2625"/>
    </row>
    <row r="6" spans="1:37" ht="18" customHeight="1">
      <c r="A6" s="2619" t="s">
        <v>2373</v>
      </c>
      <c r="B6" s="3634" t="s">
        <v>2534</v>
      </c>
      <c r="C6" s="2628" t="e">
        <f ca="1">ROUND(F6*F8*F7*(1-F9)/10000,0)</f>
        <v>#N/A</v>
      </c>
      <c r="D6" s="2622" t="s">
        <v>2536</v>
      </c>
      <c r="E6" s="684" t="s">
        <v>917</v>
      </c>
      <c r="F6" s="685" t="e">
        <f ca="1">INDIRECT("'数据-取费表'!u"&amp;$G$1)</f>
        <v>#N/A</v>
      </c>
      <c r="G6" s="2286"/>
      <c r="H6" s="2619" t="s">
        <v>2373</v>
      </c>
      <c r="I6" s="3634" t="s">
        <v>2534</v>
      </c>
      <c r="J6" s="683" t="e">
        <f ca="1">ROUND(M6*M8*M7*(1-M9)/10000,0)</f>
        <v>#N/A</v>
      </c>
      <c r="K6" s="2622" t="s">
        <v>2536</v>
      </c>
      <c r="L6" s="684" t="s">
        <v>917</v>
      </c>
      <c r="M6" s="685" t="e">
        <f ca="1">INDIRECT("'数据-取费表'!z"&amp;$G$1)</f>
        <v>#N/A</v>
      </c>
    </row>
    <row r="7" spans="1:37" ht="18" customHeight="1">
      <c r="A7" s="2627"/>
      <c r="B7" s="3635"/>
      <c r="C7" s="2629"/>
      <c r="D7" s="2059"/>
      <c r="E7" s="2630" t="s">
        <v>918</v>
      </c>
      <c r="F7" s="685" t="e">
        <f ca="1">IF(INDIRECT("'数据-取费表'!ah"&amp;$G$1)="",INDIRECT("'数据-取费表'!k"&amp;$G$1),INDIRECT("'数据-取费表'!ah"&amp;$G$1))</f>
        <v>#N/A</v>
      </c>
      <c r="G7" s="2286"/>
      <c r="H7" s="686"/>
      <c r="I7" s="3635"/>
      <c r="J7" s="688"/>
      <c r="K7" s="689"/>
      <c r="L7" s="684" t="s">
        <v>918</v>
      </c>
      <c r="M7" s="685" t="e">
        <f ca="1">F7</f>
        <v>#N/A</v>
      </c>
    </row>
    <row r="8" spans="1:37" ht="18" customHeight="1">
      <c r="A8" s="686"/>
      <c r="B8" s="3635"/>
      <c r="C8" s="688"/>
      <c r="D8" s="689"/>
      <c r="E8" s="684" t="s">
        <v>919</v>
      </c>
      <c r="F8" s="685" t="e">
        <f ca="1">INDIRECT("'数据-取费表'!ai"&amp;$G$1)</f>
        <v>#N/A</v>
      </c>
      <c r="G8" s="2286"/>
      <c r="H8" s="686"/>
      <c r="I8" s="3635"/>
      <c r="J8" s="688"/>
      <c r="K8" s="689"/>
      <c r="L8" s="684" t="s">
        <v>919</v>
      </c>
      <c r="M8" s="685" t="e">
        <f ca="1">INDIRECT("'数据-取费表'!ai"&amp;$G$1)</f>
        <v>#N/A</v>
      </c>
    </row>
    <row r="9" spans="1:37" ht="18" customHeight="1">
      <c r="A9" s="686"/>
      <c r="B9" s="3636"/>
      <c r="C9" s="688"/>
      <c r="D9" s="689"/>
      <c r="E9" s="684" t="s">
        <v>920</v>
      </c>
      <c r="F9" s="694" t="e">
        <f ca="1">INDIRECT("'数据-取费表'!w"&amp;$G$1)</f>
        <v>#N/A</v>
      </c>
      <c r="G9" s="2286"/>
      <c r="H9" s="686"/>
      <c r="I9" s="3636"/>
      <c r="J9" s="688"/>
      <c r="K9" s="689"/>
      <c r="L9" s="695" t="s">
        <v>920</v>
      </c>
      <c r="M9" s="696" t="e">
        <f ca="1">INDIRECT("'数据-取费表'!ab"&amp;$G$1)</f>
        <v>#N/A</v>
      </c>
    </row>
    <row r="10" spans="1:37" ht="18" customHeight="1">
      <c r="A10" s="2619" t="s">
        <v>2380</v>
      </c>
      <c r="B10" s="2620" t="s">
        <v>2529</v>
      </c>
      <c r="C10" s="698" t="e">
        <f ca="1">ROUND(IF(F10="押一",F6*F8*F7/12*F11,IF(F10="押二",F6*F8*F7/12*2*F11,IF(F10="押三",F6*F8*F7/12*3*F11,C11*F11)))/10000,0)</f>
        <v>#N/A</v>
      </c>
      <c r="D10" s="2631" t="s">
        <v>2537</v>
      </c>
      <c r="E10" s="2095" t="s">
        <v>2531</v>
      </c>
      <c r="F10" s="2825" t="s">
        <v>3093</v>
      </c>
      <c r="G10" s="2286"/>
      <c r="H10" s="2619" t="s">
        <v>2380</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3358" t="s">
        <v>924</v>
      </c>
      <c r="E14" s="3357"/>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365</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365</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365</v>
      </c>
      <c r="F18" s="707">
        <f>'数据-取费表'!B36</f>
        <v>1.4999999999999999E-2</v>
      </c>
      <c r="G18" s="2287"/>
      <c r="H18" s="2436" t="s">
        <v>2370</v>
      </c>
      <c r="I18" s="684" t="s">
        <v>934</v>
      </c>
      <c r="J18" s="313" t="e">
        <f ca="1">ROUND(J5*M18/(1+'数据-取费表'!C42),2)</f>
        <v>#N/A</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t="e">
        <f ca="1">SUM(C14:C18)</f>
        <v>#N/A</v>
      </c>
      <c r="D19" s="471" t="s">
        <v>936</v>
      </c>
      <c r="E19" s="3366"/>
      <c r="F19" s="315"/>
      <c r="G19" s="2286"/>
      <c r="H19" s="2436" t="s">
        <v>2606</v>
      </c>
      <c r="I19" s="684" t="s">
        <v>937</v>
      </c>
      <c r="J19" s="313" t="e">
        <f ca="1">IF(K19="按租金收入计税",ROUND(J5*M19,2),ROUND(C29*M19*0.7,2))</f>
        <v>#N/A</v>
      </c>
      <c r="K19" s="1301" t="s">
        <v>2413</v>
      </c>
      <c r="L19" s="684" t="s">
        <v>365</v>
      </c>
      <c r="M19" s="707">
        <f>IF(K19="按租金收入计税",'数据-取费表'!B51,'数据-取费表'!B50)</f>
        <v>1.2E-2</v>
      </c>
    </row>
    <row r="20" spans="1:37" s="706" customFormat="1" ht="18" customHeight="1">
      <c r="A20" s="2436" t="s">
        <v>2610</v>
      </c>
      <c r="B20" s="684" t="s">
        <v>367</v>
      </c>
      <c r="C20" s="313" t="e">
        <f ca="1">ROUND(C19*F20,0)</f>
        <v>#N/A</v>
      </c>
      <c r="D20" s="709" t="s">
        <v>938</v>
      </c>
      <c r="E20" s="684" t="s">
        <v>365</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t="e">
        <f ca="1">ROUND(J14*M22,1)</f>
        <v>#N/A</v>
      </c>
      <c r="K22" s="3359" t="s">
        <v>948</v>
      </c>
      <c r="L22" s="684" t="s">
        <v>365</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335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371</v>
      </c>
      <c r="L24" s="2676" t="s">
        <v>365</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t="e">
        <f ca="1">J5-J16</f>
        <v>#N/A</v>
      </c>
      <c r="K25" s="2681" t="s">
        <v>378</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373</v>
      </c>
      <c r="L26" s="684" t="s">
        <v>374</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381</v>
      </c>
      <c r="M27" s="719" t="e">
        <f ca="1">INDIRECT("'数据-取费表'!ag"&amp;$G$1)</f>
        <v>#N/A</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2373</v>
      </c>
      <c r="B31" s="684" t="s">
        <v>363</v>
      </c>
      <c r="C31" s="313" t="e">
        <f ca="1">ROUND(IF(项目基本情况!B11="自然人",C5*F31,C32+C33+C34),1)</f>
        <v>#N/A</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t="e">
        <f ca="1">IF(项目基本情况!B11="自然人","——",ROUND(C5*F32/(1+'数据-取费表'!C42),2))</f>
        <v>#N/A</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t="e">
        <f ca="1">IF(项目基本情况!B11="自然人","——",ROUND(F34*F35/10000,2))</f>
        <v>#N/A</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3359" t="s">
        <v>977</v>
      </c>
      <c r="E36" s="684" t="s">
        <v>365</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3359" t="s">
        <v>369</v>
      </c>
      <c r="E37" s="684" t="s">
        <v>365</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365</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3365" t="e">
        <f ca="1">C49+C53+C55</f>
        <v>#N/A</v>
      </c>
      <c r="D48" s="2712"/>
      <c r="E48" s="2713"/>
      <c r="F48" s="2416"/>
      <c r="G48" s="1457"/>
      <c r="H48" s="1458"/>
      <c r="I48" s="2541" t="s">
        <v>2415</v>
      </c>
      <c r="J48" s="2552" t="s">
        <v>2416</v>
      </c>
      <c r="K48" s="2562" t="s">
        <v>681</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918</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919</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8"/>
      <c r="O53" s="2584" t="s">
        <v>2455</v>
      </c>
      <c r="P53" s="2594" t="s">
        <v>2473</v>
      </c>
      <c r="Q53" s="2585" t="e">
        <f ca="1">Q47+Q48</f>
        <v>#N/A</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921</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970</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928</v>
      </c>
      <c r="C58" s="698" t="e">
        <f ca="1">ROUND(C59+C64+C65+C66,0)</f>
        <v>#N/A</v>
      </c>
      <c r="D58" s="2414" t="s">
        <v>929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932</v>
      </c>
      <c r="E59" s="2418" t="s">
        <v>933</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t="e">
        <f ca="1">IF(项目基本情况!B11="自然人","——",ROUND(C48*F60/(1+'数据-取费表'!C42),2))</f>
        <v>#N/A</v>
      </c>
      <c r="D60" s="2418" t="s">
        <v>935</v>
      </c>
      <c r="E60" s="2400" t="s">
        <v>365</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937</v>
      </c>
      <c r="C61" s="313" t="e">
        <f ca="1">IF(项目基本情况!B11="自然人","——",IF(D61="按租金收入计税",ROUND(C48*F61,2),IF(D61="按房产原值计税",ROUND(C57*F61*0.7,2),INDIRECT("'数据-取费表'!Aj"&amp;$G$1))))</f>
        <v>#N/A</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t="e">
        <f ca="1">IF(项目基本情况!B11="自然人","——",ROUND(F62*F63/10000,2))</f>
        <v>#N/A</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945</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t="e">
        <f ca="1">ROUND(C57*F64,1)</f>
        <v>#N/A</v>
      </c>
      <c r="D64" s="2418" t="s">
        <v>977</v>
      </c>
      <c r="E64" s="2400" t="s">
        <v>365</v>
      </c>
      <c r="F64" s="714" t="e">
        <f t="shared" ca="1" si="0"/>
        <v>#N/A</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369</v>
      </c>
      <c r="E65" s="2400" t="s">
        <v>365</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371</v>
      </c>
      <c r="E66" s="2400" t="s">
        <v>365</v>
      </c>
      <c r="F66" s="694" t="e">
        <f t="shared" ca="1" si="0"/>
        <v>#N/A</v>
      </c>
      <c r="O66" s="2584" t="s">
        <v>2450</v>
      </c>
      <c r="P66" s="2594" t="s">
        <v>2474</v>
      </c>
      <c r="Q66" s="2585" t="e">
        <f ca="1">L60</f>
        <v>#N/A</v>
      </c>
      <c r="R66" s="2585" t="s">
        <v>2457</v>
      </c>
    </row>
    <row r="67" spans="1:18" s="1455" customFormat="1" ht="23.25" thickBot="1">
      <c r="A67" s="2407" t="s">
        <v>2353</v>
      </c>
      <c r="B67" s="2421" t="s">
        <v>377</v>
      </c>
      <c r="C67" s="698" t="e">
        <f ca="1">C48-C58</f>
        <v>#N/A</v>
      </c>
      <c r="D67" s="2417" t="s">
        <v>378</v>
      </c>
      <c r="E67" s="2422"/>
      <c r="F67" s="2423"/>
      <c r="O67" s="2586" t="s">
        <v>2451</v>
      </c>
      <c r="P67" s="2594" t="s">
        <v>2481</v>
      </c>
      <c r="Q67" s="2589" t="e">
        <f ca="1">L51</f>
        <v>#N/A</v>
      </c>
      <c r="R67" s="2590" t="s">
        <v>2491</v>
      </c>
    </row>
    <row r="68" spans="1:18" s="1455" customFormat="1" ht="20.25" thickBot="1">
      <c r="A68" s="2397" t="s">
        <v>2356</v>
      </c>
      <c r="B68" s="2398" t="s">
        <v>379</v>
      </c>
      <c r="C68" s="683" t="e">
        <f ca="1">ROUND(C67*(1-((1+F70)/(1+F68))^F69)/(F68-F70),0)</f>
        <v>#N/A</v>
      </c>
      <c r="D68" s="2419" t="s">
        <v>373</v>
      </c>
      <c r="E68" s="2400" t="s">
        <v>374</v>
      </c>
      <c r="F68" s="694" t="e">
        <f ca="1">F40</f>
        <v>#N/A</v>
      </c>
      <c r="O68" s="2586" t="s">
        <v>2452</v>
      </c>
      <c r="P68" s="2595" t="s">
        <v>2485</v>
      </c>
      <c r="Q68" s="2585" t="e">
        <f ca="1">ROUND(Q69-Q70*Q71,0)</f>
        <v>#N/A</v>
      </c>
      <c r="R68" s="2585" t="s">
        <v>2490</v>
      </c>
    </row>
    <row r="69" spans="1:18" s="1455" customFormat="1" ht="15.75" thickBot="1">
      <c r="A69" s="2401"/>
      <c r="B69" s="2402"/>
      <c r="C69" s="688"/>
      <c r="D69" s="2424" t="s">
        <v>962</v>
      </c>
      <c r="E69" s="2400" t="s">
        <v>381</v>
      </c>
      <c r="F69" s="719" t="e">
        <f ca="1">F41</f>
        <v>#N/A</v>
      </c>
      <c r="O69" s="2586" t="s">
        <v>2460</v>
      </c>
      <c r="P69" s="2595" t="s">
        <v>2475</v>
      </c>
      <c r="Q69" s="2585" t="e">
        <f ca="1">C39</f>
        <v>#N/A</v>
      </c>
      <c r="R69" s="2585" t="s">
        <v>2468</v>
      </c>
    </row>
    <row r="70" spans="1:18" s="1455" customFormat="1" ht="15.75" thickBot="1">
      <c r="A70" s="2404"/>
      <c r="B70" s="2405"/>
      <c r="C70" s="692"/>
      <c r="D70" s="2420"/>
      <c r="E70" s="2400" t="s">
        <v>382</v>
      </c>
      <c r="F70" s="2529"/>
      <c r="O70" s="2586" t="s">
        <v>2461</v>
      </c>
      <c r="P70" s="2595" t="s">
        <v>2476</v>
      </c>
      <c r="Q70" s="2585" t="e">
        <f ca="1">C13</f>
        <v>#N/A</v>
      </c>
      <c r="R70" s="2585" t="s">
        <v>2468</v>
      </c>
    </row>
    <row r="71" spans="1:18" s="1455" customFormat="1" ht="15.75" thickBot="1">
      <c r="A71" s="2425" t="s">
        <v>2363</v>
      </c>
      <c r="B71" s="2426" t="s">
        <v>383</v>
      </c>
      <c r="C71" s="722" t="e">
        <f ca="1">ROUND(C68*10000/F71,0)</f>
        <v>#N/A</v>
      </c>
      <c r="D71" s="2427" t="s">
        <v>384</v>
      </c>
      <c r="E71" s="2428" t="s">
        <v>385</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3085</v>
      </c>
      <c r="D1" s="1274"/>
      <c r="E1" s="2582" t="s">
        <v>2443</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#N/A</v>
      </c>
      <c r="C2" s="1300" t="s">
        <v>1098</v>
      </c>
      <c r="D2" s="1276"/>
      <c r="E2" s="2572"/>
      <c r="F2" s="1277"/>
      <c r="G2" s="2285"/>
      <c r="H2" s="1275"/>
      <c r="I2" s="1275"/>
      <c r="J2" s="1275"/>
      <c r="K2" s="1299"/>
      <c r="L2" s="1275"/>
      <c r="M2" s="1275"/>
    </row>
    <row r="3" spans="1:37" ht="18" customHeight="1" thickBot="1">
      <c r="A3" s="675" t="s">
        <v>821</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2533</v>
      </c>
      <c r="C5" s="2623" t="e">
        <f ca="1">C6+C10+C12</f>
        <v>#N/A</v>
      </c>
      <c r="D5" s="2633" t="s">
        <v>2535</v>
      </c>
      <c r="E5" s="2624"/>
      <c r="F5" s="2625"/>
      <c r="G5" s="2286"/>
      <c r="H5" s="681">
        <v>1</v>
      </c>
      <c r="I5" s="682" t="s">
        <v>2533</v>
      </c>
      <c r="J5" s="2623" t="e">
        <f ca="1">J6+J10+J12</f>
        <v>#N/A</v>
      </c>
      <c r="K5" s="2626" t="s">
        <v>2535</v>
      </c>
      <c r="L5" s="2624"/>
      <c r="M5" s="2625"/>
    </row>
    <row r="6" spans="1:37" ht="18" customHeight="1">
      <c r="A6" s="2619" t="s">
        <v>2540</v>
      </c>
      <c r="B6" s="3634" t="s">
        <v>2534</v>
      </c>
      <c r="C6" s="2628" t="e">
        <f ca="1">ROUND(F6*F8*F7*(1-F9)/10000,0)</f>
        <v>#N/A</v>
      </c>
      <c r="D6" s="2622" t="s">
        <v>2536</v>
      </c>
      <c r="E6" s="684" t="s">
        <v>917</v>
      </c>
      <c r="F6" s="685" t="e">
        <f ca="1">INDIRECT("'数据-取费表'!u"&amp;$G$1)</f>
        <v>#N/A</v>
      </c>
      <c r="G6" s="2286"/>
      <c r="H6" s="2619" t="s">
        <v>2543</v>
      </c>
      <c r="I6" s="3634" t="s">
        <v>2534</v>
      </c>
      <c r="J6" s="683" t="e">
        <f ca="1">ROUND(M6*M8*M7*(1-M9)/10000,0)</f>
        <v>#N/A</v>
      </c>
      <c r="K6" s="2622" t="s">
        <v>2536</v>
      </c>
      <c r="L6" s="684" t="s">
        <v>917</v>
      </c>
      <c r="M6" s="685" t="e">
        <f ca="1">INDIRECT("'数据-取费表'!z"&amp;$G$1)</f>
        <v>#N/A</v>
      </c>
    </row>
    <row r="7" spans="1:37" ht="18" customHeight="1">
      <c r="A7" s="2627"/>
      <c r="B7" s="3635"/>
      <c r="C7" s="2629"/>
      <c r="D7" s="2059"/>
      <c r="E7" s="2630" t="s">
        <v>918</v>
      </c>
      <c r="F7" s="685" t="e">
        <f ca="1">IF(INDIRECT("'数据-取费表'!ah"&amp;$G$1)="",INDIRECT("'数据-取费表'!k"&amp;$G$1),INDIRECT("'数据-取费表'!ah"&amp;$G$1))</f>
        <v>#N/A</v>
      </c>
      <c r="G7" s="2286"/>
      <c r="H7" s="686"/>
      <c r="I7" s="3635"/>
      <c r="J7" s="688"/>
      <c r="K7" s="689"/>
      <c r="L7" s="684" t="s">
        <v>918</v>
      </c>
      <c r="M7" s="685" t="e">
        <f ca="1">F7</f>
        <v>#N/A</v>
      </c>
    </row>
    <row r="8" spans="1:37" ht="18" customHeight="1">
      <c r="A8" s="686"/>
      <c r="B8" s="3635"/>
      <c r="C8" s="688"/>
      <c r="D8" s="689"/>
      <c r="E8" s="684" t="s">
        <v>919</v>
      </c>
      <c r="F8" s="685" t="e">
        <f ca="1">INDIRECT("'数据-取费表'!ai"&amp;$G$1)</f>
        <v>#N/A</v>
      </c>
      <c r="G8" s="2286"/>
      <c r="H8" s="686"/>
      <c r="I8" s="3635"/>
      <c r="J8" s="688"/>
      <c r="K8" s="689"/>
      <c r="L8" s="684" t="s">
        <v>919</v>
      </c>
      <c r="M8" s="685" t="e">
        <f ca="1">INDIRECT("'数据-取费表'!ai"&amp;$G$1)</f>
        <v>#N/A</v>
      </c>
    </row>
    <row r="9" spans="1:37" ht="18" customHeight="1">
      <c r="A9" s="686"/>
      <c r="B9" s="3636"/>
      <c r="C9" s="688"/>
      <c r="D9" s="689"/>
      <c r="E9" s="684" t="s">
        <v>920</v>
      </c>
      <c r="F9" s="694" t="e">
        <f ca="1">INDIRECT("'数据-取费表'!w"&amp;$G$1)</f>
        <v>#N/A</v>
      </c>
      <c r="G9" s="2286"/>
      <c r="H9" s="686"/>
      <c r="I9" s="3636"/>
      <c r="J9" s="688"/>
      <c r="K9" s="689"/>
      <c r="L9" s="695" t="s">
        <v>920</v>
      </c>
      <c r="M9" s="696" t="e">
        <f ca="1">INDIRECT("'数据-取费表'!ab"&amp;$G$1)</f>
        <v>#N/A</v>
      </c>
    </row>
    <row r="10" spans="1:37" ht="18" customHeight="1">
      <c r="A10" s="2619" t="s">
        <v>2541</v>
      </c>
      <c r="B10" s="2620" t="s">
        <v>2529</v>
      </c>
      <c r="C10" s="698" t="e">
        <f ca="1">ROUND(IF(F10="押一",F6*F8*F7/12*F11,IF(F10="押二",F6*F8*F7/12*2*F11,IF(F10="押三",F6*F8*F7/12*3*F11,C11*F11)))/10000,0)</f>
        <v>#N/A</v>
      </c>
      <c r="D10" s="2631" t="s">
        <v>2537</v>
      </c>
      <c r="E10" s="2095" t="s">
        <v>2531</v>
      </c>
      <c r="F10" s="2825" t="s">
        <v>3093</v>
      </c>
      <c r="G10" s="2286"/>
      <c r="H10" s="2619" t="s">
        <v>2544</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2545</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2213" t="s">
        <v>924</v>
      </c>
      <c r="E14" s="2212"/>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927</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927</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2213" t="s">
        <v>932</v>
      </c>
      <c r="L17" s="221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927</v>
      </c>
      <c r="F18" s="707">
        <f>'数据-取费表'!B36</f>
        <v>1.4999999999999999E-2</v>
      </c>
      <c r="G18" s="2287"/>
      <c r="H18" s="2436" t="s">
        <v>2370</v>
      </c>
      <c r="I18" s="684" t="s">
        <v>934</v>
      </c>
      <c r="J18" s="313" t="e">
        <f ca="1">ROUND(J5*M18/(1+'数据-取费表'!C42),2)</f>
        <v>#N/A</v>
      </c>
      <c r="K18" s="2211"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2540</v>
      </c>
      <c r="B19" s="684" t="s">
        <v>366</v>
      </c>
      <c r="C19" s="313" t="e">
        <f ca="1">SUM(C14:C18)</f>
        <v>#N/A</v>
      </c>
      <c r="D19" s="471" t="s">
        <v>936</v>
      </c>
      <c r="E19" s="2221"/>
      <c r="F19" s="315"/>
      <c r="G19" s="2286"/>
      <c r="H19" s="2436" t="s">
        <v>2606</v>
      </c>
      <c r="I19" s="684" t="s">
        <v>937</v>
      </c>
      <c r="J19" s="313" t="e">
        <f ca="1">IF(K19="按租金收入计税",ROUND(J5*M19,2),ROUND(C29*M19*0.7,2))</f>
        <v>#N/A</v>
      </c>
      <c r="K19" s="1301" t="s">
        <v>2413</v>
      </c>
      <c r="L19" s="684" t="s">
        <v>927</v>
      </c>
      <c r="M19" s="707">
        <f>IF(K19="按租金收入计税",'数据-取费表'!B51,'数据-取费表'!B50)</f>
        <v>1.2E-2</v>
      </c>
    </row>
    <row r="20" spans="1:37" s="706" customFormat="1" ht="18" customHeight="1">
      <c r="A20" s="2436" t="s">
        <v>2610</v>
      </c>
      <c r="B20" s="684" t="s">
        <v>367</v>
      </c>
      <c r="C20" s="313" t="e">
        <f ca="1">ROUND(C19*F20,0)</f>
        <v>#N/A</v>
      </c>
      <c r="D20" s="709" t="s">
        <v>938</v>
      </c>
      <c r="E20" s="684" t="s">
        <v>927</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71</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221"/>
      <c r="F22" s="315"/>
      <c r="G22" s="2286"/>
      <c r="H22" s="2436" t="s">
        <v>2380</v>
      </c>
      <c r="I22" s="684" t="s">
        <v>947</v>
      </c>
      <c r="J22" s="313" t="e">
        <f ca="1">ROUND(J14*M22,1)</f>
        <v>#N/A</v>
      </c>
      <c r="K22" s="2211" t="s">
        <v>948</v>
      </c>
      <c r="L22" s="684" t="s">
        <v>927</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2211" t="s">
        <v>950</v>
      </c>
      <c r="L23" s="684" t="s">
        <v>927</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953</v>
      </c>
      <c r="L24" s="2676" t="s">
        <v>927</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221"/>
      <c r="F25" s="315"/>
      <c r="G25" s="2286"/>
      <c r="H25" s="2663" t="s">
        <v>2353</v>
      </c>
      <c r="I25" s="2680" t="s">
        <v>955</v>
      </c>
      <c r="J25" s="692" t="e">
        <f ca="1">J5-J16</f>
        <v>#N/A</v>
      </c>
      <c r="K25" s="2681" t="s">
        <v>956</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960</v>
      </c>
      <c r="L26" s="684" t="s">
        <v>966</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967</v>
      </c>
      <c r="M27" s="719" t="e">
        <f ca="1">INDIRECT("'数据-取费表'!ag"&amp;$G$1)</f>
        <v>#N/A</v>
      </c>
    </row>
    <row r="28" spans="1:37" s="706" customFormat="1" ht="18" customHeight="1">
      <c r="A28" s="2436" t="s">
        <v>2378</v>
      </c>
      <c r="B28" s="684" t="s">
        <v>376</v>
      </c>
      <c r="C28" s="313">
        <f>ROUND(F28/(1+'数据-取费表'!C42),4)</f>
        <v>5.33E-2</v>
      </c>
      <c r="D28" s="709" t="s">
        <v>968</v>
      </c>
      <c r="E28" s="684" t="s">
        <v>927</v>
      </c>
      <c r="F28" s="707">
        <f>'数据-取费表'!B41</f>
        <v>5.6000000000000001E-2</v>
      </c>
      <c r="G28" s="2287"/>
      <c r="H28" s="690"/>
      <c r="I28" s="691"/>
      <c r="J28" s="692"/>
      <c r="K28" s="713"/>
      <c r="L28" s="684" t="s">
        <v>969</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2540</v>
      </c>
      <c r="B31" s="684" t="s">
        <v>363</v>
      </c>
      <c r="C31" s="313" t="e">
        <f ca="1">ROUND(IF(项目基本情况!B11="自然人",C5*F31,C32+C33+C34),1)</f>
        <v>#N/A</v>
      </c>
      <c r="D31" s="2213" t="s">
        <v>932</v>
      </c>
      <c r="E31" s="2211"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2605</v>
      </c>
      <c r="B32" s="684" t="s">
        <v>934</v>
      </c>
      <c r="C32" s="313" t="e">
        <f ca="1">IF(项目基本情况!B11="自然人","——",ROUND(C5*F32/(1+'数据-取费表'!C42),2))</f>
        <v>#N/A</v>
      </c>
      <c r="D32" s="2211" t="s">
        <v>935</v>
      </c>
      <c r="E32" s="684" t="s">
        <v>927</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972</v>
      </c>
      <c r="C34" s="314" t="e">
        <f ca="1">IF(项目基本情况!B11="自然人","——",ROUND(F34*F35/10000,2))</f>
        <v>#N/A</v>
      </c>
      <c r="D34" s="710" t="s">
        <v>973</v>
      </c>
      <c r="E34" s="684" t="s">
        <v>974</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2211" t="s">
        <v>977</v>
      </c>
      <c r="E36" s="684" t="s">
        <v>978</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2211" t="s">
        <v>369</v>
      </c>
      <c r="E37" s="684" t="s">
        <v>370</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370</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2327</v>
      </c>
      <c r="B47" s="2432" t="s">
        <v>2328</v>
      </c>
      <c r="C47" s="2727" t="s">
        <v>2329</v>
      </c>
      <c r="D47" s="2432" t="s">
        <v>2330</v>
      </c>
      <c r="E47" s="2534" t="s">
        <v>2331</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2718" t="e">
        <f ca="1">C49+C53+C55</f>
        <v>#N/A</v>
      </c>
      <c r="D48" s="2712"/>
      <c r="E48" s="2713"/>
      <c r="F48" s="2416"/>
      <c r="G48" s="1457"/>
      <c r="H48" s="1458"/>
      <c r="I48" s="2541" t="s">
        <v>2415</v>
      </c>
      <c r="J48" s="2552" t="s">
        <v>2416</v>
      </c>
      <c r="K48" s="2562" t="s">
        <v>2438</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2334</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2335</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2336</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8"/>
      <c r="O53" s="2584" t="s">
        <v>2455</v>
      </c>
      <c r="P53" s="2594" t="s">
        <v>2473</v>
      </c>
      <c r="Q53" s="2585" t="e">
        <f ca="1">Q47+Q48</f>
        <v>#N/A</v>
      </c>
      <c r="R53" s="2585" t="s">
        <v>2456</v>
      </c>
    </row>
    <row r="54" spans="1:18" s="1455" customFormat="1" ht="16.5" thickBot="1">
      <c r="A54" s="2824"/>
      <c r="B54" s="2621" t="s">
        <v>2696</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07"/>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2337</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2367</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2368</v>
      </c>
      <c r="C58" s="698" t="e">
        <f ca="1">ROUND(C59+C64+C65+C66,0)</f>
        <v>#N/A</v>
      </c>
      <c r="D58" s="2414" t="s">
        <v>2369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2339</v>
      </c>
      <c r="E59" s="2418" t="s">
        <v>2340</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2341</v>
      </c>
      <c r="C60" s="313" t="e">
        <f ca="1">IF(项目基本情况!B11="自然人","——",ROUND(C48*F60/(1+'数据-取费表'!C42),2))</f>
        <v>#N/A</v>
      </c>
      <c r="D60" s="2418" t="s">
        <v>2342</v>
      </c>
      <c r="E60" s="2400" t="s">
        <v>2343</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2344</v>
      </c>
      <c r="C61" s="313" t="e">
        <f ca="1">IF(项目基本情况!B11="自然人","——",IF(D61="按租金收入计税",ROUND(C48*F61,2),IF(D61="按房产原值计税",ROUND(C57*F61*0.7,2),INDIRECT("'数据-取费表'!Aj"&amp;$G$1))))</f>
        <v>#N/A</v>
      </c>
      <c r="D61" s="1301" t="s">
        <v>2413</v>
      </c>
      <c r="E61" s="2400" t="s">
        <v>2343</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2345</v>
      </c>
      <c r="C62" s="314" t="e">
        <f ca="1">IF(项目基本情况!B11="自然人","——",ROUND(F62*F63/10000,2))</f>
        <v>#N/A</v>
      </c>
      <c r="D62" s="2419" t="s">
        <v>2346</v>
      </c>
      <c r="E62" s="2400" t="s">
        <v>2347</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2348</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2349</v>
      </c>
      <c r="C64" s="313" t="e">
        <f ca="1">ROUND(C57*F64,1)</f>
        <v>#N/A</v>
      </c>
      <c r="D64" s="2418" t="s">
        <v>2350</v>
      </c>
      <c r="E64" s="2400" t="s">
        <v>2343</v>
      </c>
      <c r="F64" s="714" t="e">
        <f t="shared" ca="1" si="0"/>
        <v>#N/A</v>
      </c>
      <c r="I64" s="2544" t="s">
        <v>2433</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2351</v>
      </c>
      <c r="E65" s="2400" t="s">
        <v>2343</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2352</v>
      </c>
      <c r="E66" s="2400" t="s">
        <v>2343</v>
      </c>
      <c r="F66" s="694" t="e">
        <f t="shared" ca="1" si="0"/>
        <v>#N/A</v>
      </c>
      <c r="O66" s="2584" t="s">
        <v>2450</v>
      </c>
      <c r="P66" s="2594" t="s">
        <v>2474</v>
      </c>
      <c r="Q66" s="2585" t="e">
        <f ca="1">L60</f>
        <v>#N/A</v>
      </c>
      <c r="R66" s="2585" t="s">
        <v>2457</v>
      </c>
    </row>
    <row r="67" spans="1:18" s="1455" customFormat="1" ht="23.25" thickBot="1">
      <c r="A67" s="2407" t="s">
        <v>2353</v>
      </c>
      <c r="B67" s="2421" t="s">
        <v>2354</v>
      </c>
      <c r="C67" s="698" t="e">
        <f ca="1">C48-C58</f>
        <v>#N/A</v>
      </c>
      <c r="D67" s="2417" t="s">
        <v>2355</v>
      </c>
      <c r="E67" s="2422"/>
      <c r="F67" s="2423"/>
      <c r="O67" s="2586" t="s">
        <v>2451</v>
      </c>
      <c r="P67" s="2594" t="s">
        <v>2481</v>
      </c>
      <c r="Q67" s="2589" t="e">
        <f ca="1">L51</f>
        <v>#N/A</v>
      </c>
      <c r="R67" s="2590" t="s">
        <v>2491</v>
      </c>
    </row>
    <row r="68" spans="1:18" s="1455" customFormat="1" ht="20.25" thickBot="1">
      <c r="A68" s="2397" t="s">
        <v>2356</v>
      </c>
      <c r="B68" s="2398" t="s">
        <v>2357</v>
      </c>
      <c r="C68" s="683" t="e">
        <f ca="1">ROUND(C67*(1-((1+F70)/(1+F68))^F69)/(F68-F70),0)</f>
        <v>#N/A</v>
      </c>
      <c r="D68" s="2419" t="s">
        <v>2358</v>
      </c>
      <c r="E68" s="2400" t="s">
        <v>2359</v>
      </c>
      <c r="F68" s="694" t="e">
        <f ca="1">F40</f>
        <v>#N/A</v>
      </c>
      <c r="O68" s="2586" t="s">
        <v>2452</v>
      </c>
      <c r="P68" s="2595" t="s">
        <v>2485</v>
      </c>
      <c r="Q68" s="2585" t="e">
        <f ca="1">ROUND(Q69-Q70*Q71,0)</f>
        <v>#N/A</v>
      </c>
      <c r="R68" s="2585" t="s">
        <v>2490</v>
      </c>
    </row>
    <row r="69" spans="1:18" s="1455" customFormat="1" ht="15.75" thickBot="1">
      <c r="A69" s="2401"/>
      <c r="B69" s="2402"/>
      <c r="C69" s="688"/>
      <c r="D69" s="2424" t="s">
        <v>2360</v>
      </c>
      <c r="E69" s="2400" t="s">
        <v>2361</v>
      </c>
      <c r="F69" s="719" t="e">
        <f ca="1">F41</f>
        <v>#N/A</v>
      </c>
      <c r="O69" s="2586" t="s">
        <v>2460</v>
      </c>
      <c r="P69" s="2595" t="s">
        <v>2475</v>
      </c>
      <c r="Q69" s="2585" t="e">
        <f ca="1">C39</f>
        <v>#N/A</v>
      </c>
      <c r="R69" s="2585" t="s">
        <v>2468</v>
      </c>
    </row>
    <row r="70" spans="1:18" s="1455" customFormat="1" ht="15.75" thickBot="1">
      <c r="A70" s="2404"/>
      <c r="B70" s="2405"/>
      <c r="C70" s="692"/>
      <c r="D70" s="2420"/>
      <c r="E70" s="2400" t="s">
        <v>2362</v>
      </c>
      <c r="F70" s="2529"/>
      <c r="O70" s="2586" t="s">
        <v>2461</v>
      </c>
      <c r="P70" s="2595" t="s">
        <v>2476</v>
      </c>
      <c r="Q70" s="2585" t="e">
        <f ca="1">C13</f>
        <v>#N/A</v>
      </c>
      <c r="R70" s="2585" t="s">
        <v>2468</v>
      </c>
    </row>
    <row r="71" spans="1:18" s="1455" customFormat="1" ht="15.75" thickBot="1">
      <c r="A71" s="2425" t="s">
        <v>2363</v>
      </c>
      <c r="B71" s="2426" t="s">
        <v>2364</v>
      </c>
      <c r="C71" s="722" t="e">
        <f ca="1">ROUND(C68*10000/F71,0)</f>
        <v>#N/A</v>
      </c>
      <c r="D71" s="2427" t="s">
        <v>2365</v>
      </c>
      <c r="E71" s="2428" t="s">
        <v>2366</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2697</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c r="D1" s="1274"/>
      <c r="E1" s="2582" t="s">
        <v>538</v>
      </c>
      <c r="F1" s="2583">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1" t="e">
        <f ca="1">C40+J29+L46</f>
        <v>#DIV/0!</v>
      </c>
      <c r="E2" s="2572" t="s">
        <v>2621</v>
      </c>
      <c r="F2" s="1277"/>
      <c r="G2" s="2285"/>
      <c r="H2" s="1275"/>
      <c r="I2" s="1275"/>
      <c r="J2" s="1275"/>
      <c r="K2" s="1299"/>
      <c r="L2" s="1275"/>
      <c r="M2" s="1275"/>
    </row>
    <row r="3" spans="1:37" ht="18" customHeight="1" thickBot="1">
      <c r="A3" s="675" t="s">
        <v>346</v>
      </c>
      <c r="B3" s="1408">
        <f ca="1">IF(ISERROR(D2/F43),0,ROUND(D2/F43,0))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0</v>
      </c>
      <c r="D5" s="2633" t="s">
        <v>2535</v>
      </c>
      <c r="E5" s="2624"/>
      <c r="F5" s="2625"/>
      <c r="G5" s="2286"/>
      <c r="H5" s="681">
        <v>1</v>
      </c>
      <c r="I5" s="682" t="s">
        <v>2332</v>
      </c>
      <c r="J5" s="2623">
        <f ca="1">J6+J10+J12</f>
        <v>0</v>
      </c>
      <c r="K5" s="2626" t="s">
        <v>2535</v>
      </c>
      <c r="L5" s="2624"/>
      <c r="M5" s="2625"/>
    </row>
    <row r="6" spans="1:37" ht="18" customHeight="1">
      <c r="A6" s="2619" t="s">
        <v>2373</v>
      </c>
      <c r="B6" s="3634" t="s">
        <v>2534</v>
      </c>
      <c r="C6" s="2628">
        <f ca="1">ROUND(F6*F8*F7*(1-F9),0)</f>
        <v>0</v>
      </c>
      <c r="D6" s="2622" t="s">
        <v>2536</v>
      </c>
      <c r="E6" s="684" t="s">
        <v>917</v>
      </c>
      <c r="F6" s="685">
        <f ca="1">INDIRECT("'数据-取费表'!u"&amp;$G$1)</f>
        <v>0</v>
      </c>
      <c r="G6" s="2286"/>
      <c r="H6" s="2619" t="s">
        <v>2373</v>
      </c>
      <c r="I6" s="3634" t="s">
        <v>2534</v>
      </c>
      <c r="J6" s="683">
        <f ca="1">ROUND(M6*M8*M7*(1-M9),0)</f>
        <v>0</v>
      </c>
      <c r="K6" s="2622" t="s">
        <v>2536</v>
      </c>
      <c r="L6" s="684" t="s">
        <v>917</v>
      </c>
      <c r="M6" s="685">
        <f ca="1">INDIRECT("'数据-取费表'!z"&amp;$G$1)</f>
        <v>0</v>
      </c>
    </row>
    <row r="7" spans="1:37" ht="18" customHeight="1">
      <c r="A7" s="2627"/>
      <c r="B7" s="3635"/>
      <c r="C7" s="2629"/>
      <c r="D7" s="2059"/>
      <c r="E7" s="2630" t="s">
        <v>918</v>
      </c>
      <c r="F7" s="685">
        <f ca="1">IF(INDIRECT("'数据-取费表'!ah"&amp;$G$1)="",INDIRECT("'数据-取费表'!k"&amp;$G$1),INDIRECT("'数据-取费表'!ah"&amp;$G$1))</f>
        <v>0</v>
      </c>
      <c r="G7" s="2286"/>
      <c r="H7" s="686"/>
      <c r="I7" s="3635"/>
      <c r="J7" s="688"/>
      <c r="K7" s="689"/>
      <c r="L7" s="684" t="s">
        <v>918</v>
      </c>
      <c r="M7" s="685">
        <f ca="1">F7</f>
        <v>0</v>
      </c>
    </row>
    <row r="8" spans="1:37" ht="18" customHeight="1">
      <c r="A8" s="686"/>
      <c r="B8" s="3635"/>
      <c r="C8" s="688"/>
      <c r="D8" s="689"/>
      <c r="E8" s="684" t="s">
        <v>919</v>
      </c>
      <c r="F8" s="685">
        <f ca="1">INDIRECT("'数据-取费表'!ai"&amp;$G$1)</f>
        <v>0</v>
      </c>
      <c r="G8" s="2286"/>
      <c r="H8" s="686"/>
      <c r="I8" s="3635"/>
      <c r="J8" s="688"/>
      <c r="K8" s="689"/>
      <c r="L8" s="684" t="s">
        <v>919</v>
      </c>
      <c r="M8" s="685">
        <f ca="1">INDIRECT("'数据-取费表'!ai"&amp;$G$1)</f>
        <v>0</v>
      </c>
    </row>
    <row r="9" spans="1:37" ht="18" customHeight="1">
      <c r="A9" s="686"/>
      <c r="B9" s="3636"/>
      <c r="C9" s="688"/>
      <c r="D9" s="689"/>
      <c r="E9" s="684" t="s">
        <v>920</v>
      </c>
      <c r="F9" s="694">
        <f ca="1">INDIRECT("'数据-取费表'!w"&amp;$G$1)</f>
        <v>0</v>
      </c>
      <c r="G9" s="2286"/>
      <c r="H9" s="686"/>
      <c r="I9" s="3636"/>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ROUND(IF(F10="押一",F6*F8*F7/12*F11,IF(F10="押二",F6*F8*F7/12*2*F11,IF(F10="押三",F6*F8*F7/12*3*F11,C11*F11))),0)</f>
        <v>0</v>
      </c>
      <c r="D10" s="2631" t="s">
        <v>2537</v>
      </c>
      <c r="E10" s="2095" t="s">
        <v>2531</v>
      </c>
      <c r="F10" s="2825"/>
      <c r="G10" s="2286"/>
      <c r="H10" s="2619" t="s">
        <v>2380</v>
      </c>
      <c r="I10" s="2620" t="s">
        <v>2529</v>
      </c>
      <c r="J10" s="683">
        <f ca="1">ROUND(IF(M10="押一",M6*M8*M7/12*M11,IF(M10="押二",M6*M8*M7/12*2*M11,IF(M10="押三",M6*M8*M7/12*3*M11,J11*M11))),0)</f>
        <v>0</v>
      </c>
      <c r="K10" s="2631" t="s">
        <v>2537</v>
      </c>
      <c r="L10" s="2095" t="s">
        <v>2531</v>
      </c>
      <c r="M10" s="2825" t="s">
        <v>2693</v>
      </c>
    </row>
    <row r="11" spans="1:37" ht="18" customHeight="1">
      <c r="A11" s="690"/>
      <c r="B11" s="2621" t="s">
        <v>2539</v>
      </c>
      <c r="C11" s="2413"/>
      <c r="D11" s="689"/>
      <c r="E11" s="2095" t="s">
        <v>2532</v>
      </c>
      <c r="F11" s="696">
        <f ca="1">'数据-取费表'!B39</f>
        <v>1.4999999999999999E-2</v>
      </c>
      <c r="G11" s="2286"/>
      <c r="H11" s="2632"/>
      <c r="I11" s="2621" t="s">
        <v>2694</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0</v>
      </c>
      <c r="D13" s="2665" t="s">
        <v>922</v>
      </c>
      <c r="E13" s="2665" t="s">
        <v>923</v>
      </c>
      <c r="F13" s="2666">
        <f ca="1">INDIRECT("'数据-取费表'!y"&amp;$G$1)</f>
        <v>0</v>
      </c>
      <c r="G13" s="2286"/>
      <c r="H13" s="2663">
        <v>2</v>
      </c>
      <c r="I13" s="2664" t="s">
        <v>921</v>
      </c>
      <c r="J13" s="2618">
        <f ca="1">ROUND(J14*J15,0)</f>
        <v>0</v>
      </c>
      <c r="K13" s="2673" t="s">
        <v>922</v>
      </c>
      <c r="L13" s="2684"/>
      <c r="M13" s="2685"/>
    </row>
    <row r="14" spans="1:37" ht="18" customHeight="1">
      <c r="A14" s="2436" t="s">
        <v>2370</v>
      </c>
      <c r="B14" s="684" t="s">
        <v>359</v>
      </c>
      <c r="C14" s="702">
        <f ca="1">ROUND(INDIRECT("'数据-取费表'!l"&amp;$G$1)*F43+'数据-取费表'!L14*INDIRECT("'数据-取费表'!S"&amp;$G$1),0)</f>
        <v>0</v>
      </c>
      <c r="D14" s="2716" t="s">
        <v>924</v>
      </c>
      <c r="E14" s="2715"/>
      <c r="F14" s="703"/>
      <c r="G14" s="2286"/>
      <c r="H14" s="2436" t="s">
        <v>2373</v>
      </c>
      <c r="I14" s="684" t="s">
        <v>925</v>
      </c>
      <c r="J14" s="313">
        <f ca="1">C29</f>
        <v>0</v>
      </c>
      <c r="K14" s="303"/>
      <c r="L14" s="700"/>
      <c r="M14" s="701"/>
    </row>
    <row r="15" spans="1:37" s="706" customFormat="1" ht="18" customHeight="1" thickBot="1">
      <c r="A15" s="2436" t="s">
        <v>2606</v>
      </c>
      <c r="B15" s="684" t="s">
        <v>360</v>
      </c>
      <c r="C15" s="313">
        <f ca="1">ROUND(C14*F15,0)</f>
        <v>0</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ROUND(INDIRECT("'数据-取费表'!l"&amp;$G$1)*F43*F16,0)</f>
        <v>0</v>
      </c>
      <c r="D16" s="684" t="s">
        <v>926</v>
      </c>
      <c r="E16" s="684" t="s">
        <v>365</v>
      </c>
      <c r="F16" s="707">
        <f ca="1">IF(INDIRECT("'数据-取费表'!c"&amp;$G$1)="住宅",'数据-取费表'!B34,0)</f>
        <v>0</v>
      </c>
      <c r="G16" s="2286"/>
      <c r="H16" s="2663" t="s">
        <v>2338</v>
      </c>
      <c r="I16" s="2664" t="s">
        <v>928</v>
      </c>
      <c r="J16" s="692">
        <f ca="1">ROUND(J17+J22+J23+J24,0)</f>
        <v>0</v>
      </c>
      <c r="K16" s="2673" t="s">
        <v>929</v>
      </c>
      <c r="L16" s="2674"/>
      <c r="M16" s="2625"/>
    </row>
    <row r="17" spans="1:37" s="706" customFormat="1" ht="18" customHeight="1">
      <c r="A17" s="2436" t="s">
        <v>2608</v>
      </c>
      <c r="B17" s="684" t="s">
        <v>362</v>
      </c>
      <c r="C17" s="313">
        <f ca="1">ROUND(F17*(F43+INDIRECT("'数据-取费表'!S"&amp;$G$1)),0)</f>
        <v>0</v>
      </c>
      <c r="D17" s="684" t="s">
        <v>930</v>
      </c>
      <c r="E17" s="684" t="s">
        <v>931</v>
      </c>
      <c r="F17" s="315">
        <f>'数据-取费表'!B35</f>
        <v>200</v>
      </c>
      <c r="G17" s="2287"/>
      <c r="H17" s="2436" t="s">
        <v>2373</v>
      </c>
      <c r="I17" s="684" t="s">
        <v>363</v>
      </c>
      <c r="J17" s="313">
        <f ca="1">ROUND(IF(项目基本情况!B11="自然人",J5*M17,J18+J19+J20),0)</f>
        <v>0</v>
      </c>
      <c r="K17" s="2716" t="s">
        <v>932</v>
      </c>
      <c r="L17" s="2717"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0</v>
      </c>
      <c r="D18" s="684" t="s">
        <v>926</v>
      </c>
      <c r="E18" s="684" t="s">
        <v>365</v>
      </c>
      <c r="F18" s="707">
        <f>'数据-取费表'!B36</f>
        <v>1.4999999999999999E-2</v>
      </c>
      <c r="G18" s="2287"/>
      <c r="H18" s="2436" t="s">
        <v>2370</v>
      </c>
      <c r="I18" s="684" t="s">
        <v>934</v>
      </c>
      <c r="J18" s="313">
        <f ca="1">ROUND(J5*M18/(1+'数据-取费表'!C42),0)</f>
        <v>0</v>
      </c>
      <c r="K18" s="2717"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0</v>
      </c>
      <c r="D19" s="471" t="s">
        <v>936</v>
      </c>
      <c r="E19" s="2719"/>
      <c r="F19" s="315"/>
      <c r="G19" s="2286"/>
      <c r="H19" s="2436" t="s">
        <v>2606</v>
      </c>
      <c r="I19" s="684" t="s">
        <v>937</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6" t="s">
        <v>2610</v>
      </c>
      <c r="B20" s="684" t="s">
        <v>367</v>
      </c>
      <c r="C20" s="313">
        <f ca="1">ROUND(C19*F20,0)</f>
        <v>0</v>
      </c>
      <c r="D20" s="709" t="s">
        <v>938</v>
      </c>
      <c r="E20" s="684" t="s">
        <v>365</v>
      </c>
      <c r="F20" s="707">
        <f>'数据-取费表'!B37</f>
        <v>0.02</v>
      </c>
      <c r="G20" s="2287"/>
      <c r="H20" s="2436" t="s">
        <v>2607</v>
      </c>
      <c r="I20" s="496" t="s">
        <v>939</v>
      </c>
      <c r="J20" s="314">
        <f ca="1">ROUND(M20*M21,0)</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719"/>
      <c r="F22" s="315"/>
      <c r="G22" s="2286"/>
      <c r="H22" s="2436" t="s">
        <v>2380</v>
      </c>
      <c r="I22" s="684" t="s">
        <v>947</v>
      </c>
      <c r="J22" s="313">
        <f ca="1">ROUND(J14*M22,0)</f>
        <v>0</v>
      </c>
      <c r="K22" s="2717" t="s">
        <v>948</v>
      </c>
      <c r="L22" s="684" t="s">
        <v>365</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ROUND(J13*M23,0)</f>
        <v>0</v>
      </c>
      <c r="K23" s="2717"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ROUND(J5*M24,0)</f>
        <v>0</v>
      </c>
      <c r="K24" s="2678" t="s">
        <v>371</v>
      </c>
      <c r="L24" s="2676" t="s">
        <v>365</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719"/>
      <c r="F25" s="315"/>
      <c r="G25" s="2286"/>
      <c r="H25" s="2663" t="s">
        <v>2353</v>
      </c>
      <c r="I25" s="2680" t="s">
        <v>377</v>
      </c>
      <c r="J25" s="692">
        <f ca="1">J5-J16</f>
        <v>0</v>
      </c>
      <c r="K25" s="2681" t="s">
        <v>378</v>
      </c>
      <c r="L25" s="2682"/>
      <c r="M25" s="2683"/>
    </row>
    <row r="26" spans="1:37" ht="18" customHeight="1">
      <c r="A26" s="2436" t="s">
        <v>2370</v>
      </c>
      <c r="B26" s="684" t="s">
        <v>2527</v>
      </c>
      <c r="C26" s="313">
        <f ca="1">ROUND((C19+C20)*F26,0)</f>
        <v>0</v>
      </c>
      <c r="D26" s="709" t="s">
        <v>957</v>
      </c>
      <c r="E26" s="695" t="s">
        <v>958</v>
      </c>
      <c r="F26" s="694">
        <f ca="1">INDIRECT("'数据-取费表'!q"&amp;$G$1)</f>
        <v>0</v>
      </c>
      <c r="G26" s="2286"/>
      <c r="H26" s="681" t="s">
        <v>2356</v>
      </c>
      <c r="I26" s="682" t="s">
        <v>959</v>
      </c>
      <c r="J26" s="683">
        <f ca="1">IF(J5&lt;&gt;0,ROUND(J25*(1-((1+M28)/(1+M26))^M27)/(M26-M28),0),0)</f>
        <v>0</v>
      </c>
      <c r="K26" s="710" t="s">
        <v>373</v>
      </c>
      <c r="L26" s="684" t="s">
        <v>374</v>
      </c>
      <c r="M26" s="694">
        <f ca="1">INDIRECT("'数据-取费表'!I"&amp;$G$1)</f>
        <v>0</v>
      </c>
    </row>
    <row r="27" spans="1:37" ht="18" customHeight="1">
      <c r="A27" s="2436" t="s">
        <v>2376</v>
      </c>
      <c r="B27" s="684" t="s">
        <v>375</v>
      </c>
      <c r="C27" s="313">
        <f ca="1">ROUND(F21*F26,4)</f>
        <v>0</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0</v>
      </c>
      <c r="D29" s="2678"/>
      <c r="E29" s="2676"/>
      <c r="F29" s="2679"/>
      <c r="G29" s="2287"/>
      <c r="H29" s="720" t="s">
        <v>2363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0</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ROUND(IF(项目基本情况!B11="自然人",C5*F31,C32+C33+C34),0)</f>
        <v>0</v>
      </c>
      <c r="D31" s="2716" t="s">
        <v>932</v>
      </c>
      <c r="E31" s="2717"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IF(项目基本情况!B11="自然人","——",ROUND(C5*F32/(1+'数据-取费表'!C42),0))</f>
        <v>0</v>
      </c>
      <c r="D32" s="2717"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ROUND(C29*F36,0)</f>
        <v>0</v>
      </c>
      <c r="D36" s="2717" t="s">
        <v>977</v>
      </c>
      <c r="E36" s="684" t="s">
        <v>365</v>
      </c>
      <c r="F36" s="714">
        <f ca="1">INDIRECT("'数据-取费表'!Ak"&amp;$G$1)</f>
        <v>0</v>
      </c>
      <c r="G36" s="2286"/>
      <c r="H36" s="1290"/>
      <c r="I36" s="2878"/>
      <c r="J36" s="2879"/>
      <c r="K36" s="1294"/>
      <c r="L36" s="1290"/>
      <c r="M36" s="1290"/>
    </row>
    <row r="37" spans="1:18" ht="18" customHeight="1">
      <c r="A37" s="2436" t="s">
        <v>2611</v>
      </c>
      <c r="B37" s="684" t="s">
        <v>368</v>
      </c>
      <c r="C37" s="313">
        <f ca="1">ROUND(C13*F37,0)</f>
        <v>0</v>
      </c>
      <c r="D37" s="2717" t="s">
        <v>369</v>
      </c>
      <c r="E37" s="684" t="s">
        <v>365</v>
      </c>
      <c r="F37" s="716">
        <f ca="1">INDIRECT("'数据-取费表'!Al"&amp;$G$1)</f>
        <v>0</v>
      </c>
      <c r="G37" s="2286"/>
      <c r="H37" s="1290"/>
      <c r="I37" s="2878"/>
      <c r="J37" s="2879"/>
      <c r="K37" s="1294"/>
      <c r="L37" s="1290"/>
      <c r="M37" s="1290"/>
    </row>
    <row r="38" spans="1:18" ht="18" customHeight="1" thickBot="1">
      <c r="A38" s="2675" t="s">
        <v>2612</v>
      </c>
      <c r="B38" s="2676" t="s">
        <v>367</v>
      </c>
      <c r="C38" s="2677">
        <f ca="1">ROUND(C5*F38,1)</f>
        <v>0</v>
      </c>
      <c r="D38" s="2678" t="s">
        <v>371</v>
      </c>
      <c r="E38" s="2676" t="s">
        <v>365</v>
      </c>
      <c r="F38" s="2672">
        <f ca="1">INDIRECT("'数据-取费表'!Am"&amp;$G$1)</f>
        <v>0</v>
      </c>
      <c r="G38" s="2286"/>
      <c r="H38" s="1290"/>
      <c r="I38" s="2878"/>
      <c r="J38" s="2879"/>
      <c r="K38" s="1295"/>
      <c r="L38" s="1290"/>
      <c r="M38" s="1290"/>
    </row>
    <row r="39" spans="1:18" ht="24.6" customHeight="1" thickTop="1">
      <c r="A39" s="2663" t="s">
        <v>2353</v>
      </c>
      <c r="B39" s="2680" t="s">
        <v>377</v>
      </c>
      <c r="C39" s="692">
        <f ca="1">C5-C30</f>
        <v>0</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8"/>
      <c r="J41" s="2879"/>
      <c r="K41" s="1294"/>
      <c r="L41" s="1192"/>
      <c r="M41" s="1192"/>
    </row>
    <row r="42" spans="1:18" ht="18" customHeight="1">
      <c r="A42" s="690"/>
      <c r="B42" s="691"/>
      <c r="C42" s="692"/>
      <c r="D42" s="713"/>
      <c r="E42" s="684" t="s">
        <v>382</v>
      </c>
      <c r="F42" s="694">
        <f ca="1">INDIRECT("'数据-取费表'!v"&amp;$G$1)</f>
        <v>0</v>
      </c>
      <c r="G42" s="2286"/>
      <c r="H42" s="1192"/>
      <c r="I42" s="2878"/>
      <c r="J42" s="2879"/>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2622</v>
      </c>
      <c r="E45" s="1433"/>
      <c r="F45" s="1433"/>
      <c r="O45" s="2588" t="s">
        <v>2486</v>
      </c>
      <c r="P45" s="1296"/>
      <c r="Q45" s="1296"/>
      <c r="R45" s="1296"/>
    </row>
    <row r="46" spans="1:18" s="1455" customFormat="1" ht="21" thickBot="1">
      <c r="A46" s="2394" t="s">
        <v>2325</v>
      </c>
      <c r="B46" s="2395"/>
      <c r="C46" s="2722" t="e">
        <f ca="1">ROUND(C45/10000,0)</f>
        <v>#DIV/0!</v>
      </c>
      <c r="D46" s="2723" t="str">
        <f>C2</f>
        <v>万元</v>
      </c>
      <c r="I46" s="2575" t="s">
        <v>2421</v>
      </c>
      <c r="J46" s="2576"/>
      <c r="K46" s="2577"/>
      <c r="L46" s="2579" t="e">
        <f ca="1">IF(M47="住宅",0,IF(L48&gt;J51,L60,J60))</f>
        <v>#DIV/0!</v>
      </c>
      <c r="O46" s="2591" t="s">
        <v>2464</v>
      </c>
      <c r="P46" s="2592" t="s">
        <v>2465</v>
      </c>
      <c r="Q46" s="2593" t="s">
        <v>2463</v>
      </c>
      <c r="R46" s="2593" t="s">
        <v>2466</v>
      </c>
    </row>
    <row r="47" spans="1:18" s="1455" customFormat="1" ht="15.75" thickBot="1">
      <c r="A47" s="2396" t="s">
        <v>912</v>
      </c>
      <c r="B47" s="2432" t="s">
        <v>913</v>
      </c>
      <c r="C47" s="2432" t="s">
        <v>914</v>
      </c>
      <c r="D47" s="2432" t="s">
        <v>915</v>
      </c>
      <c r="E47" s="2534" t="s">
        <v>916</v>
      </c>
      <c r="F47" s="2535"/>
      <c r="G47" s="1457"/>
      <c r="I47" s="2550" t="s">
        <v>2414</v>
      </c>
      <c r="J47" s="2551"/>
      <c r="K47" s="2560" t="s">
        <v>2437</v>
      </c>
      <c r="L47" s="2561">
        <f ca="1">INDIRECT("'数据-取费表'!d"&amp;$G$1)</f>
        <v>0</v>
      </c>
      <c r="M47" s="2581" t="str">
        <f>IF(ISNUMBER(FIND("住宅",C1)),"住宅","非住宅")</f>
        <v>非住宅</v>
      </c>
      <c r="O47" s="2584" t="s">
        <v>2449</v>
      </c>
      <c r="P47" s="2594" t="s">
        <v>2467</v>
      </c>
      <c r="Q47" s="2585" t="e">
        <f ca="1">C40+J29</f>
        <v>#DIV/0!</v>
      </c>
      <c r="R47" s="2585" t="s">
        <v>2468</v>
      </c>
    </row>
    <row r="48" spans="1:18" s="1455" customFormat="1" ht="47.25" thickBot="1">
      <c r="A48" s="2708" t="s">
        <v>2617</v>
      </c>
      <c r="B48" s="682" t="s">
        <v>2332</v>
      </c>
      <c r="C48" s="2718">
        <f ca="1">C49+C53+C55</f>
        <v>0</v>
      </c>
      <c r="D48" s="2712"/>
      <c r="E48" s="2713"/>
      <c r="F48" s="2416"/>
      <c r="G48" s="1457"/>
      <c r="H48" s="1458"/>
      <c r="I48" s="2541" t="s">
        <v>2415</v>
      </c>
      <c r="J48" s="2552"/>
      <c r="K48" s="2562" t="s">
        <v>681</v>
      </c>
      <c r="L48" s="2166">
        <f ca="1">INDIRECT("'数据-取费表'!f"&amp;$G$1)</f>
        <v>0</v>
      </c>
      <c r="O48" s="2584" t="s">
        <v>2450</v>
      </c>
      <c r="P48" s="2594" t="s">
        <v>2469</v>
      </c>
      <c r="Q48" s="2585" t="e">
        <f ca="1">J60</f>
        <v>#DIV/0!</v>
      </c>
      <c r="R48" s="2585" t="s">
        <v>2477</v>
      </c>
    </row>
    <row r="49" spans="1:18" s="1455" customFormat="1" ht="15.75" thickBot="1">
      <c r="A49" s="2429" t="s">
        <v>2618</v>
      </c>
      <c r="B49" s="2711" t="s">
        <v>2620</v>
      </c>
      <c r="C49" s="2720">
        <f ca="1">ROUND(F49*F51*F50*(1-F52),0)</f>
        <v>0</v>
      </c>
      <c r="D49" s="2530" t="s">
        <v>2333</v>
      </c>
      <c r="E49" s="2533" t="s">
        <v>2326</v>
      </c>
      <c r="F49" s="2536"/>
      <c r="G49" s="1459"/>
      <c r="H49" s="1458"/>
      <c r="I49" s="2541" t="s">
        <v>2435</v>
      </c>
      <c r="J49" s="2553"/>
      <c r="K49" s="2563" t="s">
        <v>2440</v>
      </c>
      <c r="L49" s="2564"/>
      <c r="O49" s="2586" t="s">
        <v>2451</v>
      </c>
      <c r="P49" s="2594" t="s">
        <v>2470</v>
      </c>
      <c r="Q49" s="2585">
        <f ca="1">C29</f>
        <v>0</v>
      </c>
      <c r="R49" s="2585" t="s">
        <v>2468</v>
      </c>
    </row>
    <row r="50" spans="1:18" s="1455" customFormat="1" ht="15.75" thickBot="1">
      <c r="A50" s="2430"/>
      <c r="B50" s="2433"/>
      <c r="C50" s="2434"/>
      <c r="D50" s="2403"/>
      <c r="E50" s="2531" t="s">
        <v>918</v>
      </c>
      <c r="F50" s="2532">
        <f ca="1">F7</f>
        <v>0</v>
      </c>
      <c r="H50" s="1458"/>
      <c r="I50" s="2541" t="s">
        <v>2417</v>
      </c>
      <c r="J50" s="2554">
        <f>SUMPRODUCT((I63:I65=J47)*(J62:L62=J48)*(J63:L65))</f>
        <v>0</v>
      </c>
      <c r="K50" s="2563" t="s">
        <v>2441</v>
      </c>
      <c r="L50" s="2564"/>
      <c r="M50" s="2558"/>
      <c r="O50" s="2586" t="s">
        <v>2452</v>
      </c>
      <c r="P50" s="2594" t="s">
        <v>2478</v>
      </c>
      <c r="Q50" s="2587" t="e">
        <f ca="1">J58</f>
        <v>#DIV/0!</v>
      </c>
      <c r="R50" s="2585"/>
    </row>
    <row r="51" spans="1:18" s="1455" customFormat="1" ht="15.75" thickBot="1">
      <c r="A51" s="2431"/>
      <c r="B51" s="2433"/>
      <c r="C51" s="2434"/>
      <c r="D51" s="2403"/>
      <c r="E51" s="2435" t="s">
        <v>919</v>
      </c>
      <c r="F51" s="685">
        <f ca="1">F8</f>
        <v>0</v>
      </c>
      <c r="I51" s="2555" t="s">
        <v>2422</v>
      </c>
      <c r="J51" s="2556">
        <f>IF(J49="",J50,J49+J50-YEAR('数据-取费表'!B2))</f>
        <v>0</v>
      </c>
      <c r="K51" s="2565" t="s">
        <v>2442</v>
      </c>
      <c r="L51" s="2578">
        <f ca="1">ROUND(-PV(INDIRECT("'数据-取费表'!h"&amp;$G$1),L48,(C39-C13*C76),0),0)</f>
        <v>0</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0</v>
      </c>
      <c r="R52" s="2585" t="s">
        <v>2472</v>
      </c>
    </row>
    <row r="53" spans="1:18" s="1455" customFormat="1" ht="43.5" thickBot="1">
      <c r="A53" s="2709" t="s">
        <v>2619</v>
      </c>
      <c r="B53" s="2710" t="s">
        <v>2529</v>
      </c>
      <c r="C53" s="698">
        <f ca="1">ROUND(IF(F53="押一",F49*F51*F50/12*F11,IF(F53="押二",F49*F51*F50/12*2*F11,IF(F53="押三",F49*F51*F50/12*3*F11,C54*F11))),0)</f>
        <v>0</v>
      </c>
      <c r="D53" s="2631" t="s">
        <v>2537</v>
      </c>
      <c r="E53" s="2095" t="s">
        <v>2531</v>
      </c>
      <c r="F53" s="2825"/>
      <c r="I53" s="2567" t="s">
        <v>2447</v>
      </c>
      <c r="J53" s="2568">
        <f ca="1">IF(M47="住宅",J51,MIN(J51,L48))</f>
        <v>0</v>
      </c>
      <c r="K53" s="36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8"/>
      <c r="O53" s="2584" t="s">
        <v>2455</v>
      </c>
      <c r="P53" s="2594" t="s">
        <v>2473</v>
      </c>
      <c r="Q53" s="2585" t="e">
        <f ca="1">Q47+Q48</f>
        <v>#DIV/0!</v>
      </c>
      <c r="R53" s="2585" t="s">
        <v>2456</v>
      </c>
    </row>
    <row r="54" spans="1:18" s="1455" customFormat="1" ht="16.5" thickBot="1">
      <c r="A54" s="2429"/>
      <c r="B54" s="2822" t="s">
        <v>2694</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14"/>
      <c r="F55" s="2537"/>
      <c r="I55" s="3313" t="s">
        <v>2423</v>
      </c>
      <c r="J55" s="3312" t="e">
        <f ca="1">ROUND(IF(J47="钢混",J57/J50,1-(1-2%)*(J50-J57)/J50),3)</f>
        <v>#DIV/0!</v>
      </c>
      <c r="K55" s="2548" t="s">
        <v>2424</v>
      </c>
      <c r="L55" s="2570"/>
      <c r="O55" s="2591" t="s">
        <v>2464</v>
      </c>
      <c r="P55" s="2592" t="s">
        <v>2465</v>
      </c>
      <c r="Q55" s="2593" t="s">
        <v>2463</v>
      </c>
      <c r="R55" s="2593" t="s">
        <v>2466</v>
      </c>
    </row>
    <row r="56" spans="1:18" s="1455" customFormat="1" ht="44.25" thickTop="1" thickBot="1">
      <c r="A56" s="2407">
        <v>2</v>
      </c>
      <c r="B56" s="2408" t="s">
        <v>921</v>
      </c>
      <c r="C56" s="608">
        <f ca="1">C13</f>
        <v>0</v>
      </c>
      <c r="D56" s="2695"/>
      <c r="E56" s="2409"/>
      <c r="F56" s="2537"/>
      <c r="I56" s="2540" t="s">
        <v>2425</v>
      </c>
      <c r="J56" s="2569"/>
      <c r="K56" s="2541" t="s">
        <v>2429</v>
      </c>
      <c r="L56" s="2166">
        <f ca="1">IF(L48&lt;J51,"——",L48-J51)</f>
        <v>0</v>
      </c>
      <c r="O56" s="2584" t="s">
        <v>2449</v>
      </c>
      <c r="P56" s="2594" t="s">
        <v>2467</v>
      </c>
      <c r="Q56" s="2585" t="e">
        <f ca="1">C40+J29</f>
        <v>#DIV/0!</v>
      </c>
      <c r="R56" s="2585" t="s">
        <v>2468</v>
      </c>
    </row>
    <row r="57" spans="1:18" s="1455" customFormat="1" ht="29.25" thickBot="1">
      <c r="A57" s="2538"/>
      <c r="B57" s="2400" t="s">
        <v>970</v>
      </c>
      <c r="C57" s="614">
        <f ca="1">C29</f>
        <v>0</v>
      </c>
      <c r="D57" s="2411"/>
      <c r="E57" s="2412"/>
      <c r="F57" s="2539"/>
      <c r="I57" s="2542" t="s">
        <v>2446</v>
      </c>
      <c r="J57" s="2546">
        <f ca="1">IF(OR(M47="住宅",J51&lt;L48,J56="是"),"——",J51-L48)</f>
        <v>0</v>
      </c>
      <c r="K57" s="2541" t="s">
        <v>2439</v>
      </c>
      <c r="L57" s="2166">
        <f ca="1">IF(L48&lt;J51,"——",IF(L55="比较法",L49,IF(L55="基准地价",L50,L51)))</f>
        <v>0</v>
      </c>
      <c r="O57" s="2584" t="s">
        <v>2450</v>
      </c>
      <c r="P57" s="2594" t="s">
        <v>2474</v>
      </c>
      <c r="Q57" s="2585" t="e">
        <f ca="1">L60</f>
        <v>#DIV/0!</v>
      </c>
      <c r="R57" s="2585" t="s">
        <v>2489</v>
      </c>
    </row>
    <row r="58" spans="1:18" s="1455" customFormat="1" ht="29.25" thickBot="1">
      <c r="A58" s="697" t="s">
        <v>2338</v>
      </c>
      <c r="B58" s="2408" t="s">
        <v>928</v>
      </c>
      <c r="C58" s="698">
        <f ca="1">ROUND(C59+C64+C65+C66,0)</f>
        <v>0</v>
      </c>
      <c r="D58" s="2414" t="s">
        <v>929</v>
      </c>
      <c r="E58" s="2415"/>
      <c r="F58" s="2416"/>
      <c r="I58" s="2542" t="s">
        <v>2426</v>
      </c>
      <c r="J58" s="3314" t="e">
        <f ca="1">IF(J55&lt;0.4,0.4,J55)</f>
        <v>#DIV/0!</v>
      </c>
      <c r="K58" s="2565" t="s">
        <v>2448</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ROUND(IF(项目基本情况!B11="自然人",C48*F59,C60+C61+C62),0)</f>
        <v>0</v>
      </c>
      <c r="D59" s="2417" t="s">
        <v>932</v>
      </c>
      <c r="E59" s="2418" t="s">
        <v>933</v>
      </c>
      <c r="F59" s="708" t="str">
        <f ca="1">IF(项目基本情况!B11="企业","",IF(INDIRECT("'数据-取费表'!c"&amp;$G$1)="住宅",5%,IF(F49*F50*F51/12/(1+'数据-取费表'!C42)&gt;20000,12%,7%)))</f>
        <v/>
      </c>
      <c r="I59" s="2542" t="s">
        <v>2427</v>
      </c>
      <c r="J59" s="2546" t="e">
        <f ca="1">IF(OR(M47="住宅",J51&lt;L48,J56="是"),"——",ROUND(C29*J58,0))</f>
        <v>#DIV/0!</v>
      </c>
      <c r="K59" s="2565" t="s">
        <v>2436</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IF(项目基本情况!B11="自然人","——",ROUND(C48*F60/(1+'数据-取费表'!C42),0))</f>
        <v>0</v>
      </c>
      <c r="D60" s="2418" t="s">
        <v>935</v>
      </c>
      <c r="E60" s="2400" t="s">
        <v>365</v>
      </c>
      <c r="F60" s="717">
        <f t="shared" ref="F60:F66" si="0">F32</f>
        <v>5.6000000000000001E-2</v>
      </c>
      <c r="I60" s="2543" t="s">
        <v>2428</v>
      </c>
      <c r="J60" s="2547" t="e">
        <f ca="1">IF(OR(M47="住宅",J51&lt;L48,J56="是"),"0",ROUND(J59/(1+J52)^J53,0))</f>
        <v>#DIV/0!</v>
      </c>
      <c r="K60" s="2549" t="s">
        <v>2431</v>
      </c>
      <c r="L60" s="2547" t="e">
        <f ca="1">IF(OR(M47="住宅",L48&lt;J51),0,ROUND(L57*(L58/L59-1),0))</f>
        <v>#DIV/0!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IF(项目基本情况!B11="自然人","——",IF(D61="按租金收入计税",ROUND(C48*F61,0),IF(D61="按房产原值计税",ROUND(C57*F61*0.7,0),INDIRECT("'数据-取费表'!Aj"&amp;$G$1))))</f>
        <v>0</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IF(项目基本情况!B11="自然人","——",ROUND(F62*F63,0))</f>
        <v>0</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#DIV/0!</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ROUND(C57*F64,0)</f>
        <v>0</v>
      </c>
      <c r="D64" s="2418" t="s">
        <v>977</v>
      </c>
      <c r="E64" s="2400" t="s">
        <v>365</v>
      </c>
      <c r="F64" s="714">
        <f t="shared" ca="1" si="0"/>
        <v>0</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ROUND(C56*F65,0)</f>
        <v>0</v>
      </c>
      <c r="D65" s="2418" t="s">
        <v>369</v>
      </c>
      <c r="E65" s="2400" t="s">
        <v>365</v>
      </c>
      <c r="F65" s="716">
        <f t="shared" ca="1" si="0"/>
        <v>0</v>
      </c>
      <c r="I65" s="2544" t="s">
        <v>2434</v>
      </c>
      <c r="J65" s="3318">
        <v>40</v>
      </c>
      <c r="K65" s="3318">
        <v>30</v>
      </c>
      <c r="L65" s="3318">
        <v>50</v>
      </c>
      <c r="M65" s="3316">
        <v>0.02</v>
      </c>
      <c r="O65" s="2584" t="s">
        <v>2449</v>
      </c>
      <c r="P65" s="2594" t="s">
        <v>2467</v>
      </c>
      <c r="Q65" s="2585" t="e">
        <f ca="1">C40+J29</f>
        <v>#DIV/0!</v>
      </c>
      <c r="R65" s="2585" t="s">
        <v>2468</v>
      </c>
    </row>
    <row r="66" spans="1:18" s="1455" customFormat="1" ht="20.25" thickBot="1">
      <c r="A66" s="2436" t="s">
        <v>2375</v>
      </c>
      <c r="B66" s="2400" t="s">
        <v>367</v>
      </c>
      <c r="C66" s="313">
        <f ca="1">ROUND(C48*F66,0)</f>
        <v>0</v>
      </c>
      <c r="D66" s="2418" t="s">
        <v>371</v>
      </c>
      <c r="E66" s="2400" t="s">
        <v>365</v>
      </c>
      <c r="F66" s="694">
        <f t="shared" ca="1" si="0"/>
        <v>0</v>
      </c>
      <c r="O66" s="2584" t="s">
        <v>2450</v>
      </c>
      <c r="P66" s="2594" t="s">
        <v>2474</v>
      </c>
      <c r="Q66" s="2585" t="e">
        <f ca="1">L60</f>
        <v>#DIV/0!</v>
      </c>
      <c r="R66" s="2585" t="s">
        <v>2457</v>
      </c>
    </row>
    <row r="67" spans="1:18" s="1455" customFormat="1" ht="23.25" thickBot="1">
      <c r="A67" s="2407" t="s">
        <v>2353</v>
      </c>
      <c r="B67" s="2421" t="s">
        <v>377</v>
      </c>
      <c r="C67" s="698">
        <f ca="1">C48-C58</f>
        <v>0</v>
      </c>
      <c r="D67" s="2417" t="s">
        <v>378</v>
      </c>
      <c r="E67" s="2422"/>
      <c r="F67" s="2423"/>
      <c r="O67" s="2586" t="s">
        <v>2451</v>
      </c>
      <c r="P67" s="2594" t="s">
        <v>2481</v>
      </c>
      <c r="Q67" s="2589">
        <f ca="1">L51</f>
        <v>0</v>
      </c>
      <c r="R67" s="2590" t="s">
        <v>2491</v>
      </c>
    </row>
    <row r="68" spans="1:18" s="1455" customFormat="1" ht="20.25" thickBot="1">
      <c r="A68" s="2397" t="s">
        <v>2356</v>
      </c>
      <c r="B68" s="2398" t="s">
        <v>379</v>
      </c>
      <c r="C68" s="683" t="e">
        <f ca="1">ROUND(C67*(1-((1+F70)/(1+F68))^F69)/(F68-F70),0)</f>
        <v>#DIV/0!</v>
      </c>
      <c r="D68" s="2419" t="s">
        <v>373</v>
      </c>
      <c r="E68" s="2400" t="s">
        <v>374</v>
      </c>
      <c r="F68" s="694">
        <f ca="1">F40</f>
        <v>0</v>
      </c>
      <c r="O68" s="2586" t="s">
        <v>2452</v>
      </c>
      <c r="P68" s="2595" t="s">
        <v>2485</v>
      </c>
      <c r="Q68" s="2585">
        <f ca="1">ROUND(Q69-Q70*Q71,0)</f>
        <v>0</v>
      </c>
      <c r="R68" s="2585" t="s">
        <v>2490</v>
      </c>
    </row>
    <row r="69" spans="1:18" s="1455" customFormat="1" ht="15.75" thickBot="1">
      <c r="A69" s="2401"/>
      <c r="B69" s="2402"/>
      <c r="C69" s="688"/>
      <c r="D69" s="2424" t="s">
        <v>962</v>
      </c>
      <c r="E69" s="2400" t="s">
        <v>381</v>
      </c>
      <c r="F69" s="719">
        <f ca="1">F41</f>
        <v>0</v>
      </c>
      <c r="O69" s="2586" t="s">
        <v>2460</v>
      </c>
      <c r="P69" s="2595" t="s">
        <v>2475</v>
      </c>
      <c r="Q69" s="2585">
        <f ca="1">C39</f>
        <v>0</v>
      </c>
      <c r="R69" s="2585" t="s">
        <v>2468</v>
      </c>
    </row>
    <row r="70" spans="1:18" s="1455" customFormat="1" ht="15.75" thickBot="1">
      <c r="A70" s="2404"/>
      <c r="B70" s="2405"/>
      <c r="C70" s="692"/>
      <c r="D70" s="2420"/>
      <c r="E70" s="2400" t="s">
        <v>382</v>
      </c>
      <c r="F70" s="2529">
        <f ca="1">F42</f>
        <v>0</v>
      </c>
      <c r="O70" s="2586" t="s">
        <v>2461</v>
      </c>
      <c r="P70" s="2595" t="s">
        <v>2476</v>
      </c>
      <c r="Q70" s="2585">
        <f ca="1">C13</f>
        <v>0</v>
      </c>
      <c r="R70" s="2585" t="s">
        <v>2468</v>
      </c>
    </row>
    <row r="71" spans="1:18" s="1455" customFormat="1" ht="15.75" thickBot="1">
      <c r="A71" s="2425" t="s">
        <v>2363</v>
      </c>
      <c r="B71" s="2426" t="s">
        <v>383</v>
      </c>
      <c r="C71" s="722" t="e">
        <f ca="1">ROUND(C68/F71,0)</f>
        <v>#DIV/0!</v>
      </c>
      <c r="D71" s="2427" t="s">
        <v>384</v>
      </c>
      <c r="E71" s="2428" t="s">
        <v>385</v>
      </c>
      <c r="F71" s="725">
        <f ca="1">F43</f>
        <v>0</v>
      </c>
      <c r="I71" s="2395"/>
      <c r="K71" s="2395"/>
      <c r="O71" s="2586" t="s">
        <v>2462</v>
      </c>
      <c r="P71" s="2595" t="s">
        <v>2488</v>
      </c>
      <c r="Q71" s="2587">
        <f ca="1">C76</f>
        <v>0</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0</v>
      </c>
      <c r="D75" s="1455"/>
      <c r="E75" s="1455"/>
      <c r="F75" s="1455"/>
      <c r="K75" s="1456"/>
      <c r="L75" s="1455"/>
      <c r="O75" s="2584" t="s">
        <v>2455</v>
      </c>
      <c r="P75" s="2594" t="s">
        <v>2473</v>
      </c>
      <c r="Q75" s="2585" t="e">
        <f ca="1">Q65+Q66</f>
        <v>#DIV/0!</v>
      </c>
      <c r="R75" s="2585" t="s">
        <v>2456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#DIV/0!</v>
      </c>
    </row>
    <row r="80" spans="1:18">
      <c r="B80" s="2870" t="s">
        <v>2702</v>
      </c>
      <c r="C80" s="650" t="e">
        <f ca="1">ROUND(C75/C39,3)</f>
        <v>#DIV/0!</v>
      </c>
    </row>
    <row r="81" spans="2:3">
      <c r="B81" s="646" t="s">
        <v>387</v>
      </c>
      <c r="C81" s="647"/>
    </row>
    <row r="82" spans="2:3">
      <c r="B82" s="2869" t="s">
        <v>2699</v>
      </c>
      <c r="C82" s="651" t="e">
        <f ca="1">1-C83</f>
        <v>#DIV/0!</v>
      </c>
    </row>
    <row r="83" spans="2:3">
      <c r="B83" s="2869"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0" t="s">
        <v>2672</v>
      </c>
      <c r="B1" s="2781"/>
      <c r="C1" s="2781"/>
      <c r="D1" s="2781"/>
      <c r="E1" s="2782"/>
    </row>
    <row r="2" spans="1:6" ht="14.25">
      <c r="A2" s="2783" t="s">
        <v>2673</v>
      </c>
      <c r="B2" s="2777">
        <f ca="1">SUMIF(B6:B13,"&lt;&gt;#ref!",B6:B13)</f>
        <v>6873</v>
      </c>
      <c r="C2" s="2778" t="s">
        <v>2670</v>
      </c>
      <c r="D2" s="2779" t="s">
        <v>2675</v>
      </c>
      <c r="E2" s="2787">
        <f>SUM(E6:E13)</f>
        <v>2099.0100000000002</v>
      </c>
    </row>
    <row r="3" spans="1:6" ht="14.25">
      <c r="A3" s="2783" t="s">
        <v>2674</v>
      </c>
      <c r="B3" s="2777">
        <f ca="1">ROUND(B2*10000/E2,0)</f>
        <v>32744</v>
      </c>
      <c r="C3" s="2778" t="s">
        <v>2671</v>
      </c>
      <c r="D3" s="2784"/>
      <c r="E3" s="2788"/>
    </row>
    <row r="4" spans="1:6" ht="14.25">
      <c r="A4" s="2789"/>
      <c r="B4" s="2784"/>
      <c r="C4" s="2784"/>
      <c r="D4" s="2784"/>
      <c r="E4" s="2788"/>
    </row>
    <row r="5" spans="1:6">
      <c r="A5" s="2793" t="s">
        <v>2677</v>
      </c>
      <c r="B5" s="3639" t="s">
        <v>2679</v>
      </c>
      <c r="C5" s="3639"/>
      <c r="D5" s="2792"/>
      <c r="E5" s="3332" t="s">
        <v>2678</v>
      </c>
      <c r="F5" s="3333" t="s">
        <v>3052</v>
      </c>
    </row>
    <row r="6" spans="1:6">
      <c r="A6" s="2790" t="str">
        <f>'数据-取费表'!AN6</f>
        <v>收益法</v>
      </c>
      <c r="B6" s="2786">
        <f ca="1">IF(F6="是",'数据-取费表'!AO6,0)</f>
        <v>6873</v>
      </c>
      <c r="C6" s="2778" t="s">
        <v>2670</v>
      </c>
      <c r="D6" s="2784"/>
      <c r="E6" s="1540">
        <f>IF(OR(A6=0,F6="否"),0,'数据-取费表'!K6+'数据-取费表'!S6)</f>
        <v>2099.0100000000002</v>
      </c>
      <c r="F6" s="3334" t="s">
        <v>3053</v>
      </c>
    </row>
    <row r="7" spans="1:6">
      <c r="A7" s="2790">
        <f>'数据-取费表'!AN7</f>
        <v>0</v>
      </c>
      <c r="B7" s="2786" t="e">
        <f ca="1">IF(F7="是",'数据-取费表'!AO7,0)</f>
        <v>#REF!</v>
      </c>
      <c r="C7" s="2778" t="s">
        <v>2670</v>
      </c>
      <c r="D7" s="2784"/>
      <c r="E7" s="1540">
        <f>IF(OR(A7=0,F7="否"),0,'数据-取费表'!K7+'数据-取费表'!S7)</f>
        <v>0</v>
      </c>
      <c r="F7" s="3334" t="s">
        <v>3053</v>
      </c>
    </row>
    <row r="8" spans="1:6">
      <c r="A8" s="2790">
        <f>'数据-取费表'!AN8</f>
        <v>0</v>
      </c>
      <c r="B8" s="2786" t="e">
        <f ca="1">IF(F8="是",'数据-取费表'!AO8,0)</f>
        <v>#REF!</v>
      </c>
      <c r="C8" s="2778" t="s">
        <v>2670</v>
      </c>
      <c r="D8" s="2784"/>
      <c r="E8" s="1540">
        <f>IF(OR(A8=0,F8="否"),0,'数据-取费表'!K8+'数据-取费表'!S8)</f>
        <v>0</v>
      </c>
      <c r="F8" s="3334" t="s">
        <v>3053</v>
      </c>
    </row>
    <row r="9" spans="1:6">
      <c r="A9" s="2790">
        <f>'数据-取费表'!AN9</f>
        <v>0</v>
      </c>
      <c r="B9" s="2786" t="e">
        <f ca="1">IF(F9="是",'数据-取费表'!AO9,0)</f>
        <v>#REF!</v>
      </c>
      <c r="C9" s="2778" t="s">
        <v>2670</v>
      </c>
      <c r="D9" s="2784"/>
      <c r="E9" s="1540">
        <f>IF(OR(A9=0,F9="否"),0,'数据-取费表'!K9+'数据-取费表'!S9)</f>
        <v>0</v>
      </c>
      <c r="F9" s="3334" t="s">
        <v>3053</v>
      </c>
    </row>
    <row r="10" spans="1:6">
      <c r="A10" s="2790">
        <f>'数据-取费表'!AN10</f>
        <v>0</v>
      </c>
      <c r="B10" s="2786" t="e">
        <f ca="1">IF(F10="是",'数据-取费表'!AO10,0)</f>
        <v>#REF!</v>
      </c>
      <c r="C10" s="2778" t="s">
        <v>2670</v>
      </c>
      <c r="D10" s="2784"/>
      <c r="E10" s="1540">
        <f>IF(OR(A10=0,F10="否"),0,'数据-取费表'!K10+'数据-取费表'!S10)</f>
        <v>0</v>
      </c>
      <c r="F10" s="3334" t="s">
        <v>3053</v>
      </c>
    </row>
    <row r="11" spans="1:6">
      <c r="A11" s="2790">
        <f>'数据-取费表'!AN11</f>
        <v>0</v>
      </c>
      <c r="B11" s="2786" t="e">
        <f ca="1">IF(F11="是",'数据-取费表'!AO11,0)</f>
        <v>#REF!</v>
      </c>
      <c r="C11" s="2778" t="s">
        <v>2670</v>
      </c>
      <c r="D11" s="2784"/>
      <c r="E11" s="1540">
        <f>IF(OR(A11=0,F11="否"),0,'数据-取费表'!K11+'数据-取费表'!S11)</f>
        <v>0</v>
      </c>
      <c r="F11" s="3334" t="s">
        <v>3053</v>
      </c>
    </row>
    <row r="12" spans="1:6">
      <c r="A12" s="2790">
        <f>'数据-取费表'!AN12</f>
        <v>0</v>
      </c>
      <c r="B12" s="2786" t="e">
        <f ca="1">IF(F12="是",'数据-取费表'!AO12,0)</f>
        <v>#REF!</v>
      </c>
      <c r="C12" s="2778" t="s">
        <v>2670</v>
      </c>
      <c r="D12" s="2784"/>
      <c r="E12" s="1540">
        <f>IF(OR(A12=0,F12="否"),0,'数据-取费表'!K12+'数据-取费表'!S12)</f>
        <v>0</v>
      </c>
      <c r="F12" s="3334" t="s">
        <v>3053</v>
      </c>
    </row>
    <row r="13" spans="1:6" ht="14.25" thickBot="1">
      <c r="A13" s="2791">
        <f>'数据-取费表'!AN13</f>
        <v>0</v>
      </c>
      <c r="B13" s="2786" t="e">
        <f ca="1">IF(F13="是",'数据-取费表'!AO13,0)</f>
        <v>#REF!</v>
      </c>
      <c r="C13" s="2794" t="s">
        <v>2670</v>
      </c>
      <c r="D13" s="2785"/>
      <c r="E13" s="1540">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6" t="s">
        <v>2546</v>
      </c>
      <c r="B1" s="3657"/>
      <c r="C1" s="3658"/>
      <c r="D1" s="3659">
        <f>SUM(I10,I15,I20,I21,I23)</f>
        <v>0</v>
      </c>
      <c r="E1" s="3659"/>
      <c r="F1" s="3659"/>
      <c r="G1" s="3659"/>
      <c r="H1" s="3659"/>
      <c r="I1" s="3660"/>
    </row>
    <row r="2" spans="1:9">
      <c r="A2" s="3646" t="s">
        <v>2547</v>
      </c>
      <c r="B2" s="3647" t="s">
        <v>2548</v>
      </c>
      <c r="C2" s="3647"/>
      <c r="D2" s="2635" t="s">
        <v>2549</v>
      </c>
      <c r="E2" s="2635" t="s">
        <v>2550</v>
      </c>
      <c r="F2" s="2635" t="s">
        <v>2551</v>
      </c>
      <c r="G2" s="2635" t="s">
        <v>2552</v>
      </c>
      <c r="H2" s="2635" t="s">
        <v>2553</v>
      </c>
      <c r="I2" s="2636" t="s">
        <v>2554</v>
      </c>
    </row>
    <row r="3" spans="1:9">
      <c r="A3" s="3646"/>
      <c r="B3" s="3647" t="s">
        <v>2555</v>
      </c>
      <c r="C3" s="3647"/>
      <c r="D3" s="2637"/>
      <c r="E3" s="2635"/>
      <c r="F3" s="2638"/>
      <c r="G3" s="2638"/>
      <c r="H3" s="2639"/>
      <c r="I3" s="2640">
        <f>ROUND(D3*E3*F3*G3*H3/10000,0)</f>
        <v>0</v>
      </c>
    </row>
    <row r="4" spans="1:9">
      <c r="A4" s="3646"/>
      <c r="B4" s="3647" t="s">
        <v>2556</v>
      </c>
      <c r="C4" s="3647"/>
      <c r="D4" s="2637"/>
      <c r="E4" s="2635"/>
      <c r="F4" s="2638"/>
      <c r="G4" s="2638"/>
      <c r="H4" s="2639"/>
      <c r="I4" s="2640">
        <f t="shared" ref="I4:I9" si="0">ROUND(D4*E4*F4*G4*H4/10000,0)</f>
        <v>0</v>
      </c>
    </row>
    <row r="5" spans="1:9">
      <c r="A5" s="3646"/>
      <c r="B5" s="3647" t="s">
        <v>2557</v>
      </c>
      <c r="C5" s="3647"/>
      <c r="D5" s="2637"/>
      <c r="E5" s="2635"/>
      <c r="F5" s="2638"/>
      <c r="G5" s="2638"/>
      <c r="H5" s="2639"/>
      <c r="I5" s="2640">
        <f t="shared" si="0"/>
        <v>0</v>
      </c>
    </row>
    <row r="6" spans="1:9">
      <c r="A6" s="3646"/>
      <c r="B6" s="3647" t="s">
        <v>2558</v>
      </c>
      <c r="C6" s="3647"/>
      <c r="D6" s="2637"/>
      <c r="E6" s="2635"/>
      <c r="F6" s="2638"/>
      <c r="G6" s="2638"/>
      <c r="H6" s="2639"/>
      <c r="I6" s="2640">
        <f t="shared" si="0"/>
        <v>0</v>
      </c>
    </row>
    <row r="7" spans="1:9">
      <c r="A7" s="3646"/>
      <c r="B7" s="3647" t="s">
        <v>2559</v>
      </c>
      <c r="C7" s="3647"/>
      <c r="D7" s="2637"/>
      <c r="E7" s="2635"/>
      <c r="F7" s="2638"/>
      <c r="G7" s="2638"/>
      <c r="H7" s="2639"/>
      <c r="I7" s="2640">
        <f t="shared" si="0"/>
        <v>0</v>
      </c>
    </row>
    <row r="8" spans="1:9">
      <c r="A8" s="3646"/>
      <c r="B8" s="3647" t="s">
        <v>2560</v>
      </c>
      <c r="C8" s="3647"/>
      <c r="D8" s="2637"/>
      <c r="E8" s="2635"/>
      <c r="F8" s="2638"/>
      <c r="G8" s="2638"/>
      <c r="H8" s="2639"/>
      <c r="I8" s="2640">
        <f t="shared" si="0"/>
        <v>0</v>
      </c>
    </row>
    <row r="9" spans="1:9">
      <c r="A9" s="3646"/>
      <c r="B9" s="3647" t="s">
        <v>2561</v>
      </c>
      <c r="C9" s="3647"/>
      <c r="D9" s="2637"/>
      <c r="E9" s="2635"/>
      <c r="F9" s="2638"/>
      <c r="G9" s="2638"/>
      <c r="H9" s="2639"/>
      <c r="I9" s="2640">
        <f t="shared" si="0"/>
        <v>0</v>
      </c>
    </row>
    <row r="10" spans="1:9">
      <c r="A10" s="3646"/>
      <c r="B10" s="3648" t="s">
        <v>2562</v>
      </c>
      <c r="C10" s="3648"/>
      <c r="D10" s="2641"/>
      <c r="E10" s="2641" t="e">
        <f>ROUND(D1*10000/D10/H9,0)</f>
        <v>#DIV/0!</v>
      </c>
      <c r="F10" s="2642"/>
      <c r="G10" s="2642"/>
      <c r="H10" s="2643"/>
      <c r="I10" s="2644">
        <f>SUM(I3:I9)</f>
        <v>0</v>
      </c>
    </row>
    <row r="11" spans="1:9" ht="14.25">
      <c r="A11" s="3646" t="s">
        <v>2563</v>
      </c>
      <c r="B11" s="3647" t="s">
        <v>2564</v>
      </c>
      <c r="C11" s="3647"/>
      <c r="D11" s="2637" t="s">
        <v>2565</v>
      </c>
      <c r="E11" s="2637" t="s">
        <v>2566</v>
      </c>
      <c r="F11" s="2638" t="s">
        <v>2567</v>
      </c>
      <c r="G11" s="2638" t="s">
        <v>2553</v>
      </c>
      <c r="H11" s="2645" t="s">
        <v>2568</v>
      </c>
      <c r="I11" s="2636" t="s">
        <v>2554</v>
      </c>
    </row>
    <row r="12" spans="1:9">
      <c r="A12" s="3646"/>
      <c r="B12" s="3647" t="s">
        <v>2569</v>
      </c>
      <c r="C12" s="3647"/>
      <c r="D12" s="2637"/>
      <c r="E12" s="2637"/>
      <c r="F12" s="2638"/>
      <c r="G12" s="2639"/>
      <c r="H12" s="2646"/>
      <c r="I12" s="2636">
        <f>ROUND(D12*E12*F12*G12/10000,0)</f>
        <v>0</v>
      </c>
    </row>
    <row r="13" spans="1:9">
      <c r="A13" s="3646"/>
      <c r="B13" s="3647" t="s">
        <v>2570</v>
      </c>
      <c r="C13" s="3647"/>
      <c r="D13" s="2637"/>
      <c r="E13" s="2637"/>
      <c r="F13" s="2638"/>
      <c r="G13" s="2639"/>
      <c r="H13" s="2646"/>
      <c r="I13" s="2636">
        <f>ROUND(D13*E13*F13*G13/10000,0)</f>
        <v>0</v>
      </c>
    </row>
    <row r="14" spans="1:9">
      <c r="A14" s="3646"/>
      <c r="B14" s="3647" t="s">
        <v>2571</v>
      </c>
      <c r="C14" s="3647"/>
      <c r="D14" s="2637"/>
      <c r="E14" s="2637"/>
      <c r="F14" s="2638"/>
      <c r="G14" s="2639"/>
      <c r="H14" s="2646"/>
      <c r="I14" s="2636">
        <f>ROUND(D14*E14*F14*G14/10000,0)</f>
        <v>0</v>
      </c>
    </row>
    <row r="15" spans="1:9">
      <c r="A15" s="3646"/>
      <c r="B15" s="3648" t="s">
        <v>2562</v>
      </c>
      <c r="C15" s="3648"/>
      <c r="D15" s="2641"/>
      <c r="E15" s="2641">
        <f>SUM(E12:E14)</f>
        <v>0</v>
      </c>
      <c r="F15" s="2642"/>
      <c r="G15" s="2639"/>
      <c r="H15" s="2646"/>
      <c r="I15" s="2647">
        <f>SUM(I12:I14)</f>
        <v>0</v>
      </c>
    </row>
    <row r="16" spans="1:9" ht="24">
      <c r="A16" s="3646" t="s">
        <v>2572</v>
      </c>
      <c r="B16" s="3647" t="s">
        <v>2573</v>
      </c>
      <c r="C16" s="3647"/>
      <c r="D16" s="2637" t="s">
        <v>2549</v>
      </c>
      <c r="E16" s="2648" t="s">
        <v>2574</v>
      </c>
      <c r="F16" s="2638" t="s">
        <v>2575</v>
      </c>
      <c r="G16" s="2639" t="s">
        <v>2553</v>
      </c>
      <c r="H16" s="2645" t="s">
        <v>2568</v>
      </c>
      <c r="I16" s="2636" t="s">
        <v>2554</v>
      </c>
    </row>
    <row r="17" spans="1:9" ht="14.25">
      <c r="A17" s="3646"/>
      <c r="B17" s="3647" t="s">
        <v>2576</v>
      </c>
      <c r="C17" s="3647"/>
      <c r="D17" s="2637"/>
      <c r="E17" s="2637"/>
      <c r="F17" s="2638"/>
      <c r="G17" s="2639"/>
      <c r="H17" s="2649"/>
      <c r="I17" s="2650">
        <f>ROUND(D17*E17*F17*G17/10000,0)</f>
        <v>0</v>
      </c>
    </row>
    <row r="18" spans="1:9" ht="14.25">
      <c r="A18" s="3646"/>
      <c r="B18" s="3647" t="s">
        <v>2577</v>
      </c>
      <c r="C18" s="3647"/>
      <c r="D18" s="2637"/>
      <c r="E18" s="2637"/>
      <c r="F18" s="2638"/>
      <c r="G18" s="2639"/>
      <c r="H18" s="2649"/>
      <c r="I18" s="2650">
        <f>ROUND(D18*E18*F18*G18/10000,0)</f>
        <v>0</v>
      </c>
    </row>
    <row r="19" spans="1:9" ht="14.25">
      <c r="A19" s="3646"/>
      <c r="B19" s="3647" t="s">
        <v>2578</v>
      </c>
      <c r="C19" s="3647"/>
      <c r="D19" s="2637"/>
      <c r="E19" s="2637"/>
      <c r="F19" s="2638"/>
      <c r="G19" s="2639"/>
      <c r="H19" s="2649"/>
      <c r="I19" s="2650">
        <f>ROUND(D19*E19*F19*G19/10000,0)</f>
        <v>0</v>
      </c>
    </row>
    <row r="20" spans="1:9">
      <c r="A20" s="3646"/>
      <c r="B20" s="3648" t="s">
        <v>2562</v>
      </c>
      <c r="C20" s="3648"/>
      <c r="D20" s="2641">
        <f>SUM(D17:D19)</f>
        <v>0</v>
      </c>
      <c r="E20" s="2641"/>
      <c r="F20" s="2642"/>
      <c r="G20" s="2639"/>
      <c r="H20" s="2646"/>
      <c r="I20" s="2647">
        <f>SUM(I17:I19)</f>
        <v>0</v>
      </c>
    </row>
    <row r="21" spans="1:9">
      <c r="A21" s="3646" t="s">
        <v>2579</v>
      </c>
      <c r="B21" s="3649"/>
      <c r="C21" s="3649"/>
      <c r="D21" s="3649"/>
      <c r="E21" s="3649"/>
      <c r="F21" s="3649"/>
      <c r="G21" s="3649"/>
      <c r="H21" s="3293">
        <v>0.1</v>
      </c>
      <c r="I21" s="2644">
        <f>ROUND(I10*H21,0)</f>
        <v>0</v>
      </c>
    </row>
    <row r="22" spans="1:9" ht="14.25">
      <c r="A22" s="3650" t="s">
        <v>2580</v>
      </c>
      <c r="B22" s="3651"/>
      <c r="C22" s="3652"/>
      <c r="D22" s="2651" t="s">
        <v>2581</v>
      </c>
      <c r="E22" s="2651" t="s">
        <v>2582</v>
      </c>
      <c r="F22" s="2652" t="s">
        <v>2583</v>
      </c>
      <c r="G22" s="2652" t="s">
        <v>2584</v>
      </c>
      <c r="H22" s="2645" t="s">
        <v>2585</v>
      </c>
      <c r="I22" s="2636" t="s">
        <v>2586</v>
      </c>
    </row>
    <row r="23" spans="1:9" ht="14.25" thickBot="1">
      <c r="A23" s="3653"/>
      <c r="B23" s="3654"/>
      <c r="C23" s="3655"/>
      <c r="D23" s="2653"/>
      <c r="E23" s="2653"/>
      <c r="F23" s="2653"/>
      <c r="G23" s="2654"/>
      <c r="H23" s="2655"/>
      <c r="I23" s="2656">
        <f>ROUND(E23*D23*F23*(1-G23)/10000,0)</f>
        <v>0</v>
      </c>
    </row>
    <row r="26" spans="1:9">
      <c r="A26" s="2657" t="s">
        <v>2587</v>
      </c>
      <c r="B26" s="2657"/>
      <c r="C26" s="2657"/>
      <c r="D26" s="2657"/>
      <c r="E26" s="3643">
        <f>C27-C30-C31-C32</f>
        <v>0</v>
      </c>
      <c r="F26" s="3643"/>
      <c r="G26" s="3643"/>
      <c r="H26" s="3246" t="s">
        <v>2958</v>
      </c>
    </row>
    <row r="27" spans="1:9">
      <c r="A27" s="2658">
        <v>1</v>
      </c>
      <c r="B27" s="2659" t="s">
        <v>2588</v>
      </c>
      <c r="C27" s="2659">
        <f>C28+C29</f>
        <v>0</v>
      </c>
      <c r="D27" s="2659"/>
      <c r="E27" s="3644"/>
      <c r="F27" s="3644"/>
      <c r="G27" s="3644"/>
    </row>
    <row r="28" spans="1:9">
      <c r="A28" s="2660" t="s">
        <v>2589</v>
      </c>
      <c r="B28" s="2659" t="s">
        <v>2590</v>
      </c>
      <c r="C28" s="2659"/>
      <c r="D28" s="2659"/>
      <c r="E28" s="3644"/>
      <c r="F28" s="3644"/>
      <c r="G28" s="3644"/>
    </row>
    <row r="29" spans="1:9">
      <c r="A29" s="2660" t="s">
        <v>2591</v>
      </c>
      <c r="B29" s="2659" t="s">
        <v>2592</v>
      </c>
      <c r="C29" s="2659"/>
      <c r="D29" s="2659"/>
      <c r="E29" s="2659" t="s">
        <v>2593</v>
      </c>
      <c r="F29" s="2659"/>
      <c r="G29" s="2659"/>
    </row>
    <row r="30" spans="1:9">
      <c r="A30" s="2658">
        <v>2</v>
      </c>
      <c r="B30" s="2659" t="s">
        <v>2594</v>
      </c>
      <c r="C30" s="2659">
        <f>C27*D30</f>
        <v>0</v>
      </c>
      <c r="D30" s="2661">
        <v>0.2</v>
      </c>
      <c r="E30" s="2659" t="s">
        <v>2595</v>
      </c>
      <c r="F30" s="2659"/>
      <c r="G30" s="2659"/>
    </row>
    <row r="31" spans="1:9">
      <c r="A31" s="2658">
        <v>3</v>
      </c>
      <c r="B31" s="2659" t="s">
        <v>2596</v>
      </c>
      <c r="C31" s="2659">
        <f>C25*D31</f>
        <v>0</v>
      </c>
      <c r="D31" s="2661">
        <v>0.15</v>
      </c>
      <c r="E31" s="2659" t="s">
        <v>2597</v>
      </c>
      <c r="F31" s="2659"/>
      <c r="G31" s="2659"/>
    </row>
    <row r="32" spans="1:9">
      <c r="A32" s="2658">
        <v>4</v>
      </c>
      <c r="B32" s="2659" t="s">
        <v>2598</v>
      </c>
      <c r="C32" s="2659">
        <f>C27*D32</f>
        <v>0</v>
      </c>
      <c r="D32" s="2661">
        <v>0.05</v>
      </c>
      <c r="E32" s="3645"/>
      <c r="F32" s="3645"/>
      <c r="G32" s="3645"/>
    </row>
    <row r="33" spans="1:7" hidden="1">
      <c r="A33" s="3640" t="s">
        <v>2599</v>
      </c>
      <c r="B33" s="3641"/>
      <c r="C33" s="3641"/>
      <c r="D33" s="3642"/>
      <c r="E33" s="3643"/>
      <c r="F33" s="3643"/>
      <c r="G33" s="3643"/>
    </row>
    <row r="34" spans="1:7" hidden="1">
      <c r="A34" s="2662">
        <v>1</v>
      </c>
      <c r="B34" s="2659" t="s">
        <v>2600</v>
      </c>
      <c r="C34" s="2659"/>
      <c r="D34" s="2659"/>
      <c r="E34" s="3644"/>
      <c r="F34" s="3644"/>
      <c r="G34" s="3644"/>
    </row>
    <row r="35" spans="1:7" hidden="1">
      <c r="A35" s="2662">
        <v>2</v>
      </c>
      <c r="B35" s="2659" t="s">
        <v>2601</v>
      </c>
      <c r="C35" s="2659"/>
      <c r="D35" s="2659"/>
      <c r="E35" s="3644"/>
      <c r="F35" s="3644"/>
      <c r="G35" s="3644"/>
    </row>
    <row r="36" spans="1:7" hidden="1">
      <c r="A36" s="2662">
        <v>3</v>
      </c>
      <c r="B36" s="2659" t="s">
        <v>2602</v>
      </c>
      <c r="C36" s="2659"/>
      <c r="D36" s="2659"/>
      <c r="E36" s="3644"/>
      <c r="F36" s="3644"/>
      <c r="G36" s="3644"/>
    </row>
    <row r="37" spans="1:7" hidden="1">
      <c r="A37" s="2662">
        <v>4</v>
      </c>
      <c r="B37" s="2659" t="s">
        <v>2603</v>
      </c>
      <c r="C37" s="2659"/>
      <c r="D37" s="2659"/>
      <c r="E37" s="3644"/>
      <c r="F37" s="3644"/>
      <c r="G37" s="3644"/>
    </row>
    <row r="38" spans="1:7" hidden="1">
      <c r="A38" s="3640" t="s">
        <v>2604</v>
      </c>
      <c r="B38" s="3641"/>
      <c r="C38" s="3641"/>
      <c r="D38" s="3642"/>
      <c r="E38" s="3643"/>
      <c r="F38" s="3643"/>
      <c r="G38" s="36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098" t="s">
        <v>981</v>
      </c>
      <c r="C1" s="3099" t="s">
        <v>982</v>
      </c>
      <c r="D1" s="3100"/>
      <c r="E1" s="3101"/>
      <c r="F1" s="3102" t="s">
        <v>2695</v>
      </c>
      <c r="G1" s="3104" t="s">
        <v>983</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984</v>
      </c>
      <c r="B2" s="2841" t="e">
        <f ca="1">IF(C2="——",ROUND(C49*D3/10000,0),ROUND(C49*D3/10000,0)-D2)</f>
        <v>#DIV/0!</v>
      </c>
      <c r="C2" s="3094"/>
      <c r="D2" s="2721" t="e">
        <f ca="1">SUMIF(INDIRECT("'"&amp;F2&amp;"'"&amp;"!A:A"),"承租人权益价值",INDIRECT("'"&amp;F2&amp;"'"&amp;"!c:c"))</f>
        <v>#REF!</v>
      </c>
      <c r="E2" s="3095" t="s">
        <v>869</v>
      </c>
      <c r="F2" s="3096"/>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2099.0100000000002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987</v>
      </c>
      <c r="B4" s="144"/>
      <c r="C4" s="3605" t="s">
        <v>988</v>
      </c>
      <c r="D4" s="3606"/>
      <c r="E4" s="3607" t="s">
        <v>989</v>
      </c>
      <c r="F4" s="3608"/>
      <c r="G4" s="3605" t="s">
        <v>990</v>
      </c>
      <c r="H4" s="3606"/>
      <c r="I4" s="3605" t="s">
        <v>991</v>
      </c>
      <c r="J4" s="3606"/>
      <c r="K4" s="145" t="s">
        <v>992</v>
      </c>
      <c r="L4" s="2293"/>
      <c r="M4" s="2294"/>
      <c r="N4" s="2294"/>
      <c r="O4" s="2294"/>
      <c r="P4" s="3665" t="s">
        <v>987</v>
      </c>
      <c r="Q4" s="3666"/>
      <c r="R4" s="3669" t="s">
        <v>989</v>
      </c>
      <c r="S4" s="3670"/>
      <c r="T4" s="3669" t="s">
        <v>990</v>
      </c>
      <c r="U4" s="3670"/>
      <c r="V4" s="3622" t="s">
        <v>991</v>
      </c>
      <c r="W4" s="3622"/>
      <c r="X4" s="1340"/>
      <c r="Y4" s="3669" t="s">
        <v>987</v>
      </c>
      <c r="Z4" s="3670"/>
      <c r="AA4" s="3664" t="s">
        <v>989</v>
      </c>
      <c r="AB4" s="3664" t="s">
        <v>990</v>
      </c>
      <c r="AC4" s="3664" t="s">
        <v>991</v>
      </c>
    </row>
    <row r="5" spans="1:29">
      <c r="A5" s="146"/>
      <c r="B5" s="147"/>
      <c r="C5" s="3625" t="s">
        <v>993</v>
      </c>
      <c r="D5" s="3626"/>
      <c r="E5" s="3673" t="s">
        <v>994</v>
      </c>
      <c r="F5" s="3674"/>
      <c r="G5" s="3625" t="s">
        <v>995</v>
      </c>
      <c r="H5" s="3626"/>
      <c r="I5" s="3625" t="s">
        <v>996</v>
      </c>
      <c r="J5" s="3626"/>
      <c r="K5" s="152"/>
      <c r="L5" s="2293"/>
      <c r="M5" s="2294"/>
      <c r="N5" s="2294"/>
      <c r="O5" s="2294"/>
      <c r="P5" s="3667"/>
      <c r="Q5" s="3612"/>
      <c r="R5" s="3617"/>
      <c r="S5" s="3618"/>
      <c r="T5" s="3617"/>
      <c r="U5" s="3618"/>
      <c r="V5" s="3622"/>
      <c r="W5" s="3622"/>
      <c r="X5" s="1340"/>
      <c r="Y5" s="3617"/>
      <c r="Z5" s="3618"/>
      <c r="AA5" s="3632"/>
      <c r="AB5" s="3632"/>
      <c r="AC5" s="3632"/>
    </row>
    <row r="6" spans="1:29" ht="14.25" thickBot="1">
      <c r="A6" s="148"/>
      <c r="B6" s="149"/>
      <c r="C6" s="3623" t="s">
        <v>997</v>
      </c>
      <c r="D6" s="3624"/>
      <c r="E6" s="3671" t="s">
        <v>997</v>
      </c>
      <c r="F6" s="3672"/>
      <c r="G6" s="3623" t="s">
        <v>997</v>
      </c>
      <c r="H6" s="3624"/>
      <c r="I6" s="3623" t="s">
        <v>997</v>
      </c>
      <c r="J6" s="3624"/>
      <c r="K6" s="152" t="s">
        <v>998</v>
      </c>
      <c r="L6" s="2293"/>
      <c r="M6" s="2294"/>
      <c r="N6" s="2294"/>
      <c r="O6" s="2294"/>
      <c r="P6" s="3668"/>
      <c r="Q6" s="3614"/>
      <c r="R6" s="3617"/>
      <c r="S6" s="3618"/>
      <c r="T6" s="3619"/>
      <c r="U6" s="3620"/>
      <c r="V6" s="3622"/>
      <c r="W6" s="3622"/>
      <c r="X6" s="1340"/>
      <c r="Y6" s="3619"/>
      <c r="Z6" s="3620"/>
      <c r="AA6" s="3633"/>
      <c r="AB6" s="3633"/>
      <c r="AC6" s="3633"/>
    </row>
    <row r="7" spans="1:29" s="40" customFormat="1" ht="15" thickBot="1">
      <c r="A7" s="1014" t="s">
        <v>999</v>
      </c>
      <c r="B7" s="1015"/>
      <c r="C7" s="1016">
        <f>'数据-取费表'!B2</f>
        <v>42962</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9" t="s">
        <v>999</v>
      </c>
      <c r="Q7" s="3630"/>
      <c r="R7" s="1342" t="s">
        <v>115</v>
      </c>
      <c r="S7" s="1343">
        <f t="shared" ref="S7:S15" si="0">F7</f>
        <v>0</v>
      </c>
      <c r="T7" s="1342" t="s">
        <v>115</v>
      </c>
      <c r="U7" s="1343">
        <f t="shared" ref="U7:U15" si="1">H7</f>
        <v>0</v>
      </c>
      <c r="V7" s="1342" t="s">
        <v>115</v>
      </c>
      <c r="W7" s="1343">
        <f t="shared" ref="W7:W15" si="2">J7</f>
        <v>0</v>
      </c>
      <c r="X7" s="287"/>
      <c r="Y7" s="3629" t="s">
        <v>999</v>
      </c>
      <c r="Z7" s="3628"/>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9" t="s">
        <v>1000</v>
      </c>
      <c r="Q8" s="3628"/>
      <c r="R8" s="1342" t="s">
        <v>115</v>
      </c>
      <c r="S8" s="1343">
        <f t="shared" si="0"/>
        <v>0</v>
      </c>
      <c r="T8" s="1342" t="s">
        <v>115</v>
      </c>
      <c r="U8" s="1343">
        <f t="shared" si="1"/>
        <v>0</v>
      </c>
      <c r="V8" s="1342" t="s">
        <v>115</v>
      </c>
      <c r="W8" s="1343">
        <f t="shared" si="2"/>
        <v>0</v>
      </c>
      <c r="X8" s="287"/>
      <c r="Y8" s="3629" t="s">
        <v>1000</v>
      </c>
      <c r="Z8" s="3628"/>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587"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587"/>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587"/>
      <c r="Q11" s="7" t="str">
        <f t="shared" si="6"/>
        <v>容积率</v>
      </c>
      <c r="R11" s="1342" t="s">
        <v>104</v>
      </c>
      <c r="S11" s="1343" t="e">
        <f t="shared" si="0"/>
        <v>#N/A</v>
      </c>
      <c r="T11" s="1342" t="s">
        <v>104</v>
      </c>
      <c r="U11" s="1343" t="e">
        <f t="shared" si="1"/>
        <v>#N/A</v>
      </c>
      <c r="V11" s="1342" t="s">
        <v>104</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587"/>
      <c r="Q12" s="7">
        <f t="shared" si="6"/>
        <v>111</v>
      </c>
      <c r="R12" s="1342" t="s">
        <v>104</v>
      </c>
      <c r="S12" s="1343">
        <f t="shared" si="0"/>
        <v>100</v>
      </c>
      <c r="T12" s="1342" t="s">
        <v>104</v>
      </c>
      <c r="U12" s="1343">
        <f t="shared" si="1"/>
        <v>100</v>
      </c>
      <c r="V12" s="1342" t="s">
        <v>104</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587"/>
      <c r="Q13" s="7">
        <f t="shared" si="6"/>
        <v>111</v>
      </c>
      <c r="R13" s="1342" t="s">
        <v>104</v>
      </c>
      <c r="S13" s="1343">
        <f t="shared" si="0"/>
        <v>100</v>
      </c>
      <c r="T13" s="1342" t="s">
        <v>104</v>
      </c>
      <c r="U13" s="1343">
        <f t="shared" si="1"/>
        <v>100</v>
      </c>
      <c r="V13" s="1342" t="s">
        <v>104</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587"/>
      <c r="Q14" s="7">
        <f t="shared" si="6"/>
        <v>111</v>
      </c>
      <c r="R14" s="1342" t="s">
        <v>104</v>
      </c>
      <c r="S14" s="1343">
        <f t="shared" si="0"/>
        <v>100</v>
      </c>
      <c r="T14" s="1342" t="s">
        <v>104</v>
      </c>
      <c r="U14" s="1343">
        <f t="shared" si="1"/>
        <v>100</v>
      </c>
      <c r="V14" s="1342" t="s">
        <v>104</v>
      </c>
      <c r="W14" s="1343">
        <f t="shared" si="2"/>
        <v>100</v>
      </c>
      <c r="X14" s="287"/>
      <c r="Y14" s="343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593" t="s">
        <v>69</v>
      </c>
      <c r="Q15" s="1351" t="str">
        <f t="shared" si="6"/>
        <v>居住社区成熟度</v>
      </c>
      <c r="R15" s="1352" t="s">
        <v>104</v>
      </c>
      <c r="S15" s="1353">
        <f t="shared" si="0"/>
        <v>100</v>
      </c>
      <c r="T15" s="1352" t="s">
        <v>104</v>
      </c>
      <c r="U15" s="1353">
        <f t="shared" si="1"/>
        <v>100</v>
      </c>
      <c r="V15" s="1352" t="s">
        <v>104</v>
      </c>
      <c r="W15" s="1353">
        <f t="shared" si="2"/>
        <v>100</v>
      </c>
      <c r="X15" s="1340"/>
      <c r="Y15" s="359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594"/>
      <c r="Q16" s="1351"/>
      <c r="R16" s="1352"/>
      <c r="S16" s="1353"/>
      <c r="T16" s="1352"/>
      <c r="U16" s="1353"/>
      <c r="V16" s="1352"/>
      <c r="W16" s="1353"/>
      <c r="X16" s="1340"/>
      <c r="Y16" s="359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594"/>
      <c r="Q17" s="1351" t="str">
        <f>B17</f>
        <v>交通便捷度</v>
      </c>
      <c r="R17" s="1352" t="s">
        <v>104</v>
      </c>
      <c r="S17" s="1353">
        <f>F17</f>
        <v>100</v>
      </c>
      <c r="T17" s="1352" t="s">
        <v>104</v>
      </c>
      <c r="U17" s="1353">
        <f>H17</f>
        <v>100</v>
      </c>
      <c r="V17" s="1352" t="s">
        <v>104</v>
      </c>
      <c r="W17" s="1353">
        <f>J17</f>
        <v>100</v>
      </c>
      <c r="X17" s="1340"/>
      <c r="Y17" s="359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594"/>
      <c r="Q18" s="1351"/>
      <c r="R18" s="1352"/>
      <c r="S18" s="1353"/>
      <c r="T18" s="1352"/>
      <c r="U18" s="1353"/>
      <c r="V18" s="1352"/>
      <c r="W18" s="1353"/>
      <c r="X18" s="1340"/>
      <c r="Y18" s="3596"/>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594"/>
      <c r="Q19" s="1351" t="str">
        <f>B19</f>
        <v>公共配套设施</v>
      </c>
      <c r="R19" s="1352" t="s">
        <v>104</v>
      </c>
      <c r="S19" s="1353">
        <f>F19</f>
        <v>100</v>
      </c>
      <c r="T19" s="1352" t="s">
        <v>104</v>
      </c>
      <c r="U19" s="1353">
        <f>H19</f>
        <v>100</v>
      </c>
      <c r="V19" s="1352" t="s">
        <v>104</v>
      </c>
      <c r="W19" s="1353">
        <f>J19</f>
        <v>100</v>
      </c>
      <c r="X19" s="1340"/>
      <c r="Y19" s="359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594"/>
      <c r="Q20" s="1351"/>
      <c r="R20" s="1352"/>
      <c r="S20" s="1353"/>
      <c r="T20" s="1352"/>
      <c r="U20" s="1353"/>
      <c r="V20" s="1352"/>
      <c r="W20" s="1353"/>
      <c r="X20" s="1340"/>
      <c r="Y20" s="3596"/>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594"/>
      <c r="Q21" s="2743" t="str">
        <f>B21</f>
        <v>基础设施水平</v>
      </c>
      <c r="R21" s="1352" t="s">
        <v>65</v>
      </c>
      <c r="S21" s="1353">
        <f>F21</f>
        <v>100</v>
      </c>
      <c r="T21" s="1352" t="s">
        <v>65</v>
      </c>
      <c r="U21" s="1353">
        <f>H21</f>
        <v>100</v>
      </c>
      <c r="V21" s="1352" t="s">
        <v>65</v>
      </c>
      <c r="W21" s="1353">
        <f>J21</f>
        <v>100</v>
      </c>
      <c r="X21" s="2745"/>
      <c r="Y21" s="3596"/>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9"/>
      <c r="M22" s="2294"/>
      <c r="N22" s="2294"/>
      <c r="O22" s="2294"/>
      <c r="P22" s="3594"/>
      <c r="Q22" s="2743"/>
      <c r="R22" s="1352"/>
      <c r="S22" s="1353"/>
      <c r="T22" s="1352"/>
      <c r="U22" s="1353"/>
      <c r="V22" s="1352"/>
      <c r="W22" s="1353"/>
      <c r="X22" s="2745"/>
      <c r="Y22" s="3596"/>
      <c r="Z22" s="2744"/>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594"/>
      <c r="Q23" s="1351" t="str">
        <f>B23</f>
        <v>自然及人文环境</v>
      </c>
      <c r="R23" s="1352" t="s">
        <v>104</v>
      </c>
      <c r="S23" s="1353">
        <f>F23</f>
        <v>100</v>
      </c>
      <c r="T23" s="1352" t="s">
        <v>104</v>
      </c>
      <c r="U23" s="1353">
        <f>H23</f>
        <v>100</v>
      </c>
      <c r="V23" s="1352" t="s">
        <v>104</v>
      </c>
      <c r="W23" s="1353">
        <f>J23</f>
        <v>100</v>
      </c>
      <c r="X23" s="1340"/>
      <c r="Y23" s="359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594"/>
      <c r="Q24" s="1351"/>
      <c r="R24" s="1352"/>
      <c r="S24" s="1353"/>
      <c r="T24" s="1352"/>
      <c r="U24" s="1353"/>
      <c r="V24" s="1352"/>
      <c r="W24" s="1353"/>
      <c r="X24" s="1340"/>
      <c r="Y24" s="3596"/>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59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594"/>
      <c r="Q26" s="1351" t="str">
        <f t="shared" si="11"/>
        <v>朝向</v>
      </c>
      <c r="R26" s="1352" t="s">
        <v>104</v>
      </c>
      <c r="S26" s="1353">
        <f t="shared" si="12"/>
        <v>100</v>
      </c>
      <c r="T26" s="1352" t="s">
        <v>104</v>
      </c>
      <c r="U26" s="1353">
        <f t="shared" si="13"/>
        <v>100</v>
      </c>
      <c r="V26" s="1352" t="s">
        <v>104</v>
      </c>
      <c r="W26" s="1353">
        <f t="shared" si="14"/>
        <v>100</v>
      </c>
      <c r="X26" s="1340"/>
      <c r="Y26" s="359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594"/>
      <c r="Q27" s="7">
        <f t="shared" si="11"/>
        <v>111</v>
      </c>
      <c r="R27" s="1342" t="s">
        <v>104</v>
      </c>
      <c r="S27" s="1343">
        <f t="shared" si="12"/>
        <v>100</v>
      </c>
      <c r="T27" s="1342" t="s">
        <v>104</v>
      </c>
      <c r="U27" s="1343">
        <f t="shared" si="13"/>
        <v>100</v>
      </c>
      <c r="V27" s="1342" t="s">
        <v>104</v>
      </c>
      <c r="W27" s="1343">
        <f t="shared" si="14"/>
        <v>100</v>
      </c>
      <c r="X27" s="287"/>
      <c r="Y27" s="359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594"/>
      <c r="Q28" s="1351">
        <f t="shared" si="11"/>
        <v>111</v>
      </c>
      <c r="R28" s="1352" t="s">
        <v>104</v>
      </c>
      <c r="S28" s="1353">
        <f t="shared" si="12"/>
        <v>100</v>
      </c>
      <c r="T28" s="1352" t="s">
        <v>104</v>
      </c>
      <c r="U28" s="1353">
        <f t="shared" si="13"/>
        <v>100</v>
      </c>
      <c r="V28" s="1352" t="s">
        <v>104</v>
      </c>
      <c r="W28" s="1353">
        <f t="shared" si="14"/>
        <v>100</v>
      </c>
      <c r="X28" s="1340"/>
      <c r="Y28" s="359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594"/>
      <c r="Q29" s="1351">
        <f t="shared" si="11"/>
        <v>111</v>
      </c>
      <c r="R29" s="1352" t="s">
        <v>104</v>
      </c>
      <c r="S29" s="1353">
        <f t="shared" si="12"/>
        <v>100</v>
      </c>
      <c r="T29" s="1352" t="s">
        <v>104</v>
      </c>
      <c r="U29" s="1353">
        <f t="shared" si="13"/>
        <v>100</v>
      </c>
      <c r="V29" s="1352" t="s">
        <v>104</v>
      </c>
      <c r="W29" s="1353">
        <f t="shared" si="14"/>
        <v>100</v>
      </c>
      <c r="X29" s="1340"/>
      <c r="Y29" s="359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594"/>
      <c r="Q30" s="1351">
        <f t="shared" si="11"/>
        <v>111</v>
      </c>
      <c r="R30" s="1352" t="s">
        <v>104</v>
      </c>
      <c r="S30" s="1353">
        <f t="shared" si="12"/>
        <v>100</v>
      </c>
      <c r="T30" s="1352" t="s">
        <v>104</v>
      </c>
      <c r="U30" s="1353">
        <f t="shared" si="13"/>
        <v>100</v>
      </c>
      <c r="V30" s="1352" t="s">
        <v>104</v>
      </c>
      <c r="W30" s="1353">
        <f t="shared" si="14"/>
        <v>100</v>
      </c>
      <c r="X30" s="1340"/>
      <c r="Y30" s="359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594"/>
      <c r="Q31" s="1351">
        <f t="shared" si="11"/>
        <v>111</v>
      </c>
      <c r="R31" s="1352" t="s">
        <v>104</v>
      </c>
      <c r="S31" s="1353">
        <f t="shared" si="12"/>
        <v>100</v>
      </c>
      <c r="T31" s="1352" t="s">
        <v>104</v>
      </c>
      <c r="U31" s="1353">
        <f t="shared" si="13"/>
        <v>100</v>
      </c>
      <c r="V31" s="1352" t="s">
        <v>104</v>
      </c>
      <c r="W31" s="1353">
        <f t="shared" si="14"/>
        <v>100</v>
      </c>
      <c r="X31" s="1340"/>
      <c r="Y31" s="3596"/>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597" t="s">
        <v>70</v>
      </c>
      <c r="Q32" s="1351" t="str">
        <f t="shared" si="11"/>
        <v>建筑类型</v>
      </c>
      <c r="R32" s="1352" t="s">
        <v>104</v>
      </c>
      <c r="S32" s="1353">
        <f t="shared" si="12"/>
        <v>100</v>
      </c>
      <c r="T32" s="1352" t="s">
        <v>104</v>
      </c>
      <c r="U32" s="1353">
        <f t="shared" si="13"/>
        <v>100</v>
      </c>
      <c r="V32" s="1352" t="s">
        <v>104</v>
      </c>
      <c r="W32" s="1353">
        <f t="shared" si="14"/>
        <v>100</v>
      </c>
      <c r="X32" s="1340"/>
      <c r="Y32" s="360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598"/>
      <c r="Q33" s="1359" t="str">
        <f t="shared" si="11"/>
        <v>项目建筑规模</v>
      </c>
      <c r="R33" s="1360" t="s">
        <v>104</v>
      </c>
      <c r="S33" s="1361" t="e">
        <f t="shared" si="12"/>
        <v>#N/A</v>
      </c>
      <c r="T33" s="1360" t="s">
        <v>104</v>
      </c>
      <c r="U33" s="1361" t="e">
        <f t="shared" si="13"/>
        <v>#N/A</v>
      </c>
      <c r="V33" s="1360" t="s">
        <v>104</v>
      </c>
      <c r="W33" s="1361" t="e">
        <f t="shared" si="14"/>
        <v>#N/A</v>
      </c>
      <c r="X33" s="1362"/>
      <c r="Y33" s="360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598"/>
      <c r="Q34" s="1351" t="str">
        <f t="shared" si="11"/>
        <v>建筑结构</v>
      </c>
      <c r="R34" s="1352" t="s">
        <v>104</v>
      </c>
      <c r="S34" s="1353">
        <f t="shared" si="12"/>
        <v>100</v>
      </c>
      <c r="T34" s="1352" t="s">
        <v>104</v>
      </c>
      <c r="U34" s="1353">
        <f t="shared" si="13"/>
        <v>100</v>
      </c>
      <c r="V34" s="1352" t="s">
        <v>104</v>
      </c>
      <c r="W34" s="1353">
        <f t="shared" si="14"/>
        <v>100</v>
      </c>
      <c r="X34" s="1340"/>
      <c r="Y34" s="360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598"/>
      <c r="Q35" s="1351" t="str">
        <f t="shared" si="11"/>
        <v>建筑品质</v>
      </c>
      <c r="R35" s="1352" t="s">
        <v>104</v>
      </c>
      <c r="S35" s="1353">
        <f t="shared" si="12"/>
        <v>100</v>
      </c>
      <c r="T35" s="1352" t="s">
        <v>104</v>
      </c>
      <c r="U35" s="1353">
        <f t="shared" si="13"/>
        <v>100</v>
      </c>
      <c r="V35" s="1352" t="s">
        <v>104</v>
      </c>
      <c r="W35" s="1353">
        <f t="shared" si="14"/>
        <v>100</v>
      </c>
      <c r="X35" s="1340"/>
      <c r="Y35" s="360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598"/>
      <c r="Q36" s="1351" t="str">
        <f t="shared" si="11"/>
        <v>公共部分装修</v>
      </c>
      <c r="R36" s="1352" t="s">
        <v>104</v>
      </c>
      <c r="S36" s="1353">
        <f t="shared" si="12"/>
        <v>100</v>
      </c>
      <c r="T36" s="1352" t="s">
        <v>104</v>
      </c>
      <c r="U36" s="1353">
        <f t="shared" si="13"/>
        <v>100</v>
      </c>
      <c r="V36" s="1352" t="s">
        <v>104</v>
      </c>
      <c r="W36" s="1353">
        <f t="shared" si="14"/>
        <v>100</v>
      </c>
      <c r="X36" s="1340"/>
      <c r="Y36" s="360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598"/>
      <c r="Q37" s="7" t="str">
        <f t="shared" si="11"/>
        <v>成新度</v>
      </c>
      <c r="R37" s="1342" t="s">
        <v>104</v>
      </c>
      <c r="S37" s="1343" t="e">
        <f t="shared" si="12"/>
        <v>#N/A</v>
      </c>
      <c r="T37" s="1342" t="s">
        <v>104</v>
      </c>
      <c r="U37" s="1343" t="e">
        <f t="shared" si="13"/>
        <v>#N/A</v>
      </c>
      <c r="V37" s="1342" t="s">
        <v>104</v>
      </c>
      <c r="W37" s="1343" t="e">
        <f t="shared" si="14"/>
        <v>#N/A</v>
      </c>
      <c r="X37" s="287"/>
      <c r="Y37" s="360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598" t="s">
        <v>70</v>
      </c>
      <c r="Q38" s="1351" t="str">
        <f t="shared" si="11"/>
        <v>物业管理</v>
      </c>
      <c r="R38" s="1352" t="s">
        <v>104</v>
      </c>
      <c r="S38" s="1353">
        <f t="shared" si="12"/>
        <v>100</v>
      </c>
      <c r="T38" s="1352" t="s">
        <v>104</v>
      </c>
      <c r="U38" s="1353">
        <f t="shared" si="13"/>
        <v>100</v>
      </c>
      <c r="V38" s="1352" t="s">
        <v>104</v>
      </c>
      <c r="W38" s="1353">
        <f t="shared" si="14"/>
        <v>100</v>
      </c>
      <c r="X38" s="1340"/>
      <c r="Y38" s="3600"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598"/>
      <c r="Q39" s="1351" t="str">
        <f t="shared" si="11"/>
        <v>市政基础设施</v>
      </c>
      <c r="R39" s="1352" t="s">
        <v>104</v>
      </c>
      <c r="S39" s="1353">
        <f t="shared" si="12"/>
        <v>100</v>
      </c>
      <c r="T39" s="1352" t="s">
        <v>104</v>
      </c>
      <c r="U39" s="1353">
        <f t="shared" si="13"/>
        <v>100</v>
      </c>
      <c r="V39" s="1352" t="s">
        <v>104</v>
      </c>
      <c r="W39" s="1353">
        <f t="shared" si="14"/>
        <v>100</v>
      </c>
      <c r="X39" s="1340"/>
      <c r="Y39" s="360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598"/>
      <c r="Q40" s="1351" t="str">
        <f t="shared" si="11"/>
        <v>房型</v>
      </c>
      <c r="R40" s="1352" t="s">
        <v>104</v>
      </c>
      <c r="S40" s="1353">
        <f t="shared" si="12"/>
        <v>100</v>
      </c>
      <c r="T40" s="1352" t="s">
        <v>104</v>
      </c>
      <c r="U40" s="1353">
        <f t="shared" si="13"/>
        <v>100</v>
      </c>
      <c r="V40" s="1352" t="s">
        <v>104</v>
      </c>
      <c r="W40" s="1353">
        <f t="shared" si="14"/>
        <v>100</v>
      </c>
      <c r="X40" s="1340"/>
      <c r="Y40" s="360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598"/>
      <c r="Q41" s="1359" t="str">
        <f t="shared" si="11"/>
        <v>单套/主力户型建筑面积</v>
      </c>
      <c r="R41" s="1360" t="s">
        <v>104</v>
      </c>
      <c r="S41" s="1361">
        <f t="shared" si="12"/>
        <v>100</v>
      </c>
      <c r="T41" s="1360" t="s">
        <v>104</v>
      </c>
      <c r="U41" s="1361">
        <f t="shared" si="13"/>
        <v>100</v>
      </c>
      <c r="V41" s="1360" t="s">
        <v>104</v>
      </c>
      <c r="W41" s="1361">
        <f t="shared" si="14"/>
        <v>100</v>
      </c>
      <c r="X41" s="1362"/>
      <c r="Y41" s="360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598"/>
      <c r="Q42" s="1351" t="str">
        <f t="shared" si="11"/>
        <v>内部装修</v>
      </c>
      <c r="R42" s="1352" t="s">
        <v>104</v>
      </c>
      <c r="S42" s="1353">
        <f t="shared" si="12"/>
        <v>100</v>
      </c>
      <c r="T42" s="1352" t="s">
        <v>104</v>
      </c>
      <c r="U42" s="1353">
        <f t="shared" si="13"/>
        <v>100</v>
      </c>
      <c r="V42" s="1352" t="s">
        <v>104</v>
      </c>
      <c r="W42" s="1353">
        <f t="shared" si="14"/>
        <v>100</v>
      </c>
      <c r="X42" s="1340"/>
      <c r="Y42" s="3600"/>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598"/>
      <c r="Q43" s="1351" t="str">
        <f t="shared" si="11"/>
        <v>内部装修维护情况</v>
      </c>
      <c r="R43" s="1352" t="s">
        <v>104</v>
      </c>
      <c r="S43" s="1353">
        <f t="shared" si="12"/>
        <v>100</v>
      </c>
      <c r="T43" s="1352" t="s">
        <v>104</v>
      </c>
      <c r="U43" s="1353">
        <f t="shared" si="13"/>
        <v>100</v>
      </c>
      <c r="V43" s="1352" t="s">
        <v>104</v>
      </c>
      <c r="W43" s="1353">
        <f t="shared" si="14"/>
        <v>100</v>
      </c>
      <c r="X43" s="1340"/>
      <c r="Y43" s="360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598"/>
      <c r="Q44" s="7">
        <f t="shared" si="11"/>
        <v>111</v>
      </c>
      <c r="R44" s="1342" t="s">
        <v>104</v>
      </c>
      <c r="S44" s="1343">
        <f t="shared" si="12"/>
        <v>100</v>
      </c>
      <c r="T44" s="1342" t="s">
        <v>104</v>
      </c>
      <c r="U44" s="1343">
        <f t="shared" si="13"/>
        <v>100</v>
      </c>
      <c r="V44" s="1342" t="s">
        <v>104</v>
      </c>
      <c r="W44" s="1343">
        <f t="shared" si="14"/>
        <v>100</v>
      </c>
      <c r="X44" s="287"/>
      <c r="Y44" s="360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598"/>
      <c r="Q45" s="1351">
        <f t="shared" si="11"/>
        <v>111</v>
      </c>
      <c r="R45" s="1352" t="s">
        <v>104</v>
      </c>
      <c r="S45" s="1353">
        <f t="shared" si="12"/>
        <v>100</v>
      </c>
      <c r="T45" s="1352" t="s">
        <v>104</v>
      </c>
      <c r="U45" s="1353">
        <f t="shared" si="13"/>
        <v>100</v>
      </c>
      <c r="V45" s="1352" t="s">
        <v>104</v>
      </c>
      <c r="W45" s="1353">
        <f t="shared" si="14"/>
        <v>100</v>
      </c>
      <c r="X45" s="1340"/>
      <c r="Y45" s="360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599"/>
      <c r="Q46" s="1351">
        <f t="shared" si="11"/>
        <v>111</v>
      </c>
      <c r="R46" s="1352" t="s">
        <v>103</v>
      </c>
      <c r="S46" s="1353">
        <f t="shared" si="12"/>
        <v>100</v>
      </c>
      <c r="T46" s="1352" t="s">
        <v>103</v>
      </c>
      <c r="U46" s="1353">
        <f t="shared" si="13"/>
        <v>100</v>
      </c>
      <c r="V46" s="1352" t="s">
        <v>103</v>
      </c>
      <c r="W46" s="1353">
        <f t="shared" si="14"/>
        <v>100</v>
      </c>
      <c r="X46" s="1340"/>
      <c r="Y46" s="3601"/>
      <c r="Z46" s="1354">
        <f t="shared" si="18"/>
        <v>111</v>
      </c>
      <c r="AA46" s="1355">
        <f t="shared" si="15"/>
        <v>1</v>
      </c>
      <c r="AB46" s="1355">
        <f t="shared" si="16"/>
        <v>1</v>
      </c>
      <c r="AC46" s="1355">
        <f t="shared" si="17"/>
        <v>1</v>
      </c>
    </row>
    <row r="47" spans="1:29" ht="15">
      <c r="A47" s="163" t="s">
        <v>102</v>
      </c>
      <c r="B47" s="164"/>
      <c r="C47" s="2830" t="s">
        <v>101</v>
      </c>
      <c r="D47" s="2831"/>
      <c r="E47" s="2832"/>
      <c r="F47" s="2833"/>
      <c r="G47" s="2834"/>
      <c r="H47" s="2835"/>
      <c r="I47" s="2832"/>
      <c r="J47" s="2835"/>
      <c r="K47" s="1364"/>
      <c r="L47" s="2301"/>
      <c r="M47" s="2302"/>
      <c r="N47" s="2294"/>
      <c r="O47" s="2302"/>
      <c r="P47" s="3588" t="str">
        <f>A47</f>
        <v>成交单价（元/平方米）</v>
      </c>
      <c r="Q47" s="3588"/>
      <c r="R47" s="3589">
        <f>E47</f>
        <v>0</v>
      </c>
      <c r="S47" s="3589"/>
      <c r="T47" s="3589">
        <f>G47</f>
        <v>0</v>
      </c>
      <c r="U47" s="3589"/>
      <c r="V47" s="3589">
        <f>I47</f>
        <v>0</v>
      </c>
      <c r="W47" s="3589"/>
      <c r="X47" s="1365"/>
      <c r="Y47" s="1366"/>
      <c r="Z47" s="1365"/>
      <c r="AA47" s="1365"/>
      <c r="AB47" s="1365"/>
      <c r="AC47" s="1365"/>
    </row>
    <row r="48" spans="1:29" ht="15.75" thickBot="1">
      <c r="A48" s="165" t="s">
        <v>100</v>
      </c>
      <c r="B48" s="166"/>
      <c r="C48" s="2836" t="e">
        <f>R49</f>
        <v>#DIV/0!</v>
      </c>
      <c r="D48" s="2837"/>
      <c r="E48" s="2838" t="e">
        <f>R48</f>
        <v>#DIV/0!</v>
      </c>
      <c r="F48" s="2838"/>
      <c r="G48" s="2836" t="e">
        <f>T48</f>
        <v>#DIV/0!</v>
      </c>
      <c r="H48" s="2837"/>
      <c r="I48" s="2838" t="e">
        <f>V48</f>
        <v>#DIV/0!</v>
      </c>
      <c r="J48" s="2837"/>
      <c r="K48" s="1367"/>
      <c r="L48" s="2301"/>
      <c r="M48" s="2302"/>
      <c r="N48" s="2302"/>
      <c r="O48" s="2302"/>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3016</v>
      </c>
      <c r="B49" s="116"/>
      <c r="C49" s="2839" t="e">
        <f>R49</f>
        <v>#DIV/0!</v>
      </c>
      <c r="D49" s="2840"/>
      <c r="E49" s="2840"/>
      <c r="F49" s="2840"/>
      <c r="G49" s="2840"/>
      <c r="H49" s="2840"/>
      <c r="I49" s="2840"/>
      <c r="J49" s="2840"/>
      <c r="K49" s="1368"/>
      <c r="L49" s="2301"/>
      <c r="M49" s="2302"/>
      <c r="N49" s="2302"/>
      <c r="O49" s="2302"/>
      <c r="P49" s="3661" t="str">
        <f>A49</f>
        <v>估价对象XX用房的比较价值（楼面单价，元/平方米）</v>
      </c>
      <c r="Q49" s="3662"/>
      <c r="R49" s="3663" t="e">
        <f>IF(F1="售价",ROUND(AVERAGE(R48:V48),0),ROUND(AVERAGE(R48:V48),1))</f>
        <v>#DIV/0!</v>
      </c>
      <c r="S49" s="3663"/>
      <c r="T49" s="3663"/>
      <c r="U49" s="3663"/>
      <c r="V49" s="3663"/>
      <c r="W49" s="3663"/>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2795</v>
      </c>
      <c r="B58" s="849"/>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60" t="s">
        <v>2309</v>
      </c>
      <c r="E144" s="2162">
        <v>102</v>
      </c>
      <c r="F144" s="2169">
        <v>100</v>
      </c>
      <c r="G144" s="1160"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2007</v>
      </c>
    </row>
    <row r="2" spans="1:1">
      <c r="A2" s="1944"/>
    </row>
    <row r="3" spans="1:1" ht="18.75">
      <c r="A3" s="2883"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2008</v>
      </c>
    </row>
    <row r="6" spans="1:1" ht="18.75">
      <c r="A6" s="3049" t="s">
        <v>2868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估价对象为北京市朝阳区亮马桥路32号房地产，为所有。根据《国有土地使用证》[]，估价对象（分摊）出让国有建设用地使用权面积为0平方米，建筑面积为2099.01平方米。</v>
      </c>
    </row>
    <row r="8" spans="1:1" ht="56.25">
      <c r="A8" s="1989" t="s">
        <v>2862</v>
      </c>
    </row>
    <row r="9" spans="1:1" ht="18.75">
      <c r="A9" s="3049" t="s">
        <v>2869</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0平方米，规划建筑面积为2099.01平方米。</v>
      </c>
    </row>
    <row r="11" spans="1:1" ht="75">
      <c r="A11" s="1989" t="s">
        <v>2903</v>
      </c>
    </row>
    <row r="12" spans="1:1" ht="18.75">
      <c r="A12" s="1946" t="s">
        <v>2009</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2010</v>
      </c>
    </row>
    <row r="15" spans="1:1" ht="18.75">
      <c r="A15" s="1949" t="str">
        <f>TEXT(项目基本情况!D3,"yyyy年m月d日;;")&amp;IF(项目基本情况!D3=项目基本情况!B3,"（评估专业人员实地查勘之日）","")</f>
        <v>2017年8月15日（评估专业人员实地查勘之日）</v>
      </c>
    </row>
    <row r="16" spans="1:1" ht="18.75">
      <c r="A16" s="1948" t="s">
        <v>2012</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2028</v>
      </c>
    </row>
    <row r="24" spans="1:1" ht="18.75">
      <c r="A24" s="1952" t="str">
        <f>"本次评估采用的主估价方法为"&amp;结果表!K4&amp;"和"&amp;结果表!L4&amp;"。"</f>
        <v>本次评估采用的主估价方法为比较法和收益法。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1" t="e">
        <f ca="1">IF(C2="——",ROUND(C49*D3/10000,0),ROUND(C49*D3/10000,0)-D2)</f>
        <v>#DIV/0!</v>
      </c>
      <c r="C2" s="3094"/>
      <c r="D2" s="2721" t="e">
        <f ca="1">SUMIF(INDIRECT("'"&amp;F2&amp;"'"&amp;"!A:A"),"承租人权益价值",INDIRECT("'"&amp;F2&amp;"'"&amp;"!c:c"))</f>
        <v>#REF!</v>
      </c>
      <c r="E2" s="3095" t="s">
        <v>869</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2099.0100000000002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5" t="s">
        <v>54</v>
      </c>
      <c r="D4" s="3606"/>
      <c r="E4" s="3607" t="s">
        <v>55</v>
      </c>
      <c r="F4" s="3608"/>
      <c r="G4" s="3605" t="s">
        <v>56</v>
      </c>
      <c r="H4" s="3606"/>
      <c r="I4" s="3605" t="s">
        <v>57</v>
      </c>
      <c r="J4" s="3606"/>
      <c r="K4" s="187" t="s">
        <v>58</v>
      </c>
      <c r="L4" s="2293"/>
      <c r="M4" s="2294"/>
      <c r="N4" s="2294"/>
      <c r="O4" s="2294"/>
      <c r="P4" s="3665" t="s">
        <v>53</v>
      </c>
      <c r="Q4" s="3666"/>
      <c r="R4" s="3669" t="s">
        <v>55</v>
      </c>
      <c r="S4" s="3670"/>
      <c r="T4" s="3669" t="s">
        <v>56</v>
      </c>
      <c r="U4" s="3670"/>
      <c r="V4" s="3622" t="s">
        <v>57</v>
      </c>
      <c r="W4" s="3622"/>
      <c r="X4" s="1340"/>
      <c r="Y4" s="3669" t="s">
        <v>53</v>
      </c>
      <c r="Z4" s="3670"/>
      <c r="AA4" s="3664" t="s">
        <v>55</v>
      </c>
      <c r="AB4" s="3622" t="s">
        <v>56</v>
      </c>
      <c r="AC4" s="3664" t="s">
        <v>57</v>
      </c>
    </row>
    <row r="5" spans="1:29">
      <c r="A5" s="146"/>
      <c r="B5" s="147"/>
      <c r="C5" s="3625" t="s">
        <v>59</v>
      </c>
      <c r="D5" s="3626"/>
      <c r="E5" s="3673" t="s">
        <v>60</v>
      </c>
      <c r="F5" s="3674"/>
      <c r="G5" s="3625" t="s">
        <v>61</v>
      </c>
      <c r="H5" s="3626"/>
      <c r="I5" s="3625" t="s">
        <v>62</v>
      </c>
      <c r="J5" s="3626"/>
      <c r="K5" s="187"/>
      <c r="L5" s="2293"/>
      <c r="M5" s="2294"/>
      <c r="N5" s="2294"/>
      <c r="O5" s="2294"/>
      <c r="P5" s="3667"/>
      <c r="Q5" s="3612"/>
      <c r="R5" s="3617"/>
      <c r="S5" s="3618"/>
      <c r="T5" s="3617"/>
      <c r="U5" s="3618"/>
      <c r="V5" s="3622"/>
      <c r="W5" s="3622"/>
      <c r="X5" s="1340"/>
      <c r="Y5" s="3617"/>
      <c r="Z5" s="3618"/>
      <c r="AA5" s="3632"/>
      <c r="AB5" s="3622"/>
      <c r="AC5" s="3632"/>
    </row>
    <row r="6" spans="1:29" ht="14.25" thickBot="1">
      <c r="A6" s="148"/>
      <c r="B6" s="149"/>
      <c r="C6" s="3623" t="s">
        <v>63</v>
      </c>
      <c r="D6" s="3624"/>
      <c r="E6" s="3671" t="s">
        <v>63</v>
      </c>
      <c r="F6" s="3672"/>
      <c r="G6" s="3623" t="s">
        <v>63</v>
      </c>
      <c r="H6" s="3624"/>
      <c r="I6" s="3623" t="s">
        <v>63</v>
      </c>
      <c r="J6" s="3624"/>
      <c r="K6" s="187" t="s">
        <v>117</v>
      </c>
      <c r="L6" s="2293"/>
      <c r="M6" s="2294"/>
      <c r="N6" s="2294"/>
      <c r="O6" s="2294"/>
      <c r="P6" s="3668"/>
      <c r="Q6" s="3614"/>
      <c r="R6" s="3617"/>
      <c r="S6" s="3618"/>
      <c r="T6" s="3619"/>
      <c r="U6" s="3620"/>
      <c r="V6" s="3622"/>
      <c r="W6" s="3622"/>
      <c r="X6" s="1340"/>
      <c r="Y6" s="3619"/>
      <c r="Z6" s="3620"/>
      <c r="AA6" s="3633"/>
      <c r="AB6" s="3622"/>
      <c r="AC6" s="3633"/>
    </row>
    <row r="7" spans="1:29" s="40" customFormat="1" ht="15" thickBot="1">
      <c r="A7" s="1014" t="s">
        <v>64</v>
      </c>
      <c r="B7" s="1015"/>
      <c r="C7" s="1016">
        <f>'数据-取费表'!B2</f>
        <v>42962</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29" t="s">
        <v>64</v>
      </c>
      <c r="Q7" s="3630"/>
      <c r="R7" s="1342" t="s">
        <v>65</v>
      </c>
      <c r="S7" s="1343">
        <f t="shared" ref="S7:S15" si="0">F7</f>
        <v>0</v>
      </c>
      <c r="T7" s="1342" t="s">
        <v>65</v>
      </c>
      <c r="U7" s="1343">
        <f t="shared" ref="U7:U15" si="1">H7</f>
        <v>0</v>
      </c>
      <c r="V7" s="1342" t="s">
        <v>65</v>
      </c>
      <c r="W7" s="1343">
        <f t="shared" ref="W7:W15" si="2">J7</f>
        <v>0</v>
      </c>
      <c r="X7" s="287"/>
      <c r="Y7" s="3629" t="s">
        <v>64</v>
      </c>
      <c r="Z7" s="362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29" t="s">
        <v>1022</v>
      </c>
      <c r="Q8" s="3628"/>
      <c r="R8" s="1342" t="s">
        <v>65</v>
      </c>
      <c r="S8" s="1343">
        <f t="shared" si="0"/>
        <v>0</v>
      </c>
      <c r="T8" s="1342" t="s">
        <v>65</v>
      </c>
      <c r="U8" s="1343">
        <f t="shared" si="1"/>
        <v>0</v>
      </c>
      <c r="V8" s="1342" t="s">
        <v>65</v>
      </c>
      <c r="W8" s="1343">
        <f t="shared" si="2"/>
        <v>0</v>
      </c>
      <c r="X8" s="287"/>
      <c r="Y8" s="3629" t="s">
        <v>1022</v>
      </c>
      <c r="Z8" s="3628"/>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587"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587"/>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587"/>
      <c r="Q11" s="7" t="str">
        <f t="shared" si="6"/>
        <v>容积率</v>
      </c>
      <c r="R11" s="1342" t="s">
        <v>65</v>
      </c>
      <c r="S11" s="1343" t="e">
        <f t="shared" si="0"/>
        <v>#N/A</v>
      </c>
      <c r="T11" s="1342" t="s">
        <v>65</v>
      </c>
      <c r="U11" s="1343" t="e">
        <f t="shared" si="1"/>
        <v>#N/A</v>
      </c>
      <c r="V11" s="1342" t="s">
        <v>65</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587"/>
      <c r="Q12" s="7">
        <f t="shared" si="6"/>
        <v>111</v>
      </c>
      <c r="R12" s="1342" t="s">
        <v>65</v>
      </c>
      <c r="S12" s="1343">
        <f t="shared" si="0"/>
        <v>100</v>
      </c>
      <c r="T12" s="1342" t="s">
        <v>65</v>
      </c>
      <c r="U12" s="1343">
        <f t="shared" si="1"/>
        <v>100</v>
      </c>
      <c r="V12" s="1342" t="s">
        <v>65</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587"/>
      <c r="Q13" s="7">
        <f t="shared" si="6"/>
        <v>111</v>
      </c>
      <c r="R13" s="1342" t="s">
        <v>65</v>
      </c>
      <c r="S13" s="1343">
        <f t="shared" si="0"/>
        <v>100</v>
      </c>
      <c r="T13" s="1342" t="s">
        <v>65</v>
      </c>
      <c r="U13" s="1343">
        <f t="shared" si="1"/>
        <v>100</v>
      </c>
      <c r="V13" s="1342" t="s">
        <v>65</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587"/>
      <c r="Q14" s="7">
        <f t="shared" si="6"/>
        <v>111</v>
      </c>
      <c r="R14" s="1342" t="s">
        <v>65</v>
      </c>
      <c r="S14" s="1343">
        <f t="shared" si="0"/>
        <v>100</v>
      </c>
      <c r="T14" s="1342" t="s">
        <v>65</v>
      </c>
      <c r="U14" s="1343">
        <f t="shared" si="1"/>
        <v>100</v>
      </c>
      <c r="V14" s="1342" t="s">
        <v>65</v>
      </c>
      <c r="W14" s="1343">
        <f t="shared" si="2"/>
        <v>100</v>
      </c>
      <c r="X14" s="287"/>
      <c r="Y14" s="343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593" t="s">
        <v>69</v>
      </c>
      <c r="Q15" s="1351" t="str">
        <f t="shared" si="6"/>
        <v>商业繁华度</v>
      </c>
      <c r="R15" s="1352" t="s">
        <v>65</v>
      </c>
      <c r="S15" s="1353">
        <f t="shared" si="0"/>
        <v>100</v>
      </c>
      <c r="T15" s="1352" t="s">
        <v>65</v>
      </c>
      <c r="U15" s="1353">
        <f t="shared" si="1"/>
        <v>100</v>
      </c>
      <c r="V15" s="1352" t="s">
        <v>65</v>
      </c>
      <c r="W15" s="1353">
        <f t="shared" si="2"/>
        <v>100</v>
      </c>
      <c r="X15" s="1340"/>
      <c r="Y15" s="359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594"/>
      <c r="Q16" s="1351"/>
      <c r="R16" s="1352"/>
      <c r="S16" s="1353"/>
      <c r="T16" s="1352"/>
      <c r="U16" s="1353"/>
      <c r="V16" s="1352"/>
      <c r="W16" s="1353"/>
      <c r="X16" s="1340"/>
      <c r="Y16" s="3596"/>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594"/>
      <c r="Q17" s="1351" t="str">
        <f>B17</f>
        <v>交通便捷度</v>
      </c>
      <c r="R17" s="1352" t="s">
        <v>65</v>
      </c>
      <c r="S17" s="1353">
        <f>F17</f>
        <v>100</v>
      </c>
      <c r="T17" s="1352" t="s">
        <v>65</v>
      </c>
      <c r="U17" s="1353">
        <f>H17</f>
        <v>100</v>
      </c>
      <c r="V17" s="1352" t="s">
        <v>65</v>
      </c>
      <c r="W17" s="1353">
        <f>J17</f>
        <v>100</v>
      </c>
      <c r="X17" s="1340"/>
      <c r="Y17" s="359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594"/>
      <c r="Q18" s="1351"/>
      <c r="R18" s="1352"/>
      <c r="S18" s="1353"/>
      <c r="T18" s="1352"/>
      <c r="U18" s="1353"/>
      <c r="V18" s="1352"/>
      <c r="W18" s="1353"/>
      <c r="X18" s="1340"/>
      <c r="Y18" s="3596"/>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594"/>
      <c r="Q19" s="1351" t="str">
        <f>B19</f>
        <v>公共配套设施</v>
      </c>
      <c r="R19" s="1352" t="s">
        <v>65</v>
      </c>
      <c r="S19" s="1353">
        <f>F19</f>
        <v>100</v>
      </c>
      <c r="T19" s="1352" t="s">
        <v>65</v>
      </c>
      <c r="U19" s="1353">
        <f>H19</f>
        <v>100</v>
      </c>
      <c r="V19" s="1352" t="s">
        <v>65</v>
      </c>
      <c r="W19" s="1353">
        <f>J19</f>
        <v>100</v>
      </c>
      <c r="X19" s="1340"/>
      <c r="Y19" s="359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594"/>
      <c r="Q20" s="1351"/>
      <c r="R20" s="1352"/>
      <c r="S20" s="1353"/>
      <c r="T20" s="1352"/>
      <c r="U20" s="1353"/>
      <c r="V20" s="1352"/>
      <c r="W20" s="1353"/>
      <c r="X20" s="1340"/>
      <c r="Y20" s="3596"/>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594"/>
      <c r="Q21" s="2743" t="str">
        <f>B21</f>
        <v>基础设施水平</v>
      </c>
      <c r="R21" s="1352" t="s">
        <v>65</v>
      </c>
      <c r="S21" s="1353">
        <f>F21</f>
        <v>100</v>
      </c>
      <c r="T21" s="1352" t="s">
        <v>65</v>
      </c>
      <c r="U21" s="1353">
        <f>H21</f>
        <v>100</v>
      </c>
      <c r="V21" s="1352" t="s">
        <v>65</v>
      </c>
      <c r="W21" s="1353">
        <f>J21</f>
        <v>100</v>
      </c>
      <c r="X21" s="2745"/>
      <c r="Y21" s="3596"/>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294"/>
      <c r="P22" s="3594"/>
      <c r="Q22" s="2743"/>
      <c r="R22" s="1352"/>
      <c r="S22" s="1353"/>
      <c r="T22" s="1352"/>
      <c r="U22" s="1353"/>
      <c r="V22" s="1352"/>
      <c r="W22" s="1353"/>
      <c r="X22" s="2745"/>
      <c r="Y22" s="3596"/>
      <c r="Z22" s="2744"/>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594"/>
      <c r="Q23" s="1351" t="str">
        <f>B23</f>
        <v>自然及人文环境</v>
      </c>
      <c r="R23" s="1352" t="s">
        <v>65</v>
      </c>
      <c r="S23" s="1353">
        <f>F23</f>
        <v>100</v>
      </c>
      <c r="T23" s="1352" t="s">
        <v>65</v>
      </c>
      <c r="U23" s="1353">
        <f>H23</f>
        <v>100</v>
      </c>
      <c r="V23" s="1352" t="s">
        <v>65</v>
      </c>
      <c r="W23" s="1353">
        <f>J23</f>
        <v>100</v>
      </c>
      <c r="X23" s="1340"/>
      <c r="Y23" s="359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594"/>
      <c r="Q24" s="1351"/>
      <c r="R24" s="1352"/>
      <c r="S24" s="1353"/>
      <c r="T24" s="1352"/>
      <c r="U24" s="1353"/>
      <c r="V24" s="1352"/>
      <c r="W24" s="1353"/>
      <c r="X24" s="1340"/>
      <c r="Y24" s="359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594"/>
      <c r="Q25" s="1351" t="str">
        <f t="shared" ref="Q25:Q46" si="11">B25</f>
        <v>临街状况</v>
      </c>
      <c r="R25" s="1352" t="s">
        <v>65</v>
      </c>
      <c r="S25" s="1353">
        <f>F25</f>
        <v>100</v>
      </c>
      <c r="T25" s="1352" t="s">
        <v>65</v>
      </c>
      <c r="U25" s="1353">
        <f>H25</f>
        <v>100</v>
      </c>
      <c r="V25" s="1352" t="s">
        <v>65</v>
      </c>
      <c r="W25" s="1353">
        <f>J25</f>
        <v>100</v>
      </c>
      <c r="X25" s="1340"/>
      <c r="Y25" s="3596"/>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594"/>
      <c r="Q26" s="1351" t="str">
        <f t="shared" si="11"/>
        <v>平面位置/可视性</v>
      </c>
      <c r="R26" s="1352" t="s">
        <v>65</v>
      </c>
      <c r="S26" s="1353">
        <f>F26</f>
        <v>100</v>
      </c>
      <c r="T26" s="1352" t="s">
        <v>65</v>
      </c>
      <c r="U26" s="1353">
        <f>H26</f>
        <v>100</v>
      </c>
      <c r="V26" s="1352" t="s">
        <v>65</v>
      </c>
      <c r="W26" s="1353">
        <f>J26</f>
        <v>100</v>
      </c>
      <c r="X26" s="1340"/>
      <c r="Y26" s="3596"/>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594"/>
      <c r="Q27" s="7" t="str">
        <f t="shared" si="11"/>
        <v>人流量</v>
      </c>
      <c r="R27" s="1342" t="s">
        <v>65</v>
      </c>
      <c r="S27" s="1343">
        <f>F27</f>
        <v>100</v>
      </c>
      <c r="T27" s="1342" t="s">
        <v>65</v>
      </c>
      <c r="U27" s="1343">
        <f>H27</f>
        <v>100</v>
      </c>
      <c r="V27" s="1342" t="s">
        <v>65</v>
      </c>
      <c r="W27" s="1343">
        <f>J27</f>
        <v>100</v>
      </c>
      <c r="X27" s="287"/>
      <c r="Y27" s="359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59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594"/>
      <c r="Q29" s="1351">
        <f t="shared" si="11"/>
        <v>111</v>
      </c>
      <c r="R29" s="1352" t="s">
        <v>65</v>
      </c>
      <c r="S29" s="1353">
        <f t="shared" si="12"/>
        <v>100</v>
      </c>
      <c r="T29" s="1352" t="s">
        <v>65</v>
      </c>
      <c r="U29" s="1353">
        <f t="shared" si="13"/>
        <v>100</v>
      </c>
      <c r="V29" s="1352" t="s">
        <v>65</v>
      </c>
      <c r="W29" s="1353">
        <f t="shared" si="14"/>
        <v>100</v>
      </c>
      <c r="X29" s="1340"/>
      <c r="Y29" s="359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594"/>
      <c r="Q30" s="1351">
        <f t="shared" si="11"/>
        <v>111</v>
      </c>
      <c r="R30" s="1352" t="s">
        <v>65</v>
      </c>
      <c r="S30" s="1353">
        <f t="shared" si="12"/>
        <v>100</v>
      </c>
      <c r="T30" s="1352" t="s">
        <v>65</v>
      </c>
      <c r="U30" s="1353">
        <f t="shared" si="13"/>
        <v>100</v>
      </c>
      <c r="V30" s="1352" t="s">
        <v>65</v>
      </c>
      <c r="W30" s="1353">
        <f t="shared" si="14"/>
        <v>100</v>
      </c>
      <c r="X30" s="1340"/>
      <c r="Y30" s="359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594"/>
      <c r="Q31" s="1351">
        <f t="shared" si="11"/>
        <v>111</v>
      </c>
      <c r="R31" s="1352" t="s">
        <v>65</v>
      </c>
      <c r="S31" s="1353">
        <f t="shared" si="12"/>
        <v>100</v>
      </c>
      <c r="T31" s="1352" t="s">
        <v>65</v>
      </c>
      <c r="U31" s="1353">
        <f t="shared" si="13"/>
        <v>100</v>
      </c>
      <c r="V31" s="1352" t="s">
        <v>65</v>
      </c>
      <c r="W31" s="1353">
        <f t="shared" si="14"/>
        <v>100</v>
      </c>
      <c r="X31" s="1340"/>
      <c r="Y31" s="3596"/>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597" t="s">
        <v>1029</v>
      </c>
      <c r="Q32" s="1351" t="str">
        <f t="shared" si="11"/>
        <v>商业类型</v>
      </c>
      <c r="R32" s="1352" t="s">
        <v>65</v>
      </c>
      <c r="S32" s="1353">
        <f t="shared" si="12"/>
        <v>100</v>
      </c>
      <c r="T32" s="1352" t="s">
        <v>65</v>
      </c>
      <c r="U32" s="1353">
        <f t="shared" si="13"/>
        <v>100</v>
      </c>
      <c r="V32" s="1352" t="s">
        <v>65</v>
      </c>
      <c r="W32" s="1353">
        <f t="shared" si="14"/>
        <v>100</v>
      </c>
      <c r="X32" s="1340"/>
      <c r="Y32" s="3600"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598"/>
      <c r="Q33" s="1359" t="str">
        <f t="shared" si="11"/>
        <v>项目建筑规模</v>
      </c>
      <c r="R33" s="1360" t="s">
        <v>65</v>
      </c>
      <c r="S33" s="1361" t="e">
        <f t="shared" si="12"/>
        <v>#N/A</v>
      </c>
      <c r="T33" s="1360" t="s">
        <v>65</v>
      </c>
      <c r="U33" s="1361" t="e">
        <f t="shared" si="13"/>
        <v>#N/A</v>
      </c>
      <c r="V33" s="1360" t="s">
        <v>65</v>
      </c>
      <c r="W33" s="1361" t="e">
        <f t="shared" si="14"/>
        <v>#N/A</v>
      </c>
      <c r="X33" s="1362"/>
      <c r="Y33" s="360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598"/>
      <c r="Q34" s="1351" t="str">
        <f t="shared" si="11"/>
        <v>建筑结构</v>
      </c>
      <c r="R34" s="1352" t="s">
        <v>65</v>
      </c>
      <c r="S34" s="1353">
        <f t="shared" si="12"/>
        <v>100</v>
      </c>
      <c r="T34" s="1352" t="s">
        <v>65</v>
      </c>
      <c r="U34" s="1353">
        <f t="shared" si="13"/>
        <v>100</v>
      </c>
      <c r="V34" s="1352" t="s">
        <v>65</v>
      </c>
      <c r="W34" s="1353">
        <f t="shared" si="14"/>
        <v>100</v>
      </c>
      <c r="X34" s="1340"/>
      <c r="Y34" s="3600"/>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598"/>
      <c r="Q35" s="1351" t="str">
        <f t="shared" si="11"/>
        <v>公共部分装修</v>
      </c>
      <c r="R35" s="1352" t="s">
        <v>65</v>
      </c>
      <c r="S35" s="1353">
        <f t="shared" si="12"/>
        <v>100</v>
      </c>
      <c r="T35" s="1352" t="s">
        <v>65</v>
      </c>
      <c r="U35" s="1353">
        <f t="shared" si="13"/>
        <v>100</v>
      </c>
      <c r="V35" s="1352" t="s">
        <v>65</v>
      </c>
      <c r="W35" s="1353">
        <f t="shared" si="14"/>
        <v>100</v>
      </c>
      <c r="X35" s="1340"/>
      <c r="Y35" s="3600"/>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598"/>
      <c r="Q36" s="1351" t="str">
        <f t="shared" si="11"/>
        <v>成新度</v>
      </c>
      <c r="R36" s="1352" t="s">
        <v>65</v>
      </c>
      <c r="S36" s="1353" t="e">
        <f t="shared" si="12"/>
        <v>#N/A</v>
      </c>
      <c r="T36" s="1352" t="s">
        <v>65</v>
      </c>
      <c r="U36" s="1353" t="e">
        <f t="shared" si="13"/>
        <v>#N/A</v>
      </c>
      <c r="V36" s="1352" t="s">
        <v>65</v>
      </c>
      <c r="W36" s="1353" t="e">
        <f t="shared" si="14"/>
        <v>#N/A</v>
      </c>
      <c r="X36" s="1340"/>
      <c r="Y36" s="3600"/>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598"/>
      <c r="Q37" s="7" t="str">
        <f t="shared" si="11"/>
        <v>市政基础设施</v>
      </c>
      <c r="R37" s="1342" t="s">
        <v>65</v>
      </c>
      <c r="S37" s="1343">
        <f t="shared" si="12"/>
        <v>100</v>
      </c>
      <c r="T37" s="1342" t="s">
        <v>65</v>
      </c>
      <c r="U37" s="1343">
        <f t="shared" si="13"/>
        <v>100</v>
      </c>
      <c r="V37" s="1342" t="s">
        <v>65</v>
      </c>
      <c r="W37" s="1343">
        <f t="shared" si="14"/>
        <v>100</v>
      </c>
      <c r="X37" s="287"/>
      <c r="Y37" s="360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598" t="s">
        <v>1032</v>
      </c>
      <c r="Q38" s="1351" t="str">
        <f t="shared" si="11"/>
        <v>业态</v>
      </c>
      <c r="R38" s="1352" t="s">
        <v>65</v>
      </c>
      <c r="S38" s="1353">
        <f t="shared" si="12"/>
        <v>100</v>
      </c>
      <c r="T38" s="1352" t="s">
        <v>65</v>
      </c>
      <c r="U38" s="1353">
        <f t="shared" si="13"/>
        <v>100</v>
      </c>
      <c r="V38" s="1352" t="s">
        <v>65</v>
      </c>
      <c r="W38" s="1353">
        <f t="shared" si="14"/>
        <v>100</v>
      </c>
      <c r="X38" s="1340"/>
      <c r="Y38" s="3600"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598"/>
      <c r="Q39" s="1351" t="str">
        <f t="shared" si="11"/>
        <v>层高</v>
      </c>
      <c r="R39" s="1352" t="s">
        <v>65</v>
      </c>
      <c r="S39" s="1353">
        <f t="shared" si="12"/>
        <v>100</v>
      </c>
      <c r="T39" s="1352" t="s">
        <v>65</v>
      </c>
      <c r="U39" s="1353">
        <f t="shared" si="13"/>
        <v>100</v>
      </c>
      <c r="V39" s="1352" t="s">
        <v>65</v>
      </c>
      <c r="W39" s="1353">
        <f t="shared" si="14"/>
        <v>100</v>
      </c>
      <c r="X39" s="1340"/>
      <c r="Y39" s="3600"/>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598"/>
      <c r="Q40" s="1351" t="str">
        <f t="shared" si="11"/>
        <v>单套建筑面积</v>
      </c>
      <c r="R40" s="1352" t="s">
        <v>65</v>
      </c>
      <c r="S40" s="1353">
        <f t="shared" si="12"/>
        <v>100</v>
      </c>
      <c r="T40" s="1352" t="s">
        <v>65</v>
      </c>
      <c r="U40" s="1353">
        <f t="shared" si="13"/>
        <v>100</v>
      </c>
      <c r="V40" s="1352" t="s">
        <v>65</v>
      </c>
      <c r="W40" s="1353">
        <f t="shared" si="14"/>
        <v>100</v>
      </c>
      <c r="X40" s="1340"/>
      <c r="Y40" s="3600"/>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598"/>
      <c r="Q41" s="1359" t="str">
        <f t="shared" si="11"/>
        <v>进深比</v>
      </c>
      <c r="R41" s="1360" t="s">
        <v>65</v>
      </c>
      <c r="S41" s="1361">
        <f t="shared" si="12"/>
        <v>100</v>
      </c>
      <c r="T41" s="1360" t="s">
        <v>65</v>
      </c>
      <c r="U41" s="1361">
        <f t="shared" si="13"/>
        <v>100</v>
      </c>
      <c r="V41" s="1360" t="s">
        <v>65</v>
      </c>
      <c r="W41" s="1361">
        <f t="shared" si="14"/>
        <v>100</v>
      </c>
      <c r="X41" s="1362"/>
      <c r="Y41" s="3600"/>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598"/>
      <c r="Q42" s="1351" t="str">
        <f t="shared" si="11"/>
        <v>内部装修</v>
      </c>
      <c r="R42" s="1352" t="s">
        <v>65</v>
      </c>
      <c r="S42" s="1353">
        <f t="shared" si="12"/>
        <v>100</v>
      </c>
      <c r="T42" s="1352" t="s">
        <v>65</v>
      </c>
      <c r="U42" s="1353">
        <f t="shared" si="13"/>
        <v>100</v>
      </c>
      <c r="V42" s="1352" t="s">
        <v>65</v>
      </c>
      <c r="W42" s="1353">
        <f t="shared" si="14"/>
        <v>100</v>
      </c>
      <c r="X42" s="1340"/>
      <c r="Y42" s="3600"/>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598"/>
      <c r="Q43" s="1351" t="str">
        <f t="shared" si="11"/>
        <v>内部装修维护情况</v>
      </c>
      <c r="R43" s="1352" t="s">
        <v>65</v>
      </c>
      <c r="S43" s="1353">
        <f t="shared" si="12"/>
        <v>100</v>
      </c>
      <c r="T43" s="1352" t="s">
        <v>65</v>
      </c>
      <c r="U43" s="1353">
        <f t="shared" si="13"/>
        <v>100</v>
      </c>
      <c r="V43" s="1352" t="s">
        <v>65</v>
      </c>
      <c r="W43" s="1353">
        <f t="shared" si="14"/>
        <v>100</v>
      </c>
      <c r="X43" s="1340"/>
      <c r="Y43" s="360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598"/>
      <c r="Q44" s="7">
        <f t="shared" si="11"/>
        <v>111</v>
      </c>
      <c r="R44" s="1342" t="s">
        <v>65</v>
      </c>
      <c r="S44" s="1343">
        <f t="shared" si="12"/>
        <v>100</v>
      </c>
      <c r="T44" s="1342" t="s">
        <v>65</v>
      </c>
      <c r="U44" s="1343">
        <f t="shared" si="13"/>
        <v>100</v>
      </c>
      <c r="V44" s="1342" t="s">
        <v>65</v>
      </c>
      <c r="W44" s="1343">
        <f t="shared" si="14"/>
        <v>100</v>
      </c>
      <c r="X44" s="287"/>
      <c r="Y44" s="360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598"/>
      <c r="Q45" s="1351">
        <f t="shared" si="11"/>
        <v>111</v>
      </c>
      <c r="R45" s="1352" t="s">
        <v>65</v>
      </c>
      <c r="S45" s="1353">
        <f t="shared" si="12"/>
        <v>100</v>
      </c>
      <c r="T45" s="1352" t="s">
        <v>65</v>
      </c>
      <c r="U45" s="1353">
        <f t="shared" si="13"/>
        <v>100</v>
      </c>
      <c r="V45" s="1352" t="s">
        <v>65</v>
      </c>
      <c r="W45" s="1353">
        <f t="shared" si="14"/>
        <v>100</v>
      </c>
      <c r="X45" s="1340"/>
      <c r="Y45" s="360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599"/>
      <c r="Q46" s="1351">
        <f t="shared" si="11"/>
        <v>111</v>
      </c>
      <c r="R46" s="1352" t="s">
        <v>65</v>
      </c>
      <c r="S46" s="1353">
        <f t="shared" si="12"/>
        <v>100</v>
      </c>
      <c r="T46" s="1352" t="s">
        <v>65</v>
      </c>
      <c r="U46" s="1353">
        <f t="shared" si="13"/>
        <v>100</v>
      </c>
      <c r="V46" s="1352" t="s">
        <v>65</v>
      </c>
      <c r="W46" s="1353">
        <f t="shared" si="14"/>
        <v>100</v>
      </c>
      <c r="X46" s="1340"/>
      <c r="Y46" s="3601"/>
      <c r="Z46" s="1354">
        <f t="shared" si="15"/>
        <v>111</v>
      </c>
      <c r="AA46" s="1355">
        <f t="shared" si="3"/>
        <v>1</v>
      </c>
      <c r="AB46" s="1355">
        <f t="shared" si="4"/>
        <v>1</v>
      </c>
      <c r="AC46" s="1355">
        <f t="shared" si="5"/>
        <v>1</v>
      </c>
    </row>
    <row r="47" spans="1:29" ht="15">
      <c r="A47" s="163" t="s">
        <v>1037</v>
      </c>
      <c r="B47" s="164"/>
      <c r="C47" s="2830" t="s">
        <v>23</v>
      </c>
      <c r="D47" s="2831"/>
      <c r="E47" s="2832"/>
      <c r="F47" s="2833"/>
      <c r="G47" s="2834"/>
      <c r="H47" s="2835"/>
      <c r="I47" s="2832"/>
      <c r="J47" s="2835"/>
      <c r="K47" s="1393"/>
      <c r="L47" s="2301"/>
      <c r="M47" s="2302"/>
      <c r="N47" s="2294"/>
      <c r="O47" s="2302"/>
      <c r="P47" s="3588" t="str">
        <f>A47</f>
        <v>成交单价（元/平方米）</v>
      </c>
      <c r="Q47" s="3588"/>
      <c r="R47" s="3622">
        <f>E47</f>
        <v>0</v>
      </c>
      <c r="S47" s="3622"/>
      <c r="T47" s="3622">
        <f>G47</f>
        <v>0</v>
      </c>
      <c r="U47" s="3622"/>
      <c r="V47" s="3622">
        <f>I47</f>
        <v>0</v>
      </c>
      <c r="W47" s="3622"/>
      <c r="X47" s="1365"/>
      <c r="Y47" s="1366"/>
      <c r="Z47" s="1365"/>
      <c r="AA47" s="1365"/>
      <c r="AB47" s="1365"/>
      <c r="AC47" s="1365"/>
    </row>
    <row r="48" spans="1:29" ht="15.75" thickBot="1">
      <c r="A48" s="165" t="s">
        <v>1038</v>
      </c>
      <c r="B48" s="166"/>
      <c r="C48" s="2836" t="e">
        <f>R49</f>
        <v>#DIV/0!</v>
      </c>
      <c r="D48" s="2837"/>
      <c r="E48" s="2838" t="e">
        <f>R48</f>
        <v>#DIV/0!</v>
      </c>
      <c r="F48" s="2838"/>
      <c r="G48" s="2836" t="e">
        <f>T48</f>
        <v>#DIV/0!</v>
      </c>
      <c r="H48" s="2837"/>
      <c r="I48" s="2838" t="e">
        <f>V48</f>
        <v>#DIV/0!</v>
      </c>
      <c r="J48" s="2837"/>
      <c r="K48" s="1394"/>
      <c r="L48" s="2301"/>
      <c r="M48" s="2302"/>
      <c r="N48" s="2294"/>
      <c r="O48" s="2302"/>
      <c r="P48" s="3588" t="str">
        <f>A48</f>
        <v>比较价值（元/平方米）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1365"/>
      <c r="Y48" s="1365"/>
      <c r="Z48" s="1365"/>
      <c r="AA48" s="1365"/>
      <c r="AB48" s="1365"/>
      <c r="AC48" s="1365"/>
    </row>
    <row r="49" spans="1:29" ht="15.75" thickBot="1">
      <c r="A49" s="115" t="s">
        <v>3016</v>
      </c>
      <c r="B49" s="116"/>
      <c r="C49" s="2840" t="e">
        <f>R49</f>
        <v>#DIV/0!</v>
      </c>
      <c r="D49" s="2840"/>
      <c r="E49" s="2840"/>
      <c r="F49" s="2840"/>
      <c r="G49" s="2840"/>
      <c r="H49" s="2840"/>
      <c r="I49" s="2840"/>
      <c r="J49" s="2840"/>
      <c r="K49" s="1395"/>
      <c r="L49" s="2301"/>
      <c r="M49" s="2302"/>
      <c r="N49" s="2294"/>
      <c r="O49" s="2302"/>
      <c r="P49" s="3661" t="str">
        <f>A49</f>
        <v>估价对象XX用房的比较价值（楼面单价，元/平方米）</v>
      </c>
      <c r="Q49" s="3662"/>
      <c r="R49" s="3663" t="e">
        <f>IF(F1="售价",ROUND(AVERAGE(R48:V48),0),ROUND(AVERAGE(R48:V48),1))</f>
        <v>#DIV/0!</v>
      </c>
      <c r="S49" s="3663"/>
      <c r="T49" s="3663"/>
      <c r="U49" s="3663"/>
      <c r="V49" s="3663"/>
      <c r="W49" s="3663"/>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2791</v>
      </c>
      <c r="B58" s="849"/>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2"/>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1101</v>
      </c>
      <c r="B1" s="3115" t="s">
        <v>1102</v>
      </c>
      <c r="C1" s="3109" t="s">
        <v>1103</v>
      </c>
      <c r="D1" s="3100"/>
      <c r="E1" s="3105"/>
      <c r="F1" s="3102"/>
      <c r="G1" s="3104" t="s">
        <v>1104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1105</v>
      </c>
      <c r="B2" s="2841" t="e">
        <f ca="1">IF(C2="——",ROUND(C43*D3/10000,0),ROUND(C43*D3/10000,0)-D2)</f>
        <v>#DIV/0!</v>
      </c>
      <c r="C2" s="3094"/>
      <c r="D2" s="2340"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2099.0100000000002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1108</v>
      </c>
      <c r="B4" s="144"/>
      <c r="C4" s="3605" t="s">
        <v>1109</v>
      </c>
      <c r="D4" s="3606"/>
      <c r="E4" s="3607" t="s">
        <v>1110</v>
      </c>
      <c r="F4" s="3608"/>
      <c r="G4" s="3605" t="s">
        <v>1111</v>
      </c>
      <c r="H4" s="3606"/>
      <c r="I4" s="3605" t="s">
        <v>1112</v>
      </c>
      <c r="J4" s="3606"/>
      <c r="K4" s="187" t="s">
        <v>1113</v>
      </c>
      <c r="L4" s="2293"/>
      <c r="M4" s="2294"/>
      <c r="N4" s="2294"/>
      <c r="O4" s="2294"/>
      <c r="P4" s="3665" t="s">
        <v>1108</v>
      </c>
      <c r="Q4" s="3666"/>
      <c r="R4" s="3669" t="s">
        <v>1110</v>
      </c>
      <c r="S4" s="3670"/>
      <c r="T4" s="3669" t="s">
        <v>1111</v>
      </c>
      <c r="U4" s="3670"/>
      <c r="V4" s="3622" t="s">
        <v>1112</v>
      </c>
      <c r="W4" s="3622"/>
      <c r="X4" s="1340"/>
      <c r="Y4" s="3669" t="s">
        <v>1108</v>
      </c>
      <c r="Z4" s="3670"/>
      <c r="AA4" s="3664" t="s">
        <v>1110</v>
      </c>
      <c r="AB4" s="3632" t="s">
        <v>1111</v>
      </c>
      <c r="AC4" s="3664" t="s">
        <v>1112</v>
      </c>
    </row>
    <row r="5" spans="1:29">
      <c r="A5" s="146"/>
      <c r="B5" s="147"/>
      <c r="C5" s="3625" t="s">
        <v>1114</v>
      </c>
      <c r="D5" s="3626"/>
      <c r="E5" s="3673" t="s">
        <v>1115</v>
      </c>
      <c r="F5" s="3674"/>
      <c r="G5" s="3625" t="s">
        <v>1116</v>
      </c>
      <c r="H5" s="3626"/>
      <c r="I5" s="3625" t="s">
        <v>1117</v>
      </c>
      <c r="J5" s="3626"/>
      <c r="K5" s="187"/>
      <c r="L5" s="2293"/>
      <c r="M5" s="2294"/>
      <c r="N5" s="2294"/>
      <c r="O5" s="2294"/>
      <c r="P5" s="3667"/>
      <c r="Q5" s="3612"/>
      <c r="R5" s="3617"/>
      <c r="S5" s="3618"/>
      <c r="T5" s="3617"/>
      <c r="U5" s="3618"/>
      <c r="V5" s="3622"/>
      <c r="W5" s="3622"/>
      <c r="X5" s="1340"/>
      <c r="Y5" s="3617"/>
      <c r="Z5" s="3618"/>
      <c r="AA5" s="3632"/>
      <c r="AB5" s="3632"/>
      <c r="AC5" s="3632"/>
    </row>
    <row r="6" spans="1:29" ht="14.25" thickBot="1">
      <c r="A6" s="148"/>
      <c r="B6" s="149"/>
      <c r="C6" s="3623" t="s">
        <v>1118</v>
      </c>
      <c r="D6" s="3624"/>
      <c r="E6" s="3671" t="s">
        <v>1118</v>
      </c>
      <c r="F6" s="3672"/>
      <c r="G6" s="3623" t="s">
        <v>1118</v>
      </c>
      <c r="H6" s="3624"/>
      <c r="I6" s="3623" t="s">
        <v>1118</v>
      </c>
      <c r="J6" s="3624"/>
      <c r="K6" s="187" t="s">
        <v>1119</v>
      </c>
      <c r="L6" s="2293"/>
      <c r="M6" s="2294"/>
      <c r="N6" s="2294"/>
      <c r="O6" s="2294"/>
      <c r="P6" s="3668"/>
      <c r="Q6" s="3614"/>
      <c r="R6" s="3617"/>
      <c r="S6" s="3618"/>
      <c r="T6" s="3619"/>
      <c r="U6" s="3620"/>
      <c r="V6" s="3622"/>
      <c r="W6" s="3622"/>
      <c r="X6" s="1340"/>
      <c r="Y6" s="3619"/>
      <c r="Z6" s="3620"/>
      <c r="AA6" s="3633"/>
      <c r="AB6" s="3633"/>
      <c r="AC6" s="3633"/>
    </row>
    <row r="7" spans="1:29" s="40" customFormat="1" ht="15" thickBot="1">
      <c r="A7" s="1014" t="s">
        <v>1120</v>
      </c>
      <c r="B7" s="1015"/>
      <c r="C7" s="753">
        <f>'数据-取费表'!B2</f>
        <v>42962</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9" t="s">
        <v>1120</v>
      </c>
      <c r="Q7" s="3630"/>
      <c r="R7" s="1342" t="s">
        <v>65</v>
      </c>
      <c r="S7" s="1343">
        <f t="shared" ref="S7:S15" si="0">F7</f>
        <v>0</v>
      </c>
      <c r="T7" s="1342" t="s">
        <v>65</v>
      </c>
      <c r="U7" s="1343">
        <f t="shared" ref="U7:U15" si="1">H7</f>
        <v>0</v>
      </c>
      <c r="V7" s="1342" t="s">
        <v>65</v>
      </c>
      <c r="W7" s="1343">
        <f t="shared" ref="W7:W15" si="2">J7</f>
        <v>0</v>
      </c>
      <c r="X7" s="287"/>
      <c r="Y7" s="3629" t="s">
        <v>1120</v>
      </c>
      <c r="Z7" s="3628"/>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9" t="s">
        <v>1022</v>
      </c>
      <c r="Q8" s="3628"/>
      <c r="R8" s="1342" t="s">
        <v>65</v>
      </c>
      <c r="S8" s="1343">
        <f t="shared" si="0"/>
        <v>0</v>
      </c>
      <c r="T8" s="1342" t="s">
        <v>65</v>
      </c>
      <c r="U8" s="1343">
        <f t="shared" si="1"/>
        <v>0</v>
      </c>
      <c r="V8" s="1342" t="s">
        <v>65</v>
      </c>
      <c r="W8" s="1343">
        <f t="shared" si="2"/>
        <v>0</v>
      </c>
      <c r="X8" s="287"/>
      <c r="Y8" s="3629" t="s">
        <v>1022</v>
      </c>
      <c r="Z8" s="3628"/>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588"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588"/>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588"/>
      <c r="Q11" s="7" t="str">
        <f t="shared" si="6"/>
        <v>容积率</v>
      </c>
      <c r="R11" s="1342" t="s">
        <v>65</v>
      </c>
      <c r="S11" s="1343" t="e">
        <f t="shared" si="0"/>
        <v>#N/A</v>
      </c>
      <c r="T11" s="1342" t="s">
        <v>65</v>
      </c>
      <c r="U11" s="1343" t="e">
        <f t="shared" si="1"/>
        <v>#N/A</v>
      </c>
      <c r="V11" s="1342" t="s">
        <v>65</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588"/>
      <c r="Q12" s="7">
        <f t="shared" si="6"/>
        <v>111</v>
      </c>
      <c r="R12" s="1342" t="s">
        <v>65</v>
      </c>
      <c r="S12" s="1343">
        <f t="shared" si="0"/>
        <v>100</v>
      </c>
      <c r="T12" s="1342" t="s">
        <v>65</v>
      </c>
      <c r="U12" s="1343">
        <f t="shared" si="1"/>
        <v>100</v>
      </c>
      <c r="V12" s="1342" t="s">
        <v>65</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588"/>
      <c r="Q13" s="7">
        <f t="shared" si="6"/>
        <v>111</v>
      </c>
      <c r="R13" s="1342" t="s">
        <v>65</v>
      </c>
      <c r="S13" s="1343">
        <f t="shared" si="0"/>
        <v>100</v>
      </c>
      <c r="T13" s="1342" t="s">
        <v>65</v>
      </c>
      <c r="U13" s="1343">
        <f t="shared" si="1"/>
        <v>100</v>
      </c>
      <c r="V13" s="1342" t="s">
        <v>65</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588"/>
      <c r="Q14" s="7">
        <f t="shared" si="6"/>
        <v>111</v>
      </c>
      <c r="R14" s="1342" t="s">
        <v>65</v>
      </c>
      <c r="S14" s="1343">
        <f t="shared" si="0"/>
        <v>100</v>
      </c>
      <c r="T14" s="1342" t="s">
        <v>65</v>
      </c>
      <c r="U14" s="1343">
        <f t="shared" si="1"/>
        <v>100</v>
      </c>
      <c r="V14" s="1342" t="s">
        <v>65</v>
      </c>
      <c r="W14" s="1343">
        <f t="shared" si="2"/>
        <v>100</v>
      </c>
      <c r="X14" s="287"/>
      <c r="Y14" s="3433"/>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595" t="s">
        <v>69</v>
      </c>
      <c r="Q15" s="1351" t="str">
        <f t="shared" si="6"/>
        <v>产业集聚程度</v>
      </c>
      <c r="R15" s="1352" t="s">
        <v>65</v>
      </c>
      <c r="S15" s="1353">
        <f t="shared" si="0"/>
        <v>100</v>
      </c>
      <c r="T15" s="1352" t="s">
        <v>65</v>
      </c>
      <c r="U15" s="1353">
        <f t="shared" si="1"/>
        <v>100</v>
      </c>
      <c r="V15" s="1352" t="s">
        <v>65</v>
      </c>
      <c r="W15" s="1353">
        <f t="shared" si="2"/>
        <v>100</v>
      </c>
      <c r="X15" s="1340"/>
      <c r="Y15" s="359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596"/>
      <c r="Q16" s="1351"/>
      <c r="R16" s="1352"/>
      <c r="S16" s="1353"/>
      <c r="T16" s="1352"/>
      <c r="U16" s="1353"/>
      <c r="V16" s="1352"/>
      <c r="W16" s="1353"/>
      <c r="X16" s="1340"/>
      <c r="Y16" s="3596"/>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596"/>
      <c r="Q17" s="1351" t="str">
        <f>B17</f>
        <v>交通便捷度</v>
      </c>
      <c r="R17" s="1352" t="s">
        <v>65</v>
      </c>
      <c r="S17" s="1353">
        <f>F17</f>
        <v>100</v>
      </c>
      <c r="T17" s="1352" t="s">
        <v>65</v>
      </c>
      <c r="U17" s="1353">
        <f>H17</f>
        <v>100</v>
      </c>
      <c r="V17" s="1352" t="s">
        <v>65</v>
      </c>
      <c r="W17" s="1353">
        <f>J17</f>
        <v>100</v>
      </c>
      <c r="X17" s="1340"/>
      <c r="Y17" s="359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596"/>
      <c r="Q18" s="1351"/>
      <c r="R18" s="1352"/>
      <c r="S18" s="1353"/>
      <c r="T18" s="1352"/>
      <c r="U18" s="1353"/>
      <c r="V18" s="1352"/>
      <c r="W18" s="1353"/>
      <c r="X18" s="1340"/>
      <c r="Y18" s="3596"/>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596"/>
      <c r="Q19" s="1351" t="str">
        <f>B19</f>
        <v>公共配套设施</v>
      </c>
      <c r="R19" s="1352" t="s">
        <v>65</v>
      </c>
      <c r="S19" s="1353">
        <f>F19</f>
        <v>100</v>
      </c>
      <c r="T19" s="1352" t="s">
        <v>65</v>
      </c>
      <c r="U19" s="1353">
        <f>H19</f>
        <v>100</v>
      </c>
      <c r="V19" s="1352" t="s">
        <v>65</v>
      </c>
      <c r="W19" s="1353">
        <f>J19</f>
        <v>100</v>
      </c>
      <c r="X19" s="1340"/>
      <c r="Y19" s="359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596"/>
      <c r="Q20" s="1351"/>
      <c r="R20" s="1352"/>
      <c r="S20" s="1353"/>
      <c r="T20" s="1352"/>
      <c r="U20" s="1353"/>
      <c r="V20" s="1352"/>
      <c r="W20" s="1353"/>
      <c r="X20" s="1340"/>
      <c r="Y20" s="3596"/>
      <c r="Z20" s="1354"/>
      <c r="AA20" s="1355">
        <v>1</v>
      </c>
      <c r="AB20" s="1355">
        <v>1</v>
      </c>
      <c r="AC20" s="1355">
        <v>1</v>
      </c>
    </row>
    <row r="21" spans="1:29" ht="27">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596"/>
      <c r="Q21" s="2743" t="str">
        <f>B21</f>
        <v>基础设施水平</v>
      </c>
      <c r="R21" s="1352" t="s">
        <v>65</v>
      </c>
      <c r="S21" s="1353">
        <f>F21</f>
        <v>100</v>
      </c>
      <c r="T21" s="1352" t="s">
        <v>65</v>
      </c>
      <c r="U21" s="1353">
        <f>H21</f>
        <v>100</v>
      </c>
      <c r="V21" s="1352" t="s">
        <v>65</v>
      </c>
      <c r="W21" s="1353">
        <f>J21</f>
        <v>100</v>
      </c>
      <c r="X21" s="2745"/>
      <c r="Y21" s="3596"/>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338"/>
      <c r="P22" s="3596"/>
      <c r="Q22" s="2743"/>
      <c r="R22" s="1352"/>
      <c r="S22" s="1353"/>
      <c r="T22" s="1352"/>
      <c r="U22" s="1353"/>
      <c r="V22" s="1352"/>
      <c r="W22" s="1353"/>
      <c r="X22" s="2745"/>
      <c r="Y22" s="3596"/>
      <c r="Z22" s="2744"/>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596"/>
      <c r="Q23" s="1351" t="str">
        <f>B23</f>
        <v>环境质量</v>
      </c>
      <c r="R23" s="1352" t="s">
        <v>65</v>
      </c>
      <c r="S23" s="1353">
        <f>F23</f>
        <v>100</v>
      </c>
      <c r="T23" s="1352" t="s">
        <v>65</v>
      </c>
      <c r="U23" s="1353">
        <f>H23</f>
        <v>100</v>
      </c>
      <c r="V23" s="1352" t="s">
        <v>65</v>
      </c>
      <c r="W23" s="1353">
        <f>J23</f>
        <v>100</v>
      </c>
      <c r="X23" s="1340"/>
      <c r="Y23" s="359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596"/>
      <c r="Q24" s="1351"/>
      <c r="R24" s="1352"/>
      <c r="S24" s="1353"/>
      <c r="T24" s="1352"/>
      <c r="U24" s="1353"/>
      <c r="V24" s="1352"/>
      <c r="W24" s="1353"/>
      <c r="X24" s="1340"/>
      <c r="Y24" s="359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596"/>
      <c r="Q25" s="1351">
        <f>B25</f>
        <v>111</v>
      </c>
      <c r="R25" s="1352" t="s">
        <v>65</v>
      </c>
      <c r="S25" s="1353">
        <f>F25</f>
        <v>100</v>
      </c>
      <c r="T25" s="1352" t="s">
        <v>65</v>
      </c>
      <c r="U25" s="1353">
        <f>H25</f>
        <v>100</v>
      </c>
      <c r="V25" s="1352" t="s">
        <v>65</v>
      </c>
      <c r="W25" s="1353">
        <f>J25</f>
        <v>100</v>
      </c>
      <c r="X25" s="1340"/>
      <c r="Y25" s="359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596"/>
      <c r="Q26" s="1351">
        <f t="shared" ref="Q26:Q40" si="11">B26</f>
        <v>111</v>
      </c>
      <c r="R26" s="1352" t="s">
        <v>65</v>
      </c>
      <c r="S26" s="1353">
        <f>F26</f>
        <v>100</v>
      </c>
      <c r="T26" s="1352" t="s">
        <v>65</v>
      </c>
      <c r="U26" s="1353">
        <f>H26</f>
        <v>100</v>
      </c>
      <c r="V26" s="1352" t="s">
        <v>65</v>
      </c>
      <c r="W26" s="1353">
        <f>J26</f>
        <v>100</v>
      </c>
      <c r="X26" s="1340"/>
      <c r="Y26" s="359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596"/>
      <c r="Q27" s="7">
        <f t="shared" si="11"/>
        <v>111</v>
      </c>
      <c r="R27" s="1342" t="s">
        <v>65</v>
      </c>
      <c r="S27" s="1343">
        <f>F27</f>
        <v>100</v>
      </c>
      <c r="T27" s="1342" t="s">
        <v>65</v>
      </c>
      <c r="U27" s="1343">
        <f>H27</f>
        <v>100</v>
      </c>
      <c r="V27" s="1342" t="s">
        <v>65</v>
      </c>
      <c r="W27" s="1343">
        <f>J27</f>
        <v>100</v>
      </c>
      <c r="X27" s="287"/>
      <c r="Y27" s="359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596"/>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75" t="s">
        <v>1122</v>
      </c>
      <c r="Q29" s="1351" t="str">
        <f t="shared" si="11"/>
        <v>建筑类型</v>
      </c>
      <c r="R29" s="1352" t="s">
        <v>65</v>
      </c>
      <c r="S29" s="1353">
        <f t="shared" si="12"/>
        <v>100</v>
      </c>
      <c r="T29" s="1352" t="s">
        <v>65</v>
      </c>
      <c r="U29" s="1353">
        <f t="shared" si="13"/>
        <v>100</v>
      </c>
      <c r="V29" s="1352" t="s">
        <v>65</v>
      </c>
      <c r="W29" s="1353">
        <f t="shared" si="14"/>
        <v>100</v>
      </c>
      <c r="X29" s="1340"/>
      <c r="Y29" s="3600"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00"/>
      <c r="Q30" s="1359" t="str">
        <f t="shared" si="11"/>
        <v>项目建筑规模</v>
      </c>
      <c r="R30" s="1360" t="s">
        <v>65</v>
      </c>
      <c r="S30" s="1361" t="e">
        <f t="shared" si="12"/>
        <v>#N/A</v>
      </c>
      <c r="T30" s="1360" t="s">
        <v>65</v>
      </c>
      <c r="U30" s="1361" t="e">
        <f t="shared" si="13"/>
        <v>#N/A</v>
      </c>
      <c r="V30" s="1360" t="s">
        <v>65</v>
      </c>
      <c r="W30" s="1361" t="e">
        <f t="shared" si="14"/>
        <v>#N/A</v>
      </c>
      <c r="X30" s="1362"/>
      <c r="Y30" s="360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00"/>
      <c r="Q31" s="1351" t="str">
        <f t="shared" si="11"/>
        <v>建筑结构</v>
      </c>
      <c r="R31" s="1352" t="s">
        <v>65</v>
      </c>
      <c r="S31" s="1353">
        <f t="shared" si="12"/>
        <v>100</v>
      </c>
      <c r="T31" s="1352" t="s">
        <v>65</v>
      </c>
      <c r="U31" s="1353">
        <f t="shared" si="13"/>
        <v>100</v>
      </c>
      <c r="V31" s="1352" t="s">
        <v>65</v>
      </c>
      <c r="W31" s="1353">
        <f t="shared" si="14"/>
        <v>100</v>
      </c>
      <c r="X31" s="1340"/>
      <c r="Y31" s="3600"/>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00"/>
      <c r="Q32" s="1351" t="str">
        <f t="shared" si="11"/>
        <v>公共部分装修</v>
      </c>
      <c r="R32" s="1352" t="s">
        <v>65</v>
      </c>
      <c r="S32" s="1353">
        <f t="shared" si="12"/>
        <v>100</v>
      </c>
      <c r="T32" s="1352" t="s">
        <v>65</v>
      </c>
      <c r="U32" s="1353">
        <f t="shared" si="13"/>
        <v>100</v>
      </c>
      <c r="V32" s="1352" t="s">
        <v>65</v>
      </c>
      <c r="W32" s="1353">
        <f t="shared" si="14"/>
        <v>100</v>
      </c>
      <c r="X32" s="1340"/>
      <c r="Y32" s="3600"/>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00"/>
      <c r="Q33" s="1351" t="str">
        <f t="shared" si="11"/>
        <v>成新度</v>
      </c>
      <c r="R33" s="1352" t="s">
        <v>65</v>
      </c>
      <c r="S33" s="1353" t="e">
        <f t="shared" si="12"/>
        <v>#N/A</v>
      </c>
      <c r="T33" s="1352" t="s">
        <v>65</v>
      </c>
      <c r="U33" s="1353" t="e">
        <f t="shared" si="13"/>
        <v>#N/A</v>
      </c>
      <c r="V33" s="1352" t="s">
        <v>65</v>
      </c>
      <c r="W33" s="1353" t="e">
        <f t="shared" si="14"/>
        <v>#N/A</v>
      </c>
      <c r="X33" s="1340"/>
      <c r="Y33" s="3600"/>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00"/>
      <c r="Q34" s="7" t="str">
        <f t="shared" si="11"/>
        <v>物业管理</v>
      </c>
      <c r="R34" s="1342" t="s">
        <v>65</v>
      </c>
      <c r="S34" s="1343">
        <f t="shared" si="12"/>
        <v>100</v>
      </c>
      <c r="T34" s="1342" t="s">
        <v>65</v>
      </c>
      <c r="U34" s="1343">
        <f t="shared" si="13"/>
        <v>100</v>
      </c>
      <c r="V34" s="1342" t="s">
        <v>65</v>
      </c>
      <c r="W34" s="1343">
        <f t="shared" si="14"/>
        <v>100</v>
      </c>
      <c r="X34" s="287"/>
      <c r="Y34" s="3600"/>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00" t="s">
        <v>70</v>
      </c>
      <c r="Q35" s="1351" t="str">
        <f t="shared" si="11"/>
        <v>市政基础设施</v>
      </c>
      <c r="R35" s="1352" t="s">
        <v>65</v>
      </c>
      <c r="S35" s="1353">
        <f t="shared" si="12"/>
        <v>100</v>
      </c>
      <c r="T35" s="1352" t="s">
        <v>65</v>
      </c>
      <c r="U35" s="1353">
        <f t="shared" si="13"/>
        <v>100</v>
      </c>
      <c r="V35" s="1352" t="s">
        <v>65</v>
      </c>
      <c r="W35" s="1353">
        <f t="shared" si="14"/>
        <v>100</v>
      </c>
      <c r="X35" s="1340"/>
      <c r="Y35" s="360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00"/>
      <c r="Q36" s="1351" t="str">
        <f t="shared" si="11"/>
        <v>内部装修</v>
      </c>
      <c r="R36" s="1352" t="s">
        <v>65</v>
      </c>
      <c r="S36" s="1353">
        <f t="shared" si="12"/>
        <v>100</v>
      </c>
      <c r="T36" s="1352" t="s">
        <v>65</v>
      </c>
      <c r="U36" s="1353">
        <f t="shared" si="13"/>
        <v>100</v>
      </c>
      <c r="V36" s="1352" t="s">
        <v>65</v>
      </c>
      <c r="W36" s="1353">
        <f t="shared" si="14"/>
        <v>100</v>
      </c>
      <c r="X36" s="1340"/>
      <c r="Y36" s="3600"/>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00"/>
      <c r="Q37" s="1351" t="str">
        <f t="shared" si="11"/>
        <v>内部装修状况</v>
      </c>
      <c r="R37" s="1352" t="s">
        <v>65</v>
      </c>
      <c r="S37" s="1353">
        <f t="shared" si="12"/>
        <v>100</v>
      </c>
      <c r="T37" s="1352" t="s">
        <v>65</v>
      </c>
      <c r="U37" s="1353">
        <f t="shared" si="13"/>
        <v>100</v>
      </c>
      <c r="V37" s="1352" t="s">
        <v>65</v>
      </c>
      <c r="W37" s="1353">
        <f t="shared" si="14"/>
        <v>100</v>
      </c>
      <c r="X37" s="1340"/>
      <c r="Y37" s="360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00"/>
      <c r="Q38" s="1359">
        <f t="shared" si="11"/>
        <v>111</v>
      </c>
      <c r="R38" s="1360" t="s">
        <v>65</v>
      </c>
      <c r="S38" s="1361">
        <f t="shared" si="12"/>
        <v>100</v>
      </c>
      <c r="T38" s="1360" t="s">
        <v>65</v>
      </c>
      <c r="U38" s="1361">
        <f t="shared" si="13"/>
        <v>100</v>
      </c>
      <c r="V38" s="1360" t="s">
        <v>65</v>
      </c>
      <c r="W38" s="1361">
        <f t="shared" si="14"/>
        <v>100</v>
      </c>
      <c r="X38" s="1362"/>
      <c r="Y38" s="360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00"/>
      <c r="Q39" s="1351">
        <f t="shared" si="11"/>
        <v>111</v>
      </c>
      <c r="R39" s="1352" t="s">
        <v>65</v>
      </c>
      <c r="S39" s="1353">
        <f t="shared" si="12"/>
        <v>100</v>
      </c>
      <c r="T39" s="1352" t="s">
        <v>65</v>
      </c>
      <c r="U39" s="1353">
        <f t="shared" si="13"/>
        <v>100</v>
      </c>
      <c r="V39" s="1352" t="s">
        <v>65</v>
      </c>
      <c r="W39" s="1353">
        <f t="shared" si="14"/>
        <v>100</v>
      </c>
      <c r="X39" s="1340"/>
      <c r="Y39" s="360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01"/>
      <c r="Q40" s="1351">
        <f t="shared" si="11"/>
        <v>111</v>
      </c>
      <c r="R40" s="1352" t="s">
        <v>65</v>
      </c>
      <c r="S40" s="1353">
        <f t="shared" si="12"/>
        <v>100</v>
      </c>
      <c r="T40" s="1352" t="s">
        <v>65</v>
      </c>
      <c r="U40" s="1353">
        <f t="shared" si="13"/>
        <v>100</v>
      </c>
      <c r="V40" s="1352" t="s">
        <v>65</v>
      </c>
      <c r="W40" s="1353">
        <f t="shared" si="14"/>
        <v>100</v>
      </c>
      <c r="X40" s="1340"/>
      <c r="Y40" s="3601"/>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301"/>
      <c r="M41" s="2302"/>
      <c r="N41" s="2294"/>
      <c r="O41" s="2302"/>
      <c r="P41" s="3588" t="str">
        <f>A41</f>
        <v>成交单价（元/平方米）</v>
      </c>
      <c r="Q41" s="3588"/>
      <c r="R41" s="3589">
        <f>E41</f>
        <v>0</v>
      </c>
      <c r="S41" s="3589"/>
      <c r="T41" s="3589">
        <f>G41</f>
        <v>0</v>
      </c>
      <c r="U41" s="3589"/>
      <c r="V41" s="3589">
        <f>I41</f>
        <v>0</v>
      </c>
      <c r="W41" s="3589"/>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301"/>
      <c r="M42" s="2302"/>
      <c r="N42" s="2294"/>
      <c r="O42" s="2302"/>
      <c r="P42" s="3588" t="str">
        <f>A42</f>
        <v>比较价值（元/平方米）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1365"/>
      <c r="Y42" s="1365"/>
      <c r="Z42" s="1365"/>
      <c r="AA42" s="1365"/>
      <c r="AB42" s="1365"/>
      <c r="AC42" s="1365"/>
    </row>
    <row r="43" spans="1:29" ht="15.75" thickBot="1">
      <c r="A43" s="115" t="s">
        <v>3016</v>
      </c>
      <c r="B43" s="116"/>
      <c r="C43" s="2840" t="e">
        <f>R43</f>
        <v>#DIV/0!</v>
      </c>
      <c r="D43" s="2840"/>
      <c r="E43" s="2840"/>
      <c r="F43" s="2840"/>
      <c r="G43" s="2840"/>
      <c r="H43" s="2840"/>
      <c r="I43" s="2840"/>
      <c r="J43" s="2840"/>
      <c r="K43" s="1395"/>
      <c r="L43" s="2301"/>
      <c r="M43" s="2302"/>
      <c r="N43" s="2302"/>
      <c r="O43" s="2302"/>
      <c r="P43" s="3661" t="str">
        <f>A43</f>
        <v>估价对象XX用房的比较价值（楼面单价，元/平方米）</v>
      </c>
      <c r="Q43" s="3662"/>
      <c r="R43" s="3663" t="e">
        <f>IF(F1="售价",ROUND(AVERAGE(R42:V42),0),ROUND(AVERAGE(R42:V42),1))</f>
        <v>#DIV/0!</v>
      </c>
      <c r="S43" s="3663"/>
      <c r="T43" s="3663"/>
      <c r="U43" s="3663"/>
      <c r="V43" s="3663"/>
      <c r="W43" s="3663"/>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2792</v>
      </c>
      <c r="B52" s="849"/>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18"/>
      <c r="C1" s="3119" t="s">
        <v>444</v>
      </c>
      <c r="D1" s="3120"/>
      <c r="E1" s="3121"/>
      <c r="F1" s="3102"/>
      <c r="G1" s="3122" t="s">
        <v>445</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446</v>
      </c>
      <c r="B2" s="2841" t="e">
        <f ca="1">IF(C2="——",IF(B37="元/平方米",ROUND(C39*D3/10000,0),ROUND(F3*C39/10000,0)),IF(B37="元/平方米",ROUND(C39*D3/10000,0),ROUND(F3*C39/10000,0))-D2)</f>
        <v>#DIV/0!</v>
      </c>
      <c r="C2" s="3094"/>
      <c r="D2" s="2340" t="e">
        <f ca="1">SUMIF(INDIRECT("'"&amp;F2&amp;"'"&amp;"!A:A"),"承租人权益价值",INDIRECT("'"&amp;F2&amp;"'"&amp;"!c:c"))</f>
        <v>#REF!</v>
      </c>
      <c r="E2" s="3095" t="s">
        <v>869</v>
      </c>
      <c r="F2" s="3096"/>
      <c r="G2" s="2341"/>
      <c r="H2" s="2341"/>
      <c r="I2" s="2341"/>
      <c r="J2" s="2341"/>
      <c r="K2" s="2343"/>
      <c r="L2" s="2344"/>
      <c r="M2" s="2345"/>
      <c r="N2" s="2345"/>
      <c r="O2" s="2345"/>
      <c r="P2" s="2842"/>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1"/>
      <c r="H3" s="2341"/>
      <c r="I3" s="2341"/>
      <c r="J3" s="2341"/>
      <c r="K3" s="2343"/>
      <c r="L3" s="2344"/>
      <c r="M3" s="2345"/>
      <c r="N3" s="2345"/>
      <c r="O3" s="2345"/>
      <c r="P3" s="2842"/>
      <c r="Q3" s="1316"/>
      <c r="R3" s="1316"/>
      <c r="S3" s="1316"/>
      <c r="T3" s="1316"/>
      <c r="U3" s="1316"/>
      <c r="V3" s="1316"/>
      <c r="W3" s="1316"/>
      <c r="X3" s="1316"/>
      <c r="Y3" s="1316"/>
      <c r="Z3" s="1316"/>
      <c r="AA3" s="1316"/>
      <c r="AB3" s="1409"/>
      <c r="AC3" s="1399"/>
    </row>
    <row r="4" spans="1:29" ht="15">
      <c r="A4" s="744" t="s">
        <v>449</v>
      </c>
      <c r="B4" s="745"/>
      <c r="C4" s="3688" t="s">
        <v>450</v>
      </c>
      <c r="D4" s="3689"/>
      <c r="E4" s="3690" t="s">
        <v>451</v>
      </c>
      <c r="F4" s="3691"/>
      <c r="G4" s="3688" t="s">
        <v>452</v>
      </c>
      <c r="H4" s="3689"/>
      <c r="I4" s="3688" t="s">
        <v>453</v>
      </c>
      <c r="J4" s="3689"/>
      <c r="K4" s="953" t="s">
        <v>454</v>
      </c>
      <c r="L4" s="2346"/>
      <c r="M4" s="2347"/>
      <c r="N4" s="2347"/>
      <c r="O4" s="2347"/>
      <c r="P4" s="3692" t="s">
        <v>455</v>
      </c>
      <c r="Q4" s="3693"/>
      <c r="R4" s="3698" t="s">
        <v>451</v>
      </c>
      <c r="S4" s="3699"/>
      <c r="T4" s="3698" t="s">
        <v>452</v>
      </c>
      <c r="U4" s="3699"/>
      <c r="V4" s="3704" t="s">
        <v>453</v>
      </c>
      <c r="W4" s="3704"/>
      <c r="X4" s="2827"/>
      <c r="Y4" s="3698" t="s">
        <v>455</v>
      </c>
      <c r="Z4" s="3699"/>
      <c r="AA4" s="3685" t="s">
        <v>451</v>
      </c>
      <c r="AB4" s="3686" t="s">
        <v>452</v>
      </c>
      <c r="AC4" s="3685" t="s">
        <v>453</v>
      </c>
    </row>
    <row r="5" spans="1:29" ht="15">
      <c r="A5" s="747"/>
      <c r="B5" s="748"/>
      <c r="C5" s="3707" t="s">
        <v>3017</v>
      </c>
      <c r="D5" s="3708"/>
      <c r="E5" s="3714" t="s">
        <v>3018</v>
      </c>
      <c r="F5" s="3715"/>
      <c r="G5" s="3707" t="s">
        <v>3019</v>
      </c>
      <c r="H5" s="3708"/>
      <c r="I5" s="3707" t="s">
        <v>3020</v>
      </c>
      <c r="J5" s="3708"/>
      <c r="K5" s="953"/>
      <c r="L5" s="2346"/>
      <c r="M5" s="2347"/>
      <c r="N5" s="2347"/>
      <c r="O5" s="2347"/>
      <c r="P5" s="3694"/>
      <c r="Q5" s="3695"/>
      <c r="R5" s="3700"/>
      <c r="S5" s="3701"/>
      <c r="T5" s="3700"/>
      <c r="U5" s="3701"/>
      <c r="V5" s="3704"/>
      <c r="W5" s="3704"/>
      <c r="X5" s="2827"/>
      <c r="Y5" s="3700"/>
      <c r="Z5" s="3701"/>
      <c r="AA5" s="3686"/>
      <c r="AB5" s="3686"/>
      <c r="AC5" s="3686"/>
    </row>
    <row r="6" spans="1:29" ht="15.75" thickBot="1">
      <c r="A6" s="749"/>
      <c r="B6" s="750"/>
      <c r="C6" s="3705" t="s">
        <v>3021</v>
      </c>
      <c r="D6" s="3706"/>
      <c r="E6" s="3712" t="s">
        <v>3021</v>
      </c>
      <c r="F6" s="3713"/>
      <c r="G6" s="3705" t="s">
        <v>3021</v>
      </c>
      <c r="H6" s="3706"/>
      <c r="I6" s="3705" t="s">
        <v>3021</v>
      </c>
      <c r="J6" s="3706"/>
      <c r="K6" s="953" t="s">
        <v>397</v>
      </c>
      <c r="L6" s="2346"/>
      <c r="M6" s="2347"/>
      <c r="N6" s="2347"/>
      <c r="O6" s="2347"/>
      <c r="P6" s="3696"/>
      <c r="Q6" s="3697"/>
      <c r="R6" s="3700"/>
      <c r="S6" s="3701"/>
      <c r="T6" s="3702"/>
      <c r="U6" s="3703"/>
      <c r="V6" s="3704"/>
      <c r="W6" s="3704"/>
      <c r="X6" s="2827"/>
      <c r="Y6" s="3702"/>
      <c r="Z6" s="3703"/>
      <c r="AA6" s="3687"/>
      <c r="AB6" s="3687"/>
      <c r="AC6" s="3687"/>
    </row>
    <row r="7" spans="1:29" s="407" customFormat="1" ht="15.75" thickBot="1">
      <c r="A7" s="751" t="s">
        <v>398</v>
      </c>
      <c r="B7" s="752"/>
      <c r="C7" s="753">
        <f>'数据-取费表'!B2</f>
        <v>42962</v>
      </c>
      <c r="D7" s="754">
        <v>100</v>
      </c>
      <c r="E7" s="755"/>
      <c r="F7" s="756">
        <f>SUMIF(48:48,YEAR(E7)&amp;"-"&amp;MONTH(E7),49:49)</f>
        <v>0</v>
      </c>
      <c r="G7" s="755"/>
      <c r="H7" s="754">
        <f>SUMIF(48:48,YEAR(G7)&amp;"-"&amp;MONTH(G7),49:49)</f>
        <v>0</v>
      </c>
      <c r="I7" s="755"/>
      <c r="J7" s="754">
        <f>SUMIF(48:48,YEAR(I7)&amp;"-"&amp;MONTH(I7),49:49)</f>
        <v>0</v>
      </c>
      <c r="K7" s="954"/>
      <c r="L7" s="2348"/>
      <c r="M7" s="2349"/>
      <c r="N7" s="2349"/>
      <c r="O7" s="2349"/>
      <c r="P7" s="3709" t="s">
        <v>399</v>
      </c>
      <c r="Q7" s="3711"/>
      <c r="R7" s="1319" t="s">
        <v>65</v>
      </c>
      <c r="S7" s="1320">
        <f t="shared" ref="S7:S14" si="0">F7</f>
        <v>0</v>
      </c>
      <c r="T7" s="1319" t="s">
        <v>65</v>
      </c>
      <c r="U7" s="1320">
        <f t="shared" ref="U7:U14" si="1">H7</f>
        <v>0</v>
      </c>
      <c r="V7" s="1319" t="s">
        <v>65</v>
      </c>
      <c r="W7" s="1320">
        <f t="shared" ref="W7:W14" si="2">J7</f>
        <v>0</v>
      </c>
      <c r="X7" s="1321"/>
      <c r="Y7" s="3709" t="s">
        <v>399</v>
      </c>
      <c r="Z7" s="3710"/>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709" t="s">
        <v>435</v>
      </c>
      <c r="Q8" s="3710"/>
      <c r="R8" s="1319" t="s">
        <v>65</v>
      </c>
      <c r="S8" s="1320">
        <f t="shared" si="0"/>
        <v>0</v>
      </c>
      <c r="T8" s="1319" t="s">
        <v>65</v>
      </c>
      <c r="U8" s="1320">
        <f t="shared" si="1"/>
        <v>0</v>
      </c>
      <c r="V8" s="1319" t="s">
        <v>65</v>
      </c>
      <c r="W8" s="1320">
        <f t="shared" si="2"/>
        <v>0</v>
      </c>
      <c r="X8" s="1321"/>
      <c r="Y8" s="3709" t="s">
        <v>435</v>
      </c>
      <c r="Z8" s="3710"/>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76" t="s">
        <v>402</v>
      </c>
      <c r="Q9" s="2826" t="str">
        <f t="shared" ref="Q9:Q14" si="6">B9</f>
        <v>用途</v>
      </c>
      <c r="R9" s="1319" t="s">
        <v>65</v>
      </c>
      <c r="S9" s="1320">
        <f t="shared" si="0"/>
        <v>100</v>
      </c>
      <c r="T9" s="1319" t="s">
        <v>65</v>
      </c>
      <c r="U9" s="1320">
        <f t="shared" si="1"/>
        <v>100</v>
      </c>
      <c r="V9" s="1319" t="s">
        <v>65</v>
      </c>
      <c r="W9" s="1320">
        <f t="shared" si="2"/>
        <v>100</v>
      </c>
      <c r="X9" s="1321"/>
      <c r="Y9" s="3482"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76"/>
      <c r="Q10" s="2826" t="str">
        <f t="shared" si="6"/>
        <v>土地使用年限（年）</v>
      </c>
      <c r="R10" s="1319" t="s">
        <v>65</v>
      </c>
      <c r="S10" s="1320">
        <f t="shared" si="0"/>
        <v>100</v>
      </c>
      <c r="T10" s="1319" t="s">
        <v>65</v>
      </c>
      <c r="U10" s="1320">
        <f t="shared" si="1"/>
        <v>100</v>
      </c>
      <c r="V10" s="1319" t="s">
        <v>65</v>
      </c>
      <c r="W10" s="1320">
        <f t="shared" si="2"/>
        <v>100</v>
      </c>
      <c r="X10" s="1321"/>
      <c r="Y10" s="348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76"/>
      <c r="Q11" s="2826">
        <f t="shared" si="6"/>
        <v>111</v>
      </c>
      <c r="R11" s="1319" t="s">
        <v>65</v>
      </c>
      <c r="S11" s="1320">
        <f t="shared" si="0"/>
        <v>100</v>
      </c>
      <c r="T11" s="1319" t="s">
        <v>65</v>
      </c>
      <c r="U11" s="1320">
        <f t="shared" si="1"/>
        <v>100</v>
      </c>
      <c r="V11" s="1319" t="s">
        <v>65</v>
      </c>
      <c r="W11" s="1320">
        <f t="shared" si="2"/>
        <v>100</v>
      </c>
      <c r="X11" s="1321"/>
      <c r="Y11" s="348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76"/>
      <c r="Q12" s="2826">
        <f t="shared" si="6"/>
        <v>111</v>
      </c>
      <c r="R12" s="1319" t="s">
        <v>65</v>
      </c>
      <c r="S12" s="1320">
        <f t="shared" si="0"/>
        <v>100</v>
      </c>
      <c r="T12" s="1319" t="s">
        <v>65</v>
      </c>
      <c r="U12" s="1320">
        <f t="shared" si="1"/>
        <v>100</v>
      </c>
      <c r="V12" s="1319" t="s">
        <v>65</v>
      </c>
      <c r="W12" s="1320">
        <f t="shared" si="2"/>
        <v>100</v>
      </c>
      <c r="X12" s="1321"/>
      <c r="Y12" s="348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76"/>
      <c r="Q13" s="2826">
        <f t="shared" si="6"/>
        <v>111</v>
      </c>
      <c r="R13" s="1319" t="s">
        <v>65</v>
      </c>
      <c r="S13" s="1320">
        <f t="shared" si="0"/>
        <v>100</v>
      </c>
      <c r="T13" s="1319" t="s">
        <v>65</v>
      </c>
      <c r="U13" s="1320">
        <f t="shared" si="1"/>
        <v>100</v>
      </c>
      <c r="V13" s="1319" t="s">
        <v>65</v>
      </c>
      <c r="W13" s="1320">
        <f t="shared" si="2"/>
        <v>100</v>
      </c>
      <c r="X13" s="1321"/>
      <c r="Y13" s="3482"/>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81" t="s">
        <v>407</v>
      </c>
      <c r="Q14" s="2828" t="str">
        <f t="shared" si="6"/>
        <v>交通便捷度</v>
      </c>
      <c r="R14" s="1324" t="s">
        <v>65</v>
      </c>
      <c r="S14" s="1325">
        <f t="shared" si="0"/>
        <v>100</v>
      </c>
      <c r="T14" s="1324" t="s">
        <v>65</v>
      </c>
      <c r="U14" s="1325">
        <f t="shared" si="1"/>
        <v>100</v>
      </c>
      <c r="V14" s="1324" t="s">
        <v>65</v>
      </c>
      <c r="W14" s="1325">
        <f t="shared" si="2"/>
        <v>100</v>
      </c>
      <c r="X14" s="2827"/>
      <c r="Y14" s="3681" t="s">
        <v>407</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682"/>
      <c r="Q15" s="2828"/>
      <c r="R15" s="1324"/>
      <c r="S15" s="1325"/>
      <c r="T15" s="1324"/>
      <c r="U15" s="1325"/>
      <c r="V15" s="1324"/>
      <c r="W15" s="1325"/>
      <c r="X15" s="2827"/>
      <c r="Y15" s="3682"/>
      <c r="Z15" s="2829"/>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82"/>
      <c r="Q16" s="2828" t="str">
        <f>B16</f>
        <v>公共配套设施</v>
      </c>
      <c r="R16" s="1324" t="s">
        <v>65</v>
      </c>
      <c r="S16" s="1325">
        <f>F16</f>
        <v>100</v>
      </c>
      <c r="T16" s="1324" t="s">
        <v>65</v>
      </c>
      <c r="U16" s="1325">
        <f>H16</f>
        <v>100</v>
      </c>
      <c r="V16" s="1324" t="s">
        <v>65</v>
      </c>
      <c r="W16" s="1325">
        <f>J16</f>
        <v>100</v>
      </c>
      <c r="X16" s="2827"/>
      <c r="Y16" s="3682"/>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682"/>
      <c r="Q17" s="2828"/>
      <c r="R17" s="1324"/>
      <c r="S17" s="1325"/>
      <c r="T17" s="1324"/>
      <c r="U17" s="1325"/>
      <c r="V17" s="1324"/>
      <c r="W17" s="1325"/>
      <c r="X17" s="2827"/>
      <c r="Y17" s="3682"/>
      <c r="Z17" s="2829"/>
      <c r="AA17" s="1327">
        <v>1</v>
      </c>
      <c r="AB17" s="1327">
        <v>1</v>
      </c>
      <c r="AC17" s="1327">
        <v>1</v>
      </c>
    </row>
    <row r="18" spans="1:29" ht="27">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82"/>
      <c r="Q18" s="2828" t="str">
        <f>B18</f>
        <v>基础设施水平</v>
      </c>
      <c r="R18" s="1324" t="s">
        <v>65</v>
      </c>
      <c r="S18" s="1325">
        <f>F18</f>
        <v>100</v>
      </c>
      <c r="T18" s="1324" t="s">
        <v>65</v>
      </c>
      <c r="U18" s="1325">
        <f>H18</f>
        <v>100</v>
      </c>
      <c r="V18" s="1324" t="s">
        <v>65</v>
      </c>
      <c r="W18" s="1325">
        <f>J18</f>
        <v>100</v>
      </c>
      <c r="X18" s="2827"/>
      <c r="Y18" s="3682"/>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6"/>
      <c r="M19" s="2347"/>
      <c r="N19" s="2347"/>
      <c r="O19" s="2347"/>
      <c r="P19" s="3682"/>
      <c r="Q19" s="2828"/>
      <c r="R19" s="1324"/>
      <c r="S19" s="1325"/>
      <c r="T19" s="1324"/>
      <c r="U19" s="1325"/>
      <c r="V19" s="1324"/>
      <c r="W19" s="1325"/>
      <c r="X19" s="2827"/>
      <c r="Y19" s="3682"/>
      <c r="Z19" s="2829"/>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82"/>
      <c r="Q20" s="2828" t="str">
        <f>B20</f>
        <v>自然及人文环境</v>
      </c>
      <c r="R20" s="1324" t="s">
        <v>65</v>
      </c>
      <c r="S20" s="1325">
        <f>F20</f>
        <v>100</v>
      </c>
      <c r="T20" s="1324" t="s">
        <v>65</v>
      </c>
      <c r="U20" s="1325">
        <f>H20</f>
        <v>100</v>
      </c>
      <c r="V20" s="1324" t="s">
        <v>65</v>
      </c>
      <c r="W20" s="1325">
        <f>J20</f>
        <v>100</v>
      </c>
      <c r="X20" s="2827"/>
      <c r="Y20" s="3682"/>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682"/>
      <c r="Q21" s="2828"/>
      <c r="R21" s="1324"/>
      <c r="S21" s="1325"/>
      <c r="T21" s="1324"/>
      <c r="U21" s="1325"/>
      <c r="V21" s="1324"/>
      <c r="W21" s="1325"/>
      <c r="X21" s="2827"/>
      <c r="Y21" s="3682"/>
      <c r="Z21" s="2829"/>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82"/>
      <c r="Q22" s="2828" t="str">
        <f>B22</f>
        <v>楼层</v>
      </c>
      <c r="R22" s="1324" t="s">
        <v>65</v>
      </c>
      <c r="S22" s="1325">
        <f>F22</f>
        <v>100</v>
      </c>
      <c r="T22" s="1324" t="s">
        <v>65</v>
      </c>
      <c r="U22" s="1325">
        <f>H22</f>
        <v>100</v>
      </c>
      <c r="V22" s="1324" t="s">
        <v>65</v>
      </c>
      <c r="W22" s="1325">
        <f>J22</f>
        <v>100</v>
      </c>
      <c r="X22" s="2827"/>
      <c r="Y22" s="3682"/>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82"/>
      <c r="Q23" s="2828">
        <f>B23</f>
        <v>111</v>
      </c>
      <c r="R23" s="1324" t="s">
        <v>65</v>
      </c>
      <c r="S23" s="1325">
        <f>F23</f>
        <v>100</v>
      </c>
      <c r="T23" s="1324" t="s">
        <v>65</v>
      </c>
      <c r="U23" s="1325">
        <f>H23</f>
        <v>100</v>
      </c>
      <c r="V23" s="1324" t="s">
        <v>65</v>
      </c>
      <c r="W23" s="1325">
        <f>J23</f>
        <v>100</v>
      </c>
      <c r="X23" s="2827"/>
      <c r="Y23" s="3682"/>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82"/>
      <c r="Q24" s="2828">
        <f t="shared" ref="Q24:Q36" si="11">B24</f>
        <v>111</v>
      </c>
      <c r="R24" s="1324" t="s">
        <v>65</v>
      </c>
      <c r="S24" s="1325">
        <f>F24</f>
        <v>100</v>
      </c>
      <c r="T24" s="1324" t="s">
        <v>65</v>
      </c>
      <c r="U24" s="1325">
        <f>H24</f>
        <v>100</v>
      </c>
      <c r="V24" s="1324" t="s">
        <v>65</v>
      </c>
      <c r="W24" s="1325">
        <f>J24</f>
        <v>100</v>
      </c>
      <c r="X24" s="2827"/>
      <c r="Y24" s="3682"/>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82"/>
      <c r="Q25" s="2826">
        <f t="shared" si="11"/>
        <v>111</v>
      </c>
      <c r="R25" s="1319" t="s">
        <v>65</v>
      </c>
      <c r="S25" s="1320">
        <f>F25</f>
        <v>100</v>
      </c>
      <c r="T25" s="1319" t="s">
        <v>65</v>
      </c>
      <c r="U25" s="1320">
        <f>H25</f>
        <v>100</v>
      </c>
      <c r="V25" s="1319" t="s">
        <v>65</v>
      </c>
      <c r="W25" s="1320">
        <f>J25</f>
        <v>100</v>
      </c>
      <c r="X25" s="1321"/>
      <c r="Y25" s="3682"/>
      <c r="Z25" s="344">
        <f>Q25</f>
        <v>111</v>
      </c>
      <c r="AA25" s="1327">
        <f>D25/F25</f>
        <v>1</v>
      </c>
      <c r="AB25" s="1327">
        <f>D25/H25</f>
        <v>1</v>
      </c>
      <c r="AC25" s="1327">
        <f>D25/J25</f>
        <v>1</v>
      </c>
    </row>
    <row r="26" spans="1:29" ht="15">
      <c r="A26" s="995" t="s">
        <v>408</v>
      </c>
      <c r="B26" s="360" t="s">
        <v>459</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83" t="s">
        <v>409</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684" t="s">
        <v>409</v>
      </c>
      <c r="Z26" s="2829"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84"/>
      <c r="Q27" s="1328" t="str">
        <f t="shared" si="11"/>
        <v>项目停车位配比</v>
      </c>
      <c r="R27" s="1329" t="s">
        <v>65</v>
      </c>
      <c r="S27" s="1330">
        <f t="shared" si="12"/>
        <v>100</v>
      </c>
      <c r="T27" s="1329" t="s">
        <v>65</v>
      </c>
      <c r="U27" s="1330">
        <f t="shared" si="13"/>
        <v>100</v>
      </c>
      <c r="V27" s="1329" t="s">
        <v>65</v>
      </c>
      <c r="W27" s="1330">
        <f t="shared" si="14"/>
        <v>100</v>
      </c>
      <c r="X27" s="1331"/>
      <c r="Y27" s="3684"/>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84"/>
      <c r="Q28" s="2828" t="str">
        <f t="shared" si="11"/>
        <v>公共部分装修</v>
      </c>
      <c r="R28" s="1324" t="s">
        <v>65</v>
      </c>
      <c r="S28" s="1325">
        <f t="shared" si="12"/>
        <v>100</v>
      </c>
      <c r="T28" s="1324" t="s">
        <v>65</v>
      </c>
      <c r="U28" s="1325">
        <f t="shared" si="13"/>
        <v>100</v>
      </c>
      <c r="V28" s="1324" t="s">
        <v>65</v>
      </c>
      <c r="W28" s="1325">
        <f t="shared" si="14"/>
        <v>100</v>
      </c>
      <c r="X28" s="2827"/>
      <c r="Y28" s="3684"/>
      <c r="Z28" s="2829"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84"/>
      <c r="Q29" s="2828" t="str">
        <f t="shared" si="11"/>
        <v>成新率</v>
      </c>
      <c r="R29" s="1324" t="s">
        <v>65</v>
      </c>
      <c r="S29" s="1325" t="e">
        <f t="shared" si="12"/>
        <v>#N/A</v>
      </c>
      <c r="T29" s="1324" t="s">
        <v>65</v>
      </c>
      <c r="U29" s="1325" t="e">
        <f t="shared" si="13"/>
        <v>#N/A</v>
      </c>
      <c r="V29" s="1324" t="s">
        <v>65</v>
      </c>
      <c r="W29" s="1325" t="e">
        <f t="shared" si="14"/>
        <v>#N/A</v>
      </c>
      <c r="X29" s="2827"/>
      <c r="Y29" s="3684"/>
      <c r="Z29" s="2829"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84"/>
      <c r="Q30" s="2828" t="str">
        <f t="shared" si="11"/>
        <v>物业等级</v>
      </c>
      <c r="R30" s="1324" t="s">
        <v>65</v>
      </c>
      <c r="S30" s="1325">
        <f t="shared" si="12"/>
        <v>100</v>
      </c>
      <c r="T30" s="1324" t="s">
        <v>65</v>
      </c>
      <c r="U30" s="1325">
        <f t="shared" si="13"/>
        <v>100</v>
      </c>
      <c r="V30" s="1324" t="s">
        <v>65</v>
      </c>
      <c r="W30" s="1325">
        <f t="shared" si="14"/>
        <v>100</v>
      </c>
      <c r="X30" s="2827"/>
      <c r="Y30" s="3684"/>
      <c r="Z30" s="2829"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84"/>
      <c r="Q31" s="2826" t="str">
        <f t="shared" si="11"/>
        <v>停车位面积</v>
      </c>
      <c r="R31" s="1319" t="s">
        <v>65</v>
      </c>
      <c r="S31" s="1320" t="e">
        <f t="shared" si="12"/>
        <v>#N/A</v>
      </c>
      <c r="T31" s="1319" t="s">
        <v>65</v>
      </c>
      <c r="U31" s="1320" t="e">
        <f t="shared" si="13"/>
        <v>#N/A</v>
      </c>
      <c r="V31" s="1319" t="s">
        <v>65</v>
      </c>
      <c r="W31" s="1320" t="e">
        <f t="shared" si="14"/>
        <v>#N/A</v>
      </c>
      <c r="X31" s="1321"/>
      <c r="Y31" s="3684"/>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84" t="s">
        <v>409</v>
      </c>
      <c r="Q32" s="2828" t="str">
        <f t="shared" si="11"/>
        <v>车位类型</v>
      </c>
      <c r="R32" s="1324" t="s">
        <v>65</v>
      </c>
      <c r="S32" s="1325">
        <f t="shared" si="12"/>
        <v>100</v>
      </c>
      <c r="T32" s="1324" t="s">
        <v>65</v>
      </c>
      <c r="U32" s="1325">
        <f t="shared" si="13"/>
        <v>100</v>
      </c>
      <c r="V32" s="1324" t="s">
        <v>65</v>
      </c>
      <c r="W32" s="1325">
        <f t="shared" si="14"/>
        <v>100</v>
      </c>
      <c r="X32" s="2827"/>
      <c r="Y32" s="3684" t="s">
        <v>409</v>
      </c>
      <c r="Z32" s="2829"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84"/>
      <c r="Q33" s="2828" t="str">
        <f t="shared" si="11"/>
        <v>是否直接入户</v>
      </c>
      <c r="R33" s="1324" t="s">
        <v>65</v>
      </c>
      <c r="S33" s="1325">
        <f t="shared" si="12"/>
        <v>100</v>
      </c>
      <c r="T33" s="1324" t="s">
        <v>65</v>
      </c>
      <c r="U33" s="1325">
        <f t="shared" si="13"/>
        <v>100</v>
      </c>
      <c r="V33" s="1324" t="s">
        <v>65</v>
      </c>
      <c r="W33" s="1325">
        <f t="shared" si="14"/>
        <v>100</v>
      </c>
      <c r="X33" s="2827"/>
      <c r="Y33" s="3684"/>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84"/>
      <c r="Q34" s="2828">
        <f t="shared" si="11"/>
        <v>111</v>
      </c>
      <c r="R34" s="1324" t="s">
        <v>65</v>
      </c>
      <c r="S34" s="1325">
        <f t="shared" si="12"/>
        <v>100</v>
      </c>
      <c r="T34" s="1324" t="s">
        <v>65</v>
      </c>
      <c r="U34" s="1325">
        <f t="shared" si="13"/>
        <v>100</v>
      </c>
      <c r="V34" s="1324" t="s">
        <v>65</v>
      </c>
      <c r="W34" s="1325">
        <f t="shared" si="14"/>
        <v>100</v>
      </c>
      <c r="X34" s="2827"/>
      <c r="Y34" s="3684"/>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84"/>
      <c r="Q35" s="1328">
        <f t="shared" si="11"/>
        <v>111</v>
      </c>
      <c r="R35" s="1329" t="s">
        <v>65</v>
      </c>
      <c r="S35" s="1330">
        <f t="shared" si="12"/>
        <v>100</v>
      </c>
      <c r="T35" s="1329" t="s">
        <v>65</v>
      </c>
      <c r="U35" s="1330">
        <f t="shared" si="13"/>
        <v>100</v>
      </c>
      <c r="V35" s="1329" t="s">
        <v>65</v>
      </c>
      <c r="W35" s="1330">
        <f t="shared" si="14"/>
        <v>100</v>
      </c>
      <c r="X35" s="1331"/>
      <c r="Y35" s="368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84"/>
      <c r="Q36" s="2828">
        <f t="shared" si="11"/>
        <v>111</v>
      </c>
      <c r="R36" s="1324" t="s">
        <v>65</v>
      </c>
      <c r="S36" s="1325">
        <f t="shared" si="12"/>
        <v>100</v>
      </c>
      <c r="T36" s="1324" t="s">
        <v>65</v>
      </c>
      <c r="U36" s="1325">
        <f t="shared" si="13"/>
        <v>100</v>
      </c>
      <c r="V36" s="1324" t="s">
        <v>65</v>
      </c>
      <c r="W36" s="1325">
        <f t="shared" si="14"/>
        <v>100</v>
      </c>
      <c r="X36" s="2827"/>
      <c r="Y36" s="3684"/>
      <c r="Z36" s="2829">
        <f t="shared" si="15"/>
        <v>111</v>
      </c>
      <c r="AA36" s="1327">
        <f t="shared" si="3"/>
        <v>1</v>
      </c>
      <c r="AB36" s="1327">
        <f t="shared" si="4"/>
        <v>1</v>
      </c>
      <c r="AC36" s="1327">
        <f t="shared" si="5"/>
        <v>1</v>
      </c>
    </row>
    <row r="37" spans="1:29" ht="15">
      <c r="A37" s="163" t="s">
        <v>2131</v>
      </c>
      <c r="B37" s="2097" t="s">
        <v>2132</v>
      </c>
      <c r="C37" s="2830" t="s">
        <v>23</v>
      </c>
      <c r="D37" s="2831"/>
      <c r="E37" s="2832"/>
      <c r="F37" s="2833"/>
      <c r="G37" s="2834"/>
      <c r="H37" s="2835"/>
      <c r="I37" s="2832"/>
      <c r="J37" s="2835"/>
      <c r="K37" s="962"/>
      <c r="L37" s="2359"/>
      <c r="M37" s="2360"/>
      <c r="N37" s="2347"/>
      <c r="O37" s="2360"/>
      <c r="P37" s="3676" t="str">
        <f>A37</f>
        <v>成交单价</v>
      </c>
      <c r="Q37" s="3676"/>
      <c r="R37" s="3677">
        <f>E37</f>
        <v>0</v>
      </c>
      <c r="S37" s="3677"/>
      <c r="T37" s="3677">
        <f>G37</f>
        <v>0</v>
      </c>
      <c r="U37" s="3677"/>
      <c r="V37" s="3677">
        <f>I37</f>
        <v>0</v>
      </c>
      <c r="W37" s="3677"/>
      <c r="X37" s="1307"/>
      <c r="Y37" s="1333"/>
      <c r="Z37" s="1307"/>
      <c r="AA37" s="1307"/>
      <c r="AB37" s="1307"/>
      <c r="AC37" s="1307"/>
    </row>
    <row r="38" spans="1:29" ht="15.75" thickBot="1">
      <c r="A38" s="829" t="s">
        <v>411</v>
      </c>
      <c r="B38" s="166" t="str">
        <f>B37</f>
        <v>元/车位</v>
      </c>
      <c r="C38" s="2836" t="e">
        <f>R39</f>
        <v>#DIV/0!</v>
      </c>
      <c r="D38" s="2837"/>
      <c r="E38" s="2838" t="e">
        <f>R38</f>
        <v>#DIV/0!</v>
      </c>
      <c r="F38" s="2838"/>
      <c r="G38" s="2836" t="e">
        <f>T38</f>
        <v>#DIV/0!</v>
      </c>
      <c r="H38" s="2837"/>
      <c r="I38" s="2838" t="e">
        <f>V38</f>
        <v>#DIV/0!</v>
      </c>
      <c r="J38" s="2837"/>
      <c r="K38" s="963"/>
      <c r="L38" s="2359"/>
      <c r="M38" s="2360"/>
      <c r="N38" s="2360"/>
      <c r="O38" s="2360"/>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307"/>
      <c r="Y38" s="1307"/>
      <c r="Z38" s="1307"/>
      <c r="AA38" s="1307"/>
      <c r="AB38" s="1307"/>
      <c r="AC38" s="1307"/>
    </row>
    <row r="39" spans="1:29" ht="15.75" thickBot="1">
      <c r="A39" s="835" t="s">
        <v>3022</v>
      </c>
      <c r="B39" s="836"/>
      <c r="C39" s="2840" t="e">
        <f>R39</f>
        <v>#DIV/0!</v>
      </c>
      <c r="D39" s="2840"/>
      <c r="E39" s="2840"/>
      <c r="F39" s="2840"/>
      <c r="G39" s="2840"/>
      <c r="H39" s="2840"/>
      <c r="I39" s="2840"/>
      <c r="J39" s="2840"/>
      <c r="K39" s="964"/>
      <c r="L39" s="2359"/>
      <c r="M39" s="2360"/>
      <c r="N39" s="2360"/>
      <c r="O39" s="2360"/>
      <c r="P39" s="3678" t="str">
        <f>A39</f>
        <v>估价对象XX用房的比较价值（楼面单价，元/平方米）</v>
      </c>
      <c r="Q39" s="3679"/>
      <c r="R39" s="3680" t="e">
        <f>IF(F1="售价",ROUND(AVERAGE(R38:V38),0),ROUND(AVERAGE(R38:V38),1))</f>
        <v>#DIV/0!</v>
      </c>
      <c r="S39" s="3680"/>
      <c r="T39" s="3680"/>
      <c r="U39" s="3680"/>
      <c r="V39" s="3680"/>
      <c r="W39" s="3680"/>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3"/>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3"/>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3"/>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3"/>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4"/>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4"/>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3"/>
      <c r="Q46" s="2360"/>
      <c r="R46" s="2360"/>
      <c r="S46" s="2360"/>
      <c r="T46" s="2360"/>
      <c r="U46" s="2360"/>
      <c r="V46" s="2360"/>
      <c r="W46" s="2360"/>
      <c r="X46" s="2360"/>
      <c r="Y46" s="2360"/>
      <c r="Z46" s="2360"/>
      <c r="AA46" s="2360"/>
      <c r="AB46" s="2360"/>
      <c r="AC46" s="2360"/>
    </row>
    <row r="47" spans="1:29" ht="21.75" thickBot="1">
      <c r="A47" s="2847" t="s">
        <v>415</v>
      </c>
      <c r="B47" s="2360"/>
      <c r="C47" s="2376"/>
      <c r="D47" s="2376"/>
      <c r="E47" s="2376"/>
      <c r="F47" s="2848"/>
      <c r="G47" s="2848"/>
      <c r="H47" s="2376"/>
      <c r="I47" s="2376"/>
      <c r="J47" s="2376"/>
      <c r="K47" s="2377"/>
      <c r="L47" s="2378"/>
      <c r="M47" s="2376"/>
      <c r="N47" s="2376"/>
      <c r="O47" s="2376"/>
      <c r="P47" s="2845"/>
      <c r="Q47" s="2846"/>
      <c r="R47" s="2360"/>
      <c r="S47" s="2360"/>
      <c r="T47" s="2360"/>
      <c r="U47" s="2360"/>
      <c r="V47" s="2360"/>
      <c r="W47" s="2360"/>
      <c r="X47" s="2360"/>
      <c r="Y47" s="2360"/>
      <c r="Z47" s="2360"/>
      <c r="AA47" s="2360"/>
      <c r="AB47" s="2360"/>
      <c r="AC47" s="2360"/>
    </row>
    <row r="48" spans="1:29" s="851" customFormat="1" ht="15">
      <c r="A48" s="848" t="s">
        <v>2792</v>
      </c>
      <c r="B48" s="849"/>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7" customFormat="1" ht="15">
      <c r="A49" s="852"/>
      <c r="B49" s="853"/>
      <c r="C49" s="3027">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416</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400</v>
      </c>
      <c r="B51" s="853"/>
      <c r="C51" s="865" t="s">
        <v>417</v>
      </c>
      <c r="D51" s="866"/>
      <c r="E51" s="866"/>
      <c r="F51" s="866"/>
      <c r="G51" s="866"/>
      <c r="H51" s="866"/>
      <c r="I51" s="866"/>
      <c r="J51" s="866"/>
      <c r="K51" s="866"/>
      <c r="L51" s="867"/>
      <c r="M51" s="868"/>
      <c r="N51" s="2367"/>
      <c r="O51" s="2367"/>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7"/>
      <c r="O52" s="2367"/>
      <c r="P52" s="2851"/>
      <c r="Q52" s="2846"/>
      <c r="R52" s="2850"/>
      <c r="S52" s="2850"/>
      <c r="T52" s="2850"/>
      <c r="U52" s="2850"/>
      <c r="V52" s="2850"/>
      <c r="W52" s="2850"/>
      <c r="X52" s="2850"/>
      <c r="Y52" s="2850"/>
      <c r="Z52" s="2850"/>
      <c r="AA52" s="2850"/>
      <c r="AB52" s="2850"/>
      <c r="AC52" s="2850"/>
    </row>
    <row r="53" spans="1:29">
      <c r="A53" s="870" t="s">
        <v>418</v>
      </c>
      <c r="B53" s="871" t="s">
        <v>419</v>
      </c>
      <c r="C53" s="872">
        <f>C9</f>
        <v>0</v>
      </c>
      <c r="D53" s="873"/>
      <c r="E53" s="873"/>
      <c r="F53" s="873"/>
      <c r="G53" s="873"/>
      <c r="H53" s="873"/>
      <c r="I53" s="873"/>
      <c r="J53" s="873"/>
      <c r="K53" s="874"/>
      <c r="L53" s="875"/>
      <c r="M53" s="876"/>
      <c r="N53" s="2368"/>
      <c r="O53" s="2368"/>
      <c r="P53" s="2852"/>
      <c r="Q53" s="2846"/>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2"/>
      <c r="Q54" s="2846"/>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2"/>
      <c r="Q55" s="2846"/>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2"/>
      <c r="Q56" s="2846"/>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2"/>
      <c r="Q57" s="2846"/>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2"/>
      <c r="Q58" s="2846"/>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9"/>
      <c r="O60" s="2369"/>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70"/>
      <c r="O61" s="2370"/>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70"/>
      <c r="O62" s="2370"/>
      <c r="P62" s="2853"/>
      <c r="Q62" s="2854"/>
      <c r="R62" s="2855"/>
      <c r="S62" s="2855"/>
      <c r="T62" s="2855"/>
      <c r="U62" s="2855"/>
      <c r="V62" s="2855"/>
      <c r="W62" s="2855"/>
      <c r="X62" s="2855"/>
      <c r="Y62" s="2855"/>
      <c r="Z62" s="2855"/>
      <c r="AA62" s="2855"/>
      <c r="AB62" s="2855"/>
      <c r="AC62" s="2855"/>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8"/>
      <c r="Q63" s="2846"/>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2"/>
      <c r="Q64" s="2846"/>
      <c r="R64" s="2360"/>
      <c r="S64" s="2360"/>
      <c r="T64" s="2360"/>
      <c r="U64" s="2360"/>
      <c r="V64" s="2360"/>
      <c r="W64" s="2360"/>
      <c r="X64" s="2360"/>
      <c r="Y64" s="2360"/>
      <c r="Z64" s="2360"/>
      <c r="AA64" s="2360"/>
      <c r="AB64" s="2360"/>
      <c r="AC64" s="2360"/>
    </row>
    <row r="65" spans="1:29" ht="15.75" thickTop="1">
      <c r="A65" s="877"/>
      <c r="B65" s="1054" t="s">
        <v>2635</v>
      </c>
      <c r="C65" s="921" t="s">
        <v>425</v>
      </c>
      <c r="D65" s="921" t="s">
        <v>426</v>
      </c>
      <c r="E65" s="921" t="s">
        <v>427</v>
      </c>
      <c r="F65" s="921" t="s">
        <v>428</v>
      </c>
      <c r="G65" s="921" t="s">
        <v>429</v>
      </c>
      <c r="H65" s="882"/>
      <c r="I65" s="882"/>
      <c r="J65" s="882"/>
      <c r="K65" s="883"/>
      <c r="L65" s="884"/>
      <c r="M65" s="885"/>
      <c r="N65" s="2368"/>
      <c r="O65" s="2368"/>
      <c r="P65" s="2852"/>
      <c r="Q65" s="2846"/>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2"/>
      <c r="Q66" s="2846"/>
      <c r="R66" s="2360"/>
      <c r="S66" s="2360"/>
      <c r="T66" s="2360"/>
      <c r="U66" s="2360"/>
      <c r="V66" s="2360"/>
      <c r="W66" s="2360"/>
      <c r="X66" s="2360"/>
      <c r="Y66" s="2360"/>
      <c r="Z66" s="2360"/>
      <c r="AA66" s="2360"/>
      <c r="AB66" s="2360"/>
      <c r="AC66" s="2360"/>
    </row>
    <row r="67" spans="1:29" ht="15.75" thickTop="1">
      <c r="A67" s="877"/>
      <c r="B67" s="1056" t="s">
        <v>2665</v>
      </c>
      <c r="C67" s="213" t="s">
        <v>2655</v>
      </c>
      <c r="D67" s="213" t="s">
        <v>2656</v>
      </c>
      <c r="E67" s="213" t="s">
        <v>2657</v>
      </c>
      <c r="F67" s="213" t="s">
        <v>2658</v>
      </c>
      <c r="G67" s="213" t="s">
        <v>2659</v>
      </c>
      <c r="H67" s="882"/>
      <c r="I67" s="882"/>
      <c r="J67" s="882"/>
      <c r="K67" s="882"/>
      <c r="L67" s="882"/>
      <c r="M67" s="2762"/>
      <c r="N67" s="2369"/>
      <c r="O67" s="2369"/>
      <c r="P67" s="2852"/>
      <c r="Q67" s="2846"/>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2"/>
      <c r="Q68" s="2846"/>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2"/>
      <c r="Q69" s="2846"/>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2"/>
      <c r="Q70" s="2846"/>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2"/>
      <c r="Q71" s="2846"/>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2"/>
      <c r="Q72" s="2846"/>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9"/>
      <c r="O74" s="2369"/>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7"/>
      <c r="O75" s="2367"/>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9"/>
      <c r="O76" s="2369"/>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70"/>
      <c r="O77" s="2370"/>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70"/>
      <c r="O78" s="2370"/>
      <c r="P78" s="2853"/>
      <c r="Q78" s="2854"/>
      <c r="R78" s="2855"/>
      <c r="S78" s="2855"/>
      <c r="T78" s="2855"/>
      <c r="U78" s="2855"/>
      <c r="V78" s="2855"/>
      <c r="W78" s="2855"/>
      <c r="X78" s="2855"/>
      <c r="Y78" s="2855"/>
      <c r="Z78" s="2855"/>
      <c r="AA78" s="2855"/>
      <c r="AB78" s="2855"/>
      <c r="AC78" s="2855"/>
    </row>
    <row r="79" spans="1:29" ht="27.75" thickTop="1">
      <c r="A79" s="870" t="s">
        <v>408</v>
      </c>
      <c r="B79" s="871" t="s">
        <v>467</v>
      </c>
      <c r="C79" s="872">
        <f>C26</f>
        <v>0</v>
      </c>
      <c r="D79" s="873"/>
      <c r="E79" s="873"/>
      <c r="F79" s="873"/>
      <c r="G79" s="873"/>
      <c r="H79" s="873"/>
      <c r="I79" s="873"/>
      <c r="J79" s="873"/>
      <c r="K79" s="874"/>
      <c r="L79" s="875"/>
      <c r="M79" s="876"/>
      <c r="N79" s="2368"/>
      <c r="O79" s="2368"/>
      <c r="P79" s="2852"/>
      <c r="Q79" s="2846"/>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2"/>
      <c r="Q80" s="2846"/>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2"/>
      <c r="Q81" s="2846"/>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3"/>
      <c r="Q82" s="2854"/>
      <c r="R82" s="2855"/>
      <c r="S82" s="2855"/>
      <c r="T82" s="2855"/>
      <c r="U82" s="2855"/>
      <c r="V82" s="2855"/>
      <c r="W82" s="2855"/>
      <c r="X82" s="2855"/>
      <c r="Y82" s="2855"/>
      <c r="Z82" s="2855"/>
      <c r="AA82" s="2855"/>
      <c r="AB82" s="2855"/>
      <c r="AC82" s="2855"/>
    </row>
    <row r="83" spans="1:29" ht="15" thickTop="1">
      <c r="A83" s="942"/>
      <c r="B83" s="881" t="s">
        <v>434</v>
      </c>
      <c r="C83" s="897"/>
      <c r="D83" s="897"/>
      <c r="E83" s="926"/>
      <c r="F83" s="926"/>
      <c r="G83" s="926"/>
      <c r="H83" s="926"/>
      <c r="I83" s="926"/>
      <c r="J83" s="926"/>
      <c r="K83" s="927"/>
      <c r="L83" s="928"/>
      <c r="M83" s="929"/>
      <c r="N83" s="2368"/>
      <c r="O83" s="2368"/>
      <c r="P83" s="2852"/>
      <c r="Q83" s="2846"/>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2"/>
      <c r="Q84" s="2846"/>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2"/>
      <c r="Q85" s="2846"/>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2"/>
      <c r="Q86" s="2846"/>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2"/>
      <c r="Q87" s="2846"/>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2"/>
      <c r="Q88" s="2846"/>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2"/>
      <c r="Q89" s="2846"/>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70"/>
      <c r="O91" s="2370"/>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70"/>
      <c r="O92" s="2370"/>
      <c r="P92" s="2853"/>
      <c r="Q92" s="2854"/>
      <c r="R92" s="2855"/>
      <c r="S92" s="2855"/>
      <c r="T92" s="2855"/>
      <c r="U92" s="2855"/>
      <c r="V92" s="2855"/>
      <c r="W92" s="2855"/>
      <c r="X92" s="2855"/>
      <c r="Y92" s="2855"/>
      <c r="Z92" s="2855"/>
      <c r="AA92" s="2855"/>
      <c r="AB92" s="2855"/>
      <c r="AC92" s="2855"/>
    </row>
    <row r="93" spans="1:29" ht="15" thickTop="1">
      <c r="A93" s="942"/>
      <c r="B93" s="881" t="s">
        <v>472</v>
      </c>
      <c r="C93" s="897"/>
      <c r="D93" s="897"/>
      <c r="E93" s="926"/>
      <c r="F93" s="926"/>
      <c r="G93" s="926"/>
      <c r="H93" s="926"/>
      <c r="I93" s="926"/>
      <c r="J93" s="926"/>
      <c r="K93" s="927"/>
      <c r="L93" s="928"/>
      <c r="M93" s="929"/>
      <c r="N93" s="2368"/>
      <c r="O93" s="2368"/>
      <c r="P93" s="2852"/>
      <c r="Q93" s="2846"/>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2"/>
      <c r="Q94" s="2846"/>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2"/>
      <c r="Q95" s="2846"/>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2"/>
      <c r="Q96" s="2846"/>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59"/>
      <c r="Q97" s="2860"/>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2"/>
      <c r="Q98" s="2846"/>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70"/>
      <c r="O100" s="2370"/>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8"/>
      <c r="O101" s="2368"/>
      <c r="P101" s="2852"/>
      <c r="Q101" s="2846"/>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2"/>
      <c r="Q102" s="2846"/>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29"/>
      <c r="C1" s="3119" t="s">
        <v>444</v>
      </c>
      <c r="D1" s="3100"/>
      <c r="E1" s="3130"/>
      <c r="F1" s="3102"/>
      <c r="G1" s="3131" t="s">
        <v>445</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446</v>
      </c>
      <c r="B2" s="2841" t="e">
        <f ca="1">IF(C2="——",ROUND(C37*D3/10000,0),ROUND(C37*D3/10000,0)-D2)</f>
        <v>#DIV/0!</v>
      </c>
      <c r="C2" s="3094"/>
      <c r="D2" s="2340" t="e">
        <f ca="1">SUMIF(INDIRECT("'"&amp;F2&amp;"'"&amp;"!A:A"),"承租人权益价值",INDIRECT("'"&amp;F2&amp;"'"&amp;"!c:c"))</f>
        <v>#REF!</v>
      </c>
      <c r="E2" s="3095" t="s">
        <v>869</v>
      </c>
      <c r="F2" s="3096"/>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688" t="s">
        <v>450</v>
      </c>
      <c r="D4" s="3689"/>
      <c r="E4" s="3690" t="s">
        <v>451</v>
      </c>
      <c r="F4" s="3691"/>
      <c r="G4" s="3688" t="s">
        <v>452</v>
      </c>
      <c r="H4" s="3689"/>
      <c r="I4" s="3688" t="s">
        <v>453</v>
      </c>
      <c r="J4" s="3689"/>
      <c r="K4" s="953" t="s">
        <v>454</v>
      </c>
      <c r="L4" s="2346"/>
      <c r="M4" s="2347"/>
      <c r="N4" s="2347"/>
      <c r="O4" s="2347"/>
      <c r="P4" s="3692" t="s">
        <v>455</v>
      </c>
      <c r="Q4" s="3693"/>
      <c r="R4" s="3698" t="s">
        <v>451</v>
      </c>
      <c r="S4" s="3699"/>
      <c r="T4" s="3698" t="s">
        <v>452</v>
      </c>
      <c r="U4" s="3699"/>
      <c r="V4" s="3704" t="s">
        <v>453</v>
      </c>
      <c r="W4" s="3704"/>
      <c r="X4" s="1318"/>
      <c r="Y4" s="3698" t="s">
        <v>455</v>
      </c>
      <c r="Z4" s="3699"/>
      <c r="AA4" s="3685" t="s">
        <v>451</v>
      </c>
      <c r="AB4" s="3686" t="s">
        <v>452</v>
      </c>
      <c r="AC4" s="3685" t="s">
        <v>453</v>
      </c>
    </row>
    <row r="5" spans="1:29" ht="15">
      <c r="A5" s="747"/>
      <c r="B5" s="748"/>
      <c r="C5" s="3625" t="s">
        <v>1125</v>
      </c>
      <c r="D5" s="3626"/>
      <c r="E5" s="3673" t="s">
        <v>1126</v>
      </c>
      <c r="F5" s="3674"/>
      <c r="G5" s="3625" t="s">
        <v>61</v>
      </c>
      <c r="H5" s="3626"/>
      <c r="I5" s="3625" t="s">
        <v>1127</v>
      </c>
      <c r="J5" s="3626"/>
      <c r="K5" s="953"/>
      <c r="L5" s="2346"/>
      <c r="M5" s="2347"/>
      <c r="N5" s="2347"/>
      <c r="O5" s="2347"/>
      <c r="P5" s="3694"/>
      <c r="Q5" s="3695"/>
      <c r="R5" s="3700"/>
      <c r="S5" s="3701"/>
      <c r="T5" s="3700"/>
      <c r="U5" s="3701"/>
      <c r="V5" s="3704"/>
      <c r="W5" s="3704"/>
      <c r="X5" s="1318"/>
      <c r="Y5" s="3700"/>
      <c r="Z5" s="3701"/>
      <c r="AA5" s="3686"/>
      <c r="AB5" s="3686"/>
      <c r="AC5" s="3686"/>
    </row>
    <row r="6" spans="1:29" ht="15.75" thickBot="1">
      <c r="A6" s="749"/>
      <c r="B6" s="750"/>
      <c r="C6" s="3623" t="s">
        <v>1128</v>
      </c>
      <c r="D6" s="3624"/>
      <c r="E6" s="3671" t="s">
        <v>1128</v>
      </c>
      <c r="F6" s="3672"/>
      <c r="G6" s="3623" t="s">
        <v>1128</v>
      </c>
      <c r="H6" s="3624"/>
      <c r="I6" s="3623" t="s">
        <v>1128</v>
      </c>
      <c r="J6" s="3624"/>
      <c r="K6" s="953" t="s">
        <v>397</v>
      </c>
      <c r="L6" s="2346"/>
      <c r="M6" s="2347"/>
      <c r="N6" s="2347"/>
      <c r="O6" s="2347"/>
      <c r="P6" s="3696"/>
      <c r="Q6" s="3697"/>
      <c r="R6" s="3700"/>
      <c r="S6" s="3701"/>
      <c r="T6" s="3702"/>
      <c r="U6" s="3703"/>
      <c r="V6" s="3704"/>
      <c r="W6" s="3704"/>
      <c r="X6" s="1318"/>
      <c r="Y6" s="3702"/>
      <c r="Z6" s="3703"/>
      <c r="AA6" s="3687"/>
      <c r="AB6" s="3687"/>
      <c r="AC6" s="3687"/>
    </row>
    <row r="7" spans="1:29" s="407" customFormat="1" ht="15.75" thickBot="1">
      <c r="A7" s="751" t="s">
        <v>398</v>
      </c>
      <c r="B7" s="752"/>
      <c r="C7" s="753">
        <f>'数据-取费表'!B2</f>
        <v>42962</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709" t="s">
        <v>399</v>
      </c>
      <c r="Q7" s="3711"/>
      <c r="R7" s="1319" t="s">
        <v>65</v>
      </c>
      <c r="S7" s="1320">
        <f t="shared" ref="S7:S14" si="0">F7</f>
        <v>0</v>
      </c>
      <c r="T7" s="1319" t="s">
        <v>65</v>
      </c>
      <c r="U7" s="1320">
        <f t="shared" ref="U7:U14" si="1">H7</f>
        <v>0</v>
      </c>
      <c r="V7" s="1319" t="s">
        <v>65</v>
      </c>
      <c r="W7" s="1320">
        <f t="shared" ref="W7:W14" si="2">J7</f>
        <v>0</v>
      </c>
      <c r="X7" s="1321"/>
      <c r="Y7" s="3709" t="s">
        <v>399</v>
      </c>
      <c r="Z7" s="3710"/>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709" t="s">
        <v>435</v>
      </c>
      <c r="Q8" s="3710"/>
      <c r="R8" s="1319" t="s">
        <v>65</v>
      </c>
      <c r="S8" s="1320">
        <f t="shared" si="0"/>
        <v>0</v>
      </c>
      <c r="T8" s="1319" t="s">
        <v>65</v>
      </c>
      <c r="U8" s="1320">
        <f t="shared" si="1"/>
        <v>0</v>
      </c>
      <c r="V8" s="1319" t="s">
        <v>65</v>
      </c>
      <c r="W8" s="1320">
        <f t="shared" si="2"/>
        <v>0</v>
      </c>
      <c r="X8" s="1321"/>
      <c r="Y8" s="3709" t="s">
        <v>435</v>
      </c>
      <c r="Z8" s="3710"/>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76" t="s">
        <v>402</v>
      </c>
      <c r="Q9" s="296" t="str">
        <f t="shared" ref="Q9:Q14" si="6">B9</f>
        <v>用途</v>
      </c>
      <c r="R9" s="1319" t="s">
        <v>65</v>
      </c>
      <c r="S9" s="1320">
        <f t="shared" si="0"/>
        <v>100</v>
      </c>
      <c r="T9" s="1319" t="s">
        <v>65</v>
      </c>
      <c r="U9" s="1320">
        <f t="shared" si="1"/>
        <v>100</v>
      </c>
      <c r="V9" s="1319" t="s">
        <v>65</v>
      </c>
      <c r="W9" s="1320">
        <f t="shared" si="2"/>
        <v>100</v>
      </c>
      <c r="X9" s="1321"/>
      <c r="Y9" s="3482"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76"/>
      <c r="Q10" s="296" t="str">
        <f t="shared" si="6"/>
        <v>土地使用年限（年）</v>
      </c>
      <c r="R10" s="1319" t="s">
        <v>65</v>
      </c>
      <c r="S10" s="1320">
        <f t="shared" si="0"/>
        <v>100</v>
      </c>
      <c r="T10" s="1319" t="s">
        <v>65</v>
      </c>
      <c r="U10" s="1320">
        <f t="shared" si="1"/>
        <v>100</v>
      </c>
      <c r="V10" s="1319" t="s">
        <v>65</v>
      </c>
      <c r="W10" s="1320">
        <f t="shared" si="2"/>
        <v>100</v>
      </c>
      <c r="X10" s="1321"/>
      <c r="Y10" s="348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676"/>
      <c r="Q11" s="296">
        <f t="shared" si="6"/>
        <v>111</v>
      </c>
      <c r="R11" s="1319" t="s">
        <v>65</v>
      </c>
      <c r="S11" s="1320">
        <f t="shared" si="0"/>
        <v>100</v>
      </c>
      <c r="T11" s="1319" t="s">
        <v>65</v>
      </c>
      <c r="U11" s="1320">
        <f t="shared" si="1"/>
        <v>100</v>
      </c>
      <c r="V11" s="1319" t="s">
        <v>65</v>
      </c>
      <c r="W11" s="1320">
        <f t="shared" si="2"/>
        <v>100</v>
      </c>
      <c r="X11" s="1321"/>
      <c r="Y11" s="348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676"/>
      <c r="Q12" s="296">
        <f t="shared" si="6"/>
        <v>111</v>
      </c>
      <c r="R12" s="1319" t="s">
        <v>65</v>
      </c>
      <c r="S12" s="1320">
        <f t="shared" si="0"/>
        <v>100</v>
      </c>
      <c r="T12" s="1319" t="s">
        <v>65</v>
      </c>
      <c r="U12" s="1320">
        <f t="shared" si="1"/>
        <v>100</v>
      </c>
      <c r="V12" s="1319" t="s">
        <v>65</v>
      </c>
      <c r="W12" s="1320">
        <f t="shared" si="2"/>
        <v>100</v>
      </c>
      <c r="X12" s="1321"/>
      <c r="Y12" s="348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676"/>
      <c r="Q13" s="296">
        <f t="shared" si="6"/>
        <v>111</v>
      </c>
      <c r="R13" s="1319" t="s">
        <v>65</v>
      </c>
      <c r="S13" s="1320">
        <f t="shared" si="0"/>
        <v>100</v>
      </c>
      <c r="T13" s="1319" t="s">
        <v>65</v>
      </c>
      <c r="U13" s="1320">
        <f t="shared" si="1"/>
        <v>100</v>
      </c>
      <c r="V13" s="1319" t="s">
        <v>65</v>
      </c>
      <c r="W13" s="1320">
        <f t="shared" si="2"/>
        <v>100</v>
      </c>
      <c r="X13" s="1321"/>
      <c r="Y13" s="3482"/>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81" t="s">
        <v>407</v>
      </c>
      <c r="Q14" s="1323" t="str">
        <f t="shared" si="6"/>
        <v>交通便捷度</v>
      </c>
      <c r="R14" s="1324" t="s">
        <v>65</v>
      </c>
      <c r="S14" s="1325">
        <f t="shared" si="0"/>
        <v>100</v>
      </c>
      <c r="T14" s="1324" t="s">
        <v>65</v>
      </c>
      <c r="U14" s="1325">
        <f t="shared" si="1"/>
        <v>100</v>
      </c>
      <c r="V14" s="1324" t="s">
        <v>65</v>
      </c>
      <c r="W14" s="1325">
        <f t="shared" si="2"/>
        <v>100</v>
      </c>
      <c r="X14" s="1318"/>
      <c r="Y14" s="3681"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682"/>
      <c r="Q15" s="1323"/>
      <c r="R15" s="1324"/>
      <c r="S15" s="1325"/>
      <c r="T15" s="1324"/>
      <c r="U15" s="1325"/>
      <c r="V15" s="1324"/>
      <c r="W15" s="1325"/>
      <c r="X15" s="1318"/>
      <c r="Y15" s="3682"/>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82"/>
      <c r="Q16" s="1323" t="str">
        <f>B16</f>
        <v>公共配套设施</v>
      </c>
      <c r="R16" s="1324" t="s">
        <v>65</v>
      </c>
      <c r="S16" s="1325">
        <f>F16</f>
        <v>100</v>
      </c>
      <c r="T16" s="1324" t="s">
        <v>65</v>
      </c>
      <c r="U16" s="1325">
        <f>H16</f>
        <v>100</v>
      </c>
      <c r="V16" s="1324" t="s">
        <v>65</v>
      </c>
      <c r="W16" s="1325">
        <f>J16</f>
        <v>100</v>
      </c>
      <c r="X16" s="1318"/>
      <c r="Y16" s="368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682"/>
      <c r="Q17" s="1323"/>
      <c r="R17" s="1324"/>
      <c r="S17" s="1325"/>
      <c r="T17" s="1324"/>
      <c r="U17" s="1325"/>
      <c r="V17" s="1324"/>
      <c r="W17" s="1325"/>
      <c r="X17" s="1318"/>
      <c r="Y17" s="3682"/>
      <c r="Z17" s="1326"/>
      <c r="AA17" s="1327">
        <v>1</v>
      </c>
      <c r="AB17" s="1327">
        <v>1</v>
      </c>
      <c r="AC17" s="1327">
        <v>1</v>
      </c>
    </row>
    <row r="18" spans="1:29" ht="27">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82"/>
      <c r="Q18" s="2746" t="str">
        <f>B18</f>
        <v>基础设施水平</v>
      </c>
      <c r="R18" s="1324" t="s">
        <v>65</v>
      </c>
      <c r="S18" s="1325">
        <f>F18</f>
        <v>100</v>
      </c>
      <c r="T18" s="1324" t="s">
        <v>65</v>
      </c>
      <c r="U18" s="1325">
        <f>H18</f>
        <v>100</v>
      </c>
      <c r="V18" s="1324" t="s">
        <v>65</v>
      </c>
      <c r="W18" s="1325">
        <f>J18</f>
        <v>100</v>
      </c>
      <c r="X18" s="2748"/>
      <c r="Y18" s="3682"/>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6"/>
      <c r="M19" s="2347"/>
      <c r="N19" s="2347"/>
      <c r="O19" s="2355"/>
      <c r="P19" s="3682"/>
      <c r="Q19" s="2746"/>
      <c r="R19" s="1324"/>
      <c r="S19" s="1325"/>
      <c r="T19" s="1324"/>
      <c r="U19" s="1325"/>
      <c r="V19" s="1324"/>
      <c r="W19" s="1325"/>
      <c r="X19" s="2748"/>
      <c r="Y19" s="3682"/>
      <c r="Z19" s="2747"/>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82"/>
      <c r="Q20" s="1323" t="str">
        <f>B20</f>
        <v>自然及人文环境</v>
      </c>
      <c r="R20" s="1324" t="s">
        <v>65</v>
      </c>
      <c r="S20" s="1325">
        <f>F20</f>
        <v>100</v>
      </c>
      <c r="T20" s="1324" t="s">
        <v>65</v>
      </c>
      <c r="U20" s="1325">
        <f>H20</f>
        <v>100</v>
      </c>
      <c r="V20" s="1324" t="s">
        <v>65</v>
      </c>
      <c r="W20" s="1325">
        <f>J20</f>
        <v>100</v>
      </c>
      <c r="X20" s="1318"/>
      <c r="Y20" s="368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682"/>
      <c r="Q21" s="1323"/>
      <c r="R21" s="1324"/>
      <c r="S21" s="1325"/>
      <c r="T21" s="1324"/>
      <c r="U21" s="1325"/>
      <c r="V21" s="1324"/>
      <c r="W21" s="1325"/>
      <c r="X21" s="1318"/>
      <c r="Y21" s="3682"/>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82"/>
      <c r="Q22" s="1323" t="str">
        <f>B22</f>
        <v>楼层</v>
      </c>
      <c r="R22" s="1324" t="s">
        <v>65</v>
      </c>
      <c r="S22" s="1325">
        <f>F22</f>
        <v>100</v>
      </c>
      <c r="T22" s="1324" t="s">
        <v>65</v>
      </c>
      <c r="U22" s="1325">
        <f>H22</f>
        <v>100</v>
      </c>
      <c r="V22" s="1324" t="s">
        <v>65</v>
      </c>
      <c r="W22" s="1325">
        <f>J22</f>
        <v>100</v>
      </c>
      <c r="X22" s="1318"/>
      <c r="Y22" s="368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82"/>
      <c r="Q23" s="1323">
        <f>B23</f>
        <v>111</v>
      </c>
      <c r="R23" s="1324" t="s">
        <v>65</v>
      </c>
      <c r="S23" s="1325">
        <f>F23</f>
        <v>100</v>
      </c>
      <c r="T23" s="1324" t="s">
        <v>65</v>
      </c>
      <c r="U23" s="1325">
        <f>H23</f>
        <v>100</v>
      </c>
      <c r="V23" s="1324" t="s">
        <v>65</v>
      </c>
      <c r="W23" s="1325">
        <f>J23</f>
        <v>100</v>
      </c>
      <c r="X23" s="1318"/>
      <c r="Y23" s="368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82"/>
      <c r="Q24" s="1323">
        <f t="shared" ref="Q24:Q34" si="11">B24</f>
        <v>111</v>
      </c>
      <c r="R24" s="1324" t="s">
        <v>65</v>
      </c>
      <c r="S24" s="1325">
        <f>F24</f>
        <v>100</v>
      </c>
      <c r="T24" s="1324" t="s">
        <v>65</v>
      </c>
      <c r="U24" s="1325">
        <f>H24</f>
        <v>100</v>
      </c>
      <c r="V24" s="1324" t="s">
        <v>65</v>
      </c>
      <c r="W24" s="1325">
        <f>J24</f>
        <v>100</v>
      </c>
      <c r="X24" s="1318"/>
      <c r="Y24" s="368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82"/>
      <c r="Q25" s="296">
        <f t="shared" si="11"/>
        <v>111</v>
      </c>
      <c r="R25" s="1319" t="s">
        <v>65</v>
      </c>
      <c r="S25" s="1320">
        <f>F25</f>
        <v>100</v>
      </c>
      <c r="T25" s="1319" t="s">
        <v>65</v>
      </c>
      <c r="U25" s="1320">
        <f>H25</f>
        <v>100</v>
      </c>
      <c r="V25" s="1319" t="s">
        <v>65</v>
      </c>
      <c r="W25" s="1320">
        <f>J25</f>
        <v>100</v>
      </c>
      <c r="X25" s="1321"/>
      <c r="Y25" s="3682"/>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83"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84"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84"/>
      <c r="Q27" s="1328" t="str">
        <f t="shared" si="11"/>
        <v>成新率</v>
      </c>
      <c r="R27" s="1329" t="s">
        <v>65</v>
      </c>
      <c r="S27" s="1330" t="e">
        <f t="shared" si="12"/>
        <v>#N/A</v>
      </c>
      <c r="T27" s="1329" t="s">
        <v>65</v>
      </c>
      <c r="U27" s="1330" t="e">
        <f t="shared" si="13"/>
        <v>#N/A</v>
      </c>
      <c r="V27" s="1329" t="s">
        <v>65</v>
      </c>
      <c r="W27" s="1330" t="e">
        <f t="shared" si="14"/>
        <v>#N/A</v>
      </c>
      <c r="X27" s="1331"/>
      <c r="Y27" s="3684"/>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84"/>
      <c r="Q28" s="1323" t="str">
        <f t="shared" si="11"/>
        <v>物业等级</v>
      </c>
      <c r="R28" s="1324" t="s">
        <v>65</v>
      </c>
      <c r="S28" s="1325">
        <f t="shared" si="12"/>
        <v>100</v>
      </c>
      <c r="T28" s="1324" t="s">
        <v>65</v>
      </c>
      <c r="U28" s="1325">
        <f t="shared" si="13"/>
        <v>100</v>
      </c>
      <c r="V28" s="1324" t="s">
        <v>65</v>
      </c>
      <c r="W28" s="1325">
        <f t="shared" si="14"/>
        <v>100</v>
      </c>
      <c r="X28" s="1318"/>
      <c r="Y28" s="3684"/>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684"/>
      <c r="Q29" s="1323" t="str">
        <f t="shared" si="11"/>
        <v>有无电梯</v>
      </c>
      <c r="R29" s="1324" t="s">
        <v>65</v>
      </c>
      <c r="S29" s="1325">
        <f t="shared" si="12"/>
        <v>100</v>
      </c>
      <c r="T29" s="1324" t="s">
        <v>65</v>
      </c>
      <c r="U29" s="1325">
        <f t="shared" si="13"/>
        <v>100</v>
      </c>
      <c r="V29" s="1324" t="s">
        <v>65</v>
      </c>
      <c r="W29" s="1325">
        <f t="shared" si="14"/>
        <v>100</v>
      </c>
      <c r="X29" s="1318"/>
      <c r="Y29" s="3684"/>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84"/>
      <c r="Q30" s="1323" t="str">
        <f t="shared" si="11"/>
        <v>建筑面积</v>
      </c>
      <c r="R30" s="1324" t="s">
        <v>65</v>
      </c>
      <c r="S30" s="1325" t="e">
        <f t="shared" si="12"/>
        <v>#N/A</v>
      </c>
      <c r="T30" s="1324" t="s">
        <v>65</v>
      </c>
      <c r="U30" s="1325" t="e">
        <f t="shared" si="13"/>
        <v>#N/A</v>
      </c>
      <c r="V30" s="1324" t="s">
        <v>65</v>
      </c>
      <c r="W30" s="1325" t="e">
        <f t="shared" si="14"/>
        <v>#N/A</v>
      </c>
      <c r="X30" s="1318"/>
      <c r="Y30" s="3684"/>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684"/>
      <c r="Q31" s="296" t="str">
        <f t="shared" si="11"/>
        <v>是否封闭</v>
      </c>
      <c r="R31" s="1319" t="s">
        <v>65</v>
      </c>
      <c r="S31" s="1320">
        <f t="shared" si="12"/>
        <v>100</v>
      </c>
      <c r="T31" s="1319" t="s">
        <v>65</v>
      </c>
      <c r="U31" s="1320">
        <f t="shared" si="13"/>
        <v>100</v>
      </c>
      <c r="V31" s="1319" t="s">
        <v>65</v>
      </c>
      <c r="W31" s="1320">
        <f t="shared" si="14"/>
        <v>100</v>
      </c>
      <c r="X31" s="1321"/>
      <c r="Y31" s="368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684" t="s">
        <v>409</v>
      </c>
      <c r="Q32" s="1323">
        <f t="shared" si="11"/>
        <v>111</v>
      </c>
      <c r="R32" s="1324" t="s">
        <v>65</v>
      </c>
      <c r="S32" s="1325">
        <f t="shared" si="12"/>
        <v>100</v>
      </c>
      <c r="T32" s="1324" t="s">
        <v>65</v>
      </c>
      <c r="U32" s="1325">
        <f t="shared" si="13"/>
        <v>100</v>
      </c>
      <c r="V32" s="1324" t="s">
        <v>65</v>
      </c>
      <c r="W32" s="1325">
        <f t="shared" si="14"/>
        <v>100</v>
      </c>
      <c r="X32" s="1318"/>
      <c r="Y32" s="3684"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684"/>
      <c r="Q33" s="1323">
        <f t="shared" si="11"/>
        <v>111</v>
      </c>
      <c r="R33" s="1324" t="s">
        <v>65</v>
      </c>
      <c r="S33" s="1325">
        <f t="shared" si="12"/>
        <v>100</v>
      </c>
      <c r="T33" s="1324" t="s">
        <v>65</v>
      </c>
      <c r="U33" s="1325">
        <f t="shared" si="13"/>
        <v>100</v>
      </c>
      <c r="V33" s="1324" t="s">
        <v>65</v>
      </c>
      <c r="W33" s="1325">
        <f t="shared" si="14"/>
        <v>100</v>
      </c>
      <c r="X33" s="1318"/>
      <c r="Y33" s="368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684"/>
      <c r="Q34" s="1323">
        <f t="shared" si="11"/>
        <v>111</v>
      </c>
      <c r="R34" s="1324" t="s">
        <v>65</v>
      </c>
      <c r="S34" s="1325">
        <f t="shared" si="12"/>
        <v>100</v>
      </c>
      <c r="T34" s="1324" t="s">
        <v>65</v>
      </c>
      <c r="U34" s="1325">
        <f t="shared" si="13"/>
        <v>100</v>
      </c>
      <c r="V34" s="1324" t="s">
        <v>65</v>
      </c>
      <c r="W34" s="1325">
        <f t="shared" si="14"/>
        <v>100</v>
      </c>
      <c r="X34" s="1318"/>
      <c r="Y34" s="3684"/>
      <c r="Z34" s="1326">
        <f t="shared" si="15"/>
        <v>111</v>
      </c>
      <c r="AA34" s="1327">
        <f t="shared" si="3"/>
        <v>1</v>
      </c>
      <c r="AB34" s="1327">
        <f t="shared" si="4"/>
        <v>1</v>
      </c>
      <c r="AC34" s="1327">
        <f t="shared" si="5"/>
        <v>1</v>
      </c>
    </row>
    <row r="35" spans="1:29" ht="15">
      <c r="A35" s="822" t="s">
        <v>410</v>
      </c>
      <c r="B35" s="823"/>
      <c r="C35" s="2830" t="s">
        <v>23</v>
      </c>
      <c r="D35" s="2831"/>
      <c r="E35" s="2832"/>
      <c r="F35" s="2833"/>
      <c r="G35" s="2834"/>
      <c r="H35" s="2835"/>
      <c r="I35" s="2832"/>
      <c r="J35" s="2835"/>
      <c r="K35" s="1400"/>
      <c r="L35" s="2359"/>
      <c r="M35" s="2360"/>
      <c r="N35" s="2347"/>
      <c r="O35" s="2360"/>
      <c r="P35" s="3676" t="str">
        <f>A35</f>
        <v>成交单价（元/平方米）</v>
      </c>
      <c r="Q35" s="3676"/>
      <c r="R35" s="3677">
        <f>E35</f>
        <v>0</v>
      </c>
      <c r="S35" s="3677"/>
      <c r="T35" s="3677">
        <f>G35</f>
        <v>0</v>
      </c>
      <c r="U35" s="3677"/>
      <c r="V35" s="3677">
        <f>I35</f>
        <v>0</v>
      </c>
      <c r="W35" s="3677"/>
      <c r="X35" s="1307"/>
      <c r="Y35" s="1333"/>
      <c r="Z35" s="1307"/>
      <c r="AA35" s="1307"/>
      <c r="AB35" s="1307"/>
      <c r="AC35" s="1307"/>
    </row>
    <row r="36" spans="1:29" ht="15.75" thickBot="1">
      <c r="A36" s="829" t="s">
        <v>411</v>
      </c>
      <c r="B36" s="830"/>
      <c r="C36" s="2836" t="e">
        <f>R37</f>
        <v>#DIV/0!</v>
      </c>
      <c r="D36" s="2837"/>
      <c r="E36" s="2838" t="e">
        <f>R36</f>
        <v>#DIV/0!</v>
      </c>
      <c r="F36" s="2838"/>
      <c r="G36" s="2836" t="e">
        <f>T36</f>
        <v>#DIV/0!</v>
      </c>
      <c r="H36" s="2837"/>
      <c r="I36" s="2838" t="e">
        <f>V36</f>
        <v>#DIV/0!</v>
      </c>
      <c r="J36" s="2837"/>
      <c r="K36" s="1401"/>
      <c r="L36" s="2359"/>
      <c r="M36" s="2360"/>
      <c r="N36" s="2347"/>
      <c r="O36" s="2360"/>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307"/>
      <c r="Y36" s="1307"/>
      <c r="Z36" s="1307"/>
      <c r="AA36" s="1307"/>
      <c r="AB36" s="1307"/>
      <c r="AC36" s="1307"/>
    </row>
    <row r="37" spans="1:29" ht="15.75" thickBot="1">
      <c r="A37" s="115" t="s">
        <v>3016</v>
      </c>
      <c r="B37" s="836"/>
      <c r="C37" s="2840" t="e">
        <f>R37</f>
        <v>#DIV/0!</v>
      </c>
      <c r="D37" s="2840"/>
      <c r="E37" s="2840"/>
      <c r="F37" s="2840"/>
      <c r="G37" s="2840"/>
      <c r="H37" s="2840"/>
      <c r="I37" s="2840"/>
      <c r="J37" s="2840"/>
      <c r="K37" s="1402"/>
      <c r="L37" s="2359"/>
      <c r="M37" s="2360"/>
      <c r="N37" s="2360"/>
      <c r="O37" s="2360"/>
      <c r="P37" s="3678" t="str">
        <f>A37</f>
        <v>估价对象XX用房的比较价值（楼面单价，元/平方米）</v>
      </c>
      <c r="Q37" s="3679"/>
      <c r="R37" s="3680" t="e">
        <f>IF(F1="售价",ROUND(AVERAGE(R36:V36),0),ROUND(AVERAGE(R36:V36),1))</f>
        <v>#DIV/0!</v>
      </c>
      <c r="S37" s="3680"/>
      <c r="T37" s="3680"/>
      <c r="U37" s="3680"/>
      <c r="V37" s="3680"/>
      <c r="W37" s="3680"/>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2"/>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688" t="s">
        <v>391</v>
      </c>
      <c r="D4" s="3689"/>
      <c r="E4" s="3690" t="s">
        <v>392</v>
      </c>
      <c r="F4" s="3691"/>
      <c r="G4" s="3688" t="s">
        <v>393</v>
      </c>
      <c r="H4" s="3689"/>
      <c r="I4" s="3688" t="s">
        <v>394</v>
      </c>
      <c r="J4" s="3689"/>
      <c r="K4" s="953" t="s">
        <v>395</v>
      </c>
      <c r="L4" s="2346"/>
      <c r="M4" s="2347"/>
      <c r="N4" s="2347"/>
      <c r="O4" s="2347"/>
      <c r="P4" s="3692" t="s">
        <v>396</v>
      </c>
      <c r="Q4" s="3693"/>
      <c r="R4" s="3698" t="s">
        <v>392</v>
      </c>
      <c r="S4" s="3699"/>
      <c r="T4" s="3698" t="s">
        <v>393</v>
      </c>
      <c r="U4" s="3699"/>
      <c r="V4" s="3704" t="s">
        <v>394</v>
      </c>
      <c r="W4" s="3704"/>
      <c r="X4" s="1318"/>
      <c r="Y4" s="3698" t="s">
        <v>396</v>
      </c>
      <c r="Z4" s="3699"/>
      <c r="AA4" s="3685" t="s">
        <v>392</v>
      </c>
      <c r="AB4" s="3686" t="s">
        <v>393</v>
      </c>
      <c r="AC4" s="3685" t="s">
        <v>394</v>
      </c>
    </row>
    <row r="5" spans="1:30" ht="15">
      <c r="A5" s="747"/>
      <c r="B5" s="748"/>
      <c r="C5" s="3625" t="s">
        <v>1125</v>
      </c>
      <c r="D5" s="3626"/>
      <c r="E5" s="3673" t="s">
        <v>1126</v>
      </c>
      <c r="F5" s="3674"/>
      <c r="G5" s="3625" t="s">
        <v>1129</v>
      </c>
      <c r="H5" s="3626"/>
      <c r="I5" s="3625" t="s">
        <v>1127</v>
      </c>
      <c r="J5" s="3626"/>
      <c r="K5" s="953"/>
      <c r="L5" s="2346"/>
      <c r="M5" s="2347"/>
      <c r="N5" s="2347"/>
      <c r="O5" s="2347"/>
      <c r="P5" s="3694"/>
      <c r="Q5" s="3695"/>
      <c r="R5" s="3700"/>
      <c r="S5" s="3701"/>
      <c r="T5" s="3700"/>
      <c r="U5" s="3701"/>
      <c r="V5" s="3704"/>
      <c r="W5" s="3704"/>
      <c r="X5" s="1318"/>
      <c r="Y5" s="3700"/>
      <c r="Z5" s="3701"/>
      <c r="AA5" s="3686"/>
      <c r="AB5" s="3686"/>
      <c r="AC5" s="3686"/>
    </row>
    <row r="6" spans="1:30" ht="15.75" thickBot="1">
      <c r="A6" s="749"/>
      <c r="B6" s="750"/>
      <c r="C6" s="3623" t="s">
        <v>1128</v>
      </c>
      <c r="D6" s="3624"/>
      <c r="E6" s="3671" t="s">
        <v>1128</v>
      </c>
      <c r="F6" s="3672"/>
      <c r="G6" s="3623" t="s">
        <v>1128</v>
      </c>
      <c r="H6" s="3624"/>
      <c r="I6" s="3623" t="s">
        <v>1128</v>
      </c>
      <c r="J6" s="3624"/>
      <c r="K6" s="953" t="s">
        <v>397</v>
      </c>
      <c r="L6" s="2346"/>
      <c r="M6" s="2347"/>
      <c r="N6" s="2347"/>
      <c r="O6" s="2347"/>
      <c r="P6" s="3696"/>
      <c r="Q6" s="3697"/>
      <c r="R6" s="3700"/>
      <c r="S6" s="3701"/>
      <c r="T6" s="3702"/>
      <c r="U6" s="3703"/>
      <c r="V6" s="3704"/>
      <c r="W6" s="3704"/>
      <c r="X6" s="1318"/>
      <c r="Y6" s="3702"/>
      <c r="Z6" s="3703"/>
      <c r="AA6" s="3687"/>
      <c r="AB6" s="3687"/>
      <c r="AC6" s="3687"/>
    </row>
    <row r="7" spans="1:30" s="407" customFormat="1" ht="15.75" thickBot="1">
      <c r="A7" s="751" t="s">
        <v>398</v>
      </c>
      <c r="B7" s="752"/>
      <c r="C7" s="753">
        <f>'数据-取费表'!B2</f>
        <v>42962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709" t="s">
        <v>399</v>
      </c>
      <c r="Q7" s="3711"/>
      <c r="R7" s="1319" t="s">
        <v>65</v>
      </c>
      <c r="S7" s="1320">
        <f t="shared" ref="S7:S15" si="0">F7</f>
        <v>0</v>
      </c>
      <c r="T7" s="1319" t="s">
        <v>65</v>
      </c>
      <c r="U7" s="1320">
        <f t="shared" ref="U7:U15" si="1">H7</f>
        <v>0</v>
      </c>
      <c r="V7" s="1319" t="s">
        <v>65</v>
      </c>
      <c r="W7" s="1320">
        <f t="shared" ref="W7:W15" si="2">J7</f>
        <v>0</v>
      </c>
      <c r="X7" s="1321"/>
      <c r="Y7" s="3709" t="s">
        <v>399</v>
      </c>
      <c r="Z7" s="3710"/>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709" t="s">
        <v>435</v>
      </c>
      <c r="Q8" s="3710"/>
      <c r="R8" s="1319" t="s">
        <v>65</v>
      </c>
      <c r="S8" s="1320">
        <f t="shared" si="0"/>
        <v>0</v>
      </c>
      <c r="T8" s="1319" t="s">
        <v>65</v>
      </c>
      <c r="U8" s="1320">
        <f t="shared" si="1"/>
        <v>0</v>
      </c>
      <c r="V8" s="1319" t="s">
        <v>65</v>
      </c>
      <c r="W8" s="1320">
        <f t="shared" si="2"/>
        <v>0</v>
      </c>
      <c r="X8" s="1321"/>
      <c r="Y8" s="3709" t="s">
        <v>435</v>
      </c>
      <c r="Z8" s="3710"/>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76" t="s">
        <v>402</v>
      </c>
      <c r="Q9" s="296" t="str">
        <f t="shared" ref="Q9:Q15" si="6">B9</f>
        <v>用途</v>
      </c>
      <c r="R9" s="1319" t="s">
        <v>65</v>
      </c>
      <c r="S9" s="1320">
        <f t="shared" si="0"/>
        <v>100</v>
      </c>
      <c r="T9" s="1319" t="s">
        <v>65</v>
      </c>
      <c r="U9" s="1320">
        <f t="shared" si="1"/>
        <v>100</v>
      </c>
      <c r="V9" s="1319" t="s">
        <v>65</v>
      </c>
      <c r="W9" s="1320">
        <f t="shared" si="2"/>
        <v>100</v>
      </c>
      <c r="X9" s="1321"/>
      <c r="Y9" s="3482"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125</v>
      </c>
      <c r="G10" s="806"/>
      <c r="H10" s="426">
        <f>ROUND(100/'数据-取费表'!G16,0)</f>
        <v>125</v>
      </c>
      <c r="I10" s="806"/>
      <c r="J10" s="426">
        <f>ROUND(100/'数据-取费表'!G16,0)</f>
        <v>125</v>
      </c>
      <c r="K10" s="1081"/>
      <c r="L10" s="2351"/>
      <c r="M10" s="2352"/>
      <c r="N10" s="2352"/>
      <c r="O10" s="2353"/>
      <c r="P10" s="3676"/>
      <c r="Q10" s="296" t="str">
        <f t="shared" si="6"/>
        <v>土地使用年限（年）</v>
      </c>
      <c r="R10" s="1319" t="s">
        <v>65</v>
      </c>
      <c r="S10" s="1320">
        <f t="shared" si="0"/>
        <v>125</v>
      </c>
      <c r="T10" s="1319" t="s">
        <v>65</v>
      </c>
      <c r="U10" s="1320">
        <f t="shared" si="1"/>
        <v>125</v>
      </c>
      <c r="V10" s="1319" t="s">
        <v>65</v>
      </c>
      <c r="W10" s="1320">
        <f t="shared" si="2"/>
        <v>125</v>
      </c>
      <c r="X10" s="1321"/>
      <c r="Y10" s="3482"/>
      <c r="Z10" s="344" t="str">
        <f t="shared" si="7"/>
        <v>土地使用年限（年）</v>
      </c>
      <c r="AA10" s="1322">
        <f t="shared" si="3"/>
        <v>0.8</v>
      </c>
      <c r="AB10" s="1322">
        <f t="shared" si="4"/>
        <v>0.8</v>
      </c>
      <c r="AC10" s="1322">
        <f t="shared" si="5"/>
        <v>0.8</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76"/>
      <c r="Q11" s="296" t="str">
        <f t="shared" si="6"/>
        <v>容积率</v>
      </c>
      <c r="R11" s="1319" t="s">
        <v>65</v>
      </c>
      <c r="S11" s="1320" t="e">
        <f t="shared" si="0"/>
        <v>#N/A</v>
      </c>
      <c r="T11" s="1319" t="s">
        <v>65</v>
      </c>
      <c r="U11" s="1320" t="e">
        <f t="shared" si="1"/>
        <v>#N/A</v>
      </c>
      <c r="V11" s="1319" t="s">
        <v>65</v>
      </c>
      <c r="W11" s="1320" t="e">
        <f t="shared" si="2"/>
        <v>#N/A</v>
      </c>
      <c r="X11" s="1321"/>
      <c r="Y11" s="348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76"/>
      <c r="Q12" s="296" t="str">
        <f t="shared" si="6"/>
        <v>配建</v>
      </c>
      <c r="R12" s="1319" t="s">
        <v>65</v>
      </c>
      <c r="S12" s="1320">
        <f t="shared" si="0"/>
        <v>100</v>
      </c>
      <c r="T12" s="1319" t="s">
        <v>65</v>
      </c>
      <c r="U12" s="1320">
        <f t="shared" si="1"/>
        <v>100</v>
      </c>
      <c r="V12" s="1319" t="s">
        <v>65</v>
      </c>
      <c r="W12" s="1320">
        <f t="shared" si="2"/>
        <v>100</v>
      </c>
      <c r="X12" s="1321"/>
      <c r="Y12" s="348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76"/>
      <c r="Q13" s="296">
        <f t="shared" si="6"/>
        <v>111</v>
      </c>
      <c r="R13" s="1319" t="s">
        <v>65</v>
      </c>
      <c r="S13" s="1320">
        <f t="shared" si="0"/>
        <v>100</v>
      </c>
      <c r="T13" s="1319" t="s">
        <v>65</v>
      </c>
      <c r="U13" s="1320">
        <f t="shared" si="1"/>
        <v>100</v>
      </c>
      <c r="V13" s="1319" t="s">
        <v>65</v>
      </c>
      <c r="W13" s="1320">
        <f t="shared" si="2"/>
        <v>100</v>
      </c>
      <c r="X13" s="1321"/>
      <c r="Y13" s="348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76"/>
      <c r="Q14" s="296">
        <f t="shared" si="6"/>
        <v>111</v>
      </c>
      <c r="R14" s="1319" t="s">
        <v>65</v>
      </c>
      <c r="S14" s="1320">
        <f t="shared" si="0"/>
        <v>100</v>
      </c>
      <c r="T14" s="1319" t="s">
        <v>65</v>
      </c>
      <c r="U14" s="1320">
        <f t="shared" si="1"/>
        <v>100</v>
      </c>
      <c r="V14" s="1319" t="s">
        <v>65</v>
      </c>
      <c r="W14" s="1320">
        <f t="shared" si="2"/>
        <v>100</v>
      </c>
      <c r="X14" s="1321"/>
      <c r="Y14" s="3482"/>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81" t="s">
        <v>407</v>
      </c>
      <c r="Q15" s="1323" t="str">
        <f t="shared" si="6"/>
        <v>居住社区成熟度</v>
      </c>
      <c r="R15" s="1324" t="s">
        <v>65</v>
      </c>
      <c r="S15" s="1325">
        <f t="shared" si="0"/>
        <v>100</v>
      </c>
      <c r="T15" s="1324" t="s">
        <v>65</v>
      </c>
      <c r="U15" s="1325">
        <f t="shared" si="1"/>
        <v>100</v>
      </c>
      <c r="V15" s="1324" t="s">
        <v>65</v>
      </c>
      <c r="W15" s="1325">
        <f t="shared" si="2"/>
        <v>100</v>
      </c>
      <c r="X15" s="1318"/>
      <c r="Y15" s="3681"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682"/>
      <c r="Q16" s="1323"/>
      <c r="R16" s="1324"/>
      <c r="S16" s="1325"/>
      <c r="T16" s="1324"/>
      <c r="U16" s="1325"/>
      <c r="V16" s="1324"/>
      <c r="W16" s="1325"/>
      <c r="X16" s="1318"/>
      <c r="Y16" s="3682"/>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82"/>
      <c r="Q17" s="1323" t="str">
        <f>B17</f>
        <v>商业繁华度</v>
      </c>
      <c r="R17" s="1324" t="s">
        <v>65</v>
      </c>
      <c r="S17" s="1325">
        <f>F17</f>
        <v>100</v>
      </c>
      <c r="T17" s="1324" t="s">
        <v>65</v>
      </c>
      <c r="U17" s="1325">
        <f>H17</f>
        <v>100</v>
      </c>
      <c r="V17" s="1324" t="s">
        <v>65</v>
      </c>
      <c r="W17" s="1325">
        <f>J17</f>
        <v>100</v>
      </c>
      <c r="X17" s="1318"/>
      <c r="Y17" s="368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682"/>
      <c r="Q18" s="1323"/>
      <c r="R18" s="1324"/>
      <c r="S18" s="1325"/>
      <c r="T18" s="1324"/>
      <c r="U18" s="1325"/>
      <c r="V18" s="1324"/>
      <c r="W18" s="1325"/>
      <c r="X18" s="1318"/>
      <c r="Y18" s="3682"/>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82"/>
      <c r="Q19" s="1323" t="str">
        <f>B19</f>
        <v>办公集聚程度</v>
      </c>
      <c r="R19" s="1324" t="s">
        <v>65</v>
      </c>
      <c r="S19" s="1325">
        <f>F19</f>
        <v>100</v>
      </c>
      <c r="T19" s="1324" t="s">
        <v>65</v>
      </c>
      <c r="U19" s="1325">
        <f>H19</f>
        <v>100</v>
      </c>
      <c r="V19" s="1324" t="s">
        <v>65</v>
      </c>
      <c r="W19" s="1325">
        <f>J19</f>
        <v>100</v>
      </c>
      <c r="X19" s="1318"/>
      <c r="Y19" s="368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682"/>
      <c r="Q20" s="1323"/>
      <c r="R20" s="1324"/>
      <c r="S20" s="1325"/>
      <c r="T20" s="1324"/>
      <c r="U20" s="1325"/>
      <c r="V20" s="1324"/>
      <c r="W20" s="1325"/>
      <c r="X20" s="1318"/>
      <c r="Y20" s="3682"/>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82"/>
      <c r="Q21" s="1323" t="str">
        <f>B21</f>
        <v>交通便捷度</v>
      </c>
      <c r="R21" s="1324" t="s">
        <v>65</v>
      </c>
      <c r="S21" s="1325">
        <f>F21</f>
        <v>100</v>
      </c>
      <c r="T21" s="1324" t="s">
        <v>65</v>
      </c>
      <c r="U21" s="1325">
        <f>H21</f>
        <v>100</v>
      </c>
      <c r="V21" s="1324" t="s">
        <v>65</v>
      </c>
      <c r="W21" s="1325">
        <f>J21</f>
        <v>100</v>
      </c>
      <c r="X21" s="1318"/>
      <c r="Y21" s="3682"/>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6"/>
      <c r="M22" s="2347"/>
      <c r="N22" s="2347"/>
      <c r="O22" s="2355"/>
      <c r="P22" s="3682"/>
      <c r="Q22" s="1323"/>
      <c r="R22" s="1324"/>
      <c r="S22" s="1325"/>
      <c r="T22" s="1324"/>
      <c r="U22" s="1325"/>
      <c r="V22" s="1324"/>
      <c r="W22" s="1325"/>
      <c r="X22" s="1318"/>
      <c r="Y22" s="3682"/>
      <c r="Z22" s="1326"/>
      <c r="AA22" s="1327">
        <v>1</v>
      </c>
      <c r="AB22" s="1327">
        <v>1</v>
      </c>
      <c r="AC22" s="1327">
        <v>1</v>
      </c>
    </row>
    <row r="23" spans="1:29" ht="15">
      <c r="A23" s="747"/>
      <c r="B23" s="794" t="s">
        <v>483</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82"/>
      <c r="Q23" s="1323" t="str">
        <f t="shared" ref="Q23:Q37" si="8">B23</f>
        <v>区域土地利用方向</v>
      </c>
      <c r="R23" s="1324" t="s">
        <v>65</v>
      </c>
      <c r="S23" s="1325">
        <f>F23</f>
        <v>100</v>
      </c>
      <c r="T23" s="1324" t="s">
        <v>65</v>
      </c>
      <c r="U23" s="1325">
        <f>H23</f>
        <v>100</v>
      </c>
      <c r="V23" s="1324" t="s">
        <v>65</v>
      </c>
      <c r="W23" s="1325">
        <f>J23</f>
        <v>100</v>
      </c>
      <c r="X23" s="1318"/>
      <c r="Y23" s="368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682"/>
      <c r="Q24" s="1470"/>
      <c r="R24" s="1324"/>
      <c r="S24" s="1325"/>
      <c r="T24" s="1324"/>
      <c r="U24" s="1325"/>
      <c r="V24" s="1324"/>
      <c r="W24" s="1325"/>
      <c r="X24" s="1469"/>
      <c r="Y24" s="3682"/>
      <c r="Z24" s="1471"/>
      <c r="AA24" s="1327"/>
      <c r="AB24" s="1327"/>
      <c r="AC24" s="1327"/>
    </row>
    <row r="25" spans="1:29" ht="54">
      <c r="A25" s="747"/>
      <c r="B25" s="2766"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82"/>
      <c r="Q25" s="1323" t="str">
        <f t="shared" si="8"/>
        <v>自然及人文环境状况</v>
      </c>
      <c r="R25" s="1324" t="s">
        <v>65</v>
      </c>
      <c r="S25" s="1325">
        <f>F25</f>
        <v>100</v>
      </c>
      <c r="T25" s="1324" t="s">
        <v>65</v>
      </c>
      <c r="U25" s="1325">
        <f>H25</f>
        <v>100</v>
      </c>
      <c r="V25" s="1324" t="s">
        <v>65</v>
      </c>
      <c r="W25" s="1325">
        <f>J25</f>
        <v>100</v>
      </c>
      <c r="X25" s="1318"/>
      <c r="Y25" s="368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682"/>
      <c r="Q26" s="1323"/>
      <c r="R26" s="1324"/>
      <c r="S26" s="1325"/>
      <c r="T26" s="1324"/>
      <c r="U26" s="1325"/>
      <c r="V26" s="1324"/>
      <c r="W26" s="1325"/>
      <c r="X26" s="1318"/>
      <c r="Y26" s="3682"/>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82"/>
      <c r="Q27" s="296" t="str">
        <f t="shared" si="8"/>
        <v>公共配套设施</v>
      </c>
      <c r="R27" s="1319" t="s">
        <v>65</v>
      </c>
      <c r="S27" s="1320">
        <f>F27</f>
        <v>100</v>
      </c>
      <c r="T27" s="1319" t="s">
        <v>65</v>
      </c>
      <c r="U27" s="1320">
        <f>H27</f>
        <v>100</v>
      </c>
      <c r="V27" s="1319" t="s">
        <v>65</v>
      </c>
      <c r="W27" s="1320">
        <f>J27</f>
        <v>100</v>
      </c>
      <c r="X27" s="1321"/>
      <c r="Y27" s="3682"/>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8"/>
      <c r="M28" s="2349"/>
      <c r="N28" s="2349"/>
      <c r="O28" s="2350"/>
      <c r="P28" s="3682"/>
      <c r="Q28" s="296"/>
      <c r="R28" s="1319"/>
      <c r="S28" s="1320"/>
      <c r="T28" s="1319"/>
      <c r="U28" s="1320"/>
      <c r="V28" s="1319"/>
      <c r="W28" s="1320"/>
      <c r="X28" s="1321"/>
      <c r="Y28" s="3682"/>
      <c r="Z28" s="344"/>
      <c r="AA28" s="1327">
        <v>1</v>
      </c>
      <c r="AB28" s="1327">
        <v>1</v>
      </c>
      <c r="AC28" s="1327">
        <v>1</v>
      </c>
    </row>
    <row r="29" spans="1:29" s="407" customFormat="1" ht="27">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82"/>
      <c r="Q29" s="2741" t="str">
        <f t="shared" ref="Q29" si="9">B29</f>
        <v>基础设施水平</v>
      </c>
      <c r="R29" s="1319" t="s">
        <v>65</v>
      </c>
      <c r="S29" s="1320">
        <f>F29</f>
        <v>100</v>
      </c>
      <c r="T29" s="1319" t="s">
        <v>65</v>
      </c>
      <c r="U29" s="1320">
        <f>H29</f>
        <v>100</v>
      </c>
      <c r="V29" s="1319" t="s">
        <v>65</v>
      </c>
      <c r="W29" s="1320">
        <f>J29</f>
        <v>100</v>
      </c>
      <c r="X29" s="1321"/>
      <c r="Y29" s="3682"/>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8"/>
      <c r="M30" s="2349"/>
      <c r="N30" s="2349"/>
      <c r="O30" s="2350"/>
      <c r="P30" s="3682"/>
      <c r="Q30" s="2741"/>
      <c r="R30" s="1319"/>
      <c r="S30" s="1320"/>
      <c r="T30" s="1319"/>
      <c r="U30" s="1320"/>
      <c r="V30" s="1319"/>
      <c r="W30" s="1320"/>
      <c r="X30" s="1321"/>
      <c r="Y30" s="3682"/>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82"/>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2"/>
      <c r="Z31" s="1326" t="str">
        <f t="shared" ref="Z31:Z45" si="13">Q31</f>
        <v>临街状况</v>
      </c>
      <c r="AA31" s="1327">
        <f t="shared" si="3"/>
        <v>1</v>
      </c>
      <c r="AB31" s="1327">
        <f t="shared" si="4"/>
        <v>1</v>
      </c>
      <c r="AC31" s="1327">
        <f t="shared" si="5"/>
        <v>1</v>
      </c>
    </row>
    <row r="32" spans="1:29" ht="27">
      <c r="A32" s="771"/>
      <c r="B32" s="2766"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82"/>
      <c r="Q32" s="1323" t="str">
        <f t="shared" si="8"/>
        <v>毗邻道路的类型与等级</v>
      </c>
      <c r="R32" s="1324" t="s">
        <v>65</v>
      </c>
      <c r="S32" s="1325">
        <f t="shared" si="10"/>
        <v>100</v>
      </c>
      <c r="T32" s="1324" t="s">
        <v>65</v>
      </c>
      <c r="U32" s="1325">
        <f t="shared" si="11"/>
        <v>100</v>
      </c>
      <c r="V32" s="1324" t="s">
        <v>65</v>
      </c>
      <c r="W32" s="1325">
        <f t="shared" si="12"/>
        <v>100</v>
      </c>
      <c r="X32" s="1318"/>
      <c r="Y32" s="368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682"/>
      <c r="Q33" s="1323"/>
      <c r="R33" s="1324"/>
      <c r="S33" s="1325"/>
      <c r="T33" s="1324"/>
      <c r="U33" s="1325"/>
      <c r="V33" s="1324"/>
      <c r="W33" s="1325"/>
      <c r="X33" s="1318"/>
      <c r="Y33" s="3682"/>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82"/>
      <c r="Q34" s="1323" t="str">
        <f t="shared" si="8"/>
        <v>土地级别</v>
      </c>
      <c r="R34" s="1324" t="s">
        <v>65</v>
      </c>
      <c r="S34" s="1325">
        <f t="shared" si="10"/>
        <v>100</v>
      </c>
      <c r="T34" s="1324" t="s">
        <v>65</v>
      </c>
      <c r="U34" s="1325">
        <f t="shared" si="11"/>
        <v>100</v>
      </c>
      <c r="V34" s="1324" t="s">
        <v>65</v>
      </c>
      <c r="W34" s="1325">
        <f t="shared" si="12"/>
        <v>100</v>
      </c>
      <c r="X34" s="1318"/>
      <c r="Y34" s="3682"/>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82"/>
      <c r="Q35" s="1323">
        <f t="shared" si="8"/>
        <v>111</v>
      </c>
      <c r="R35" s="1324" t="s">
        <v>65</v>
      </c>
      <c r="S35" s="1325">
        <f t="shared" si="10"/>
        <v>100</v>
      </c>
      <c r="T35" s="1324" t="s">
        <v>65</v>
      </c>
      <c r="U35" s="1325">
        <f t="shared" si="11"/>
        <v>100</v>
      </c>
      <c r="V35" s="1324" t="s">
        <v>65</v>
      </c>
      <c r="W35" s="1325">
        <f t="shared" si="12"/>
        <v>100</v>
      </c>
      <c r="X35" s="1318"/>
      <c r="Y35" s="3682"/>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83" t="s">
        <v>409</v>
      </c>
      <c r="Q36" s="1323">
        <f t="shared" si="8"/>
        <v>111</v>
      </c>
      <c r="R36" s="1324" t="s">
        <v>65</v>
      </c>
      <c r="S36" s="1325">
        <f t="shared" si="10"/>
        <v>100</v>
      </c>
      <c r="T36" s="1324" t="s">
        <v>65</v>
      </c>
      <c r="U36" s="1325">
        <f t="shared" si="11"/>
        <v>100</v>
      </c>
      <c r="V36" s="1324" t="s">
        <v>65</v>
      </c>
      <c r="W36" s="1325">
        <f t="shared" si="12"/>
        <v>100</v>
      </c>
      <c r="X36" s="1318"/>
      <c r="Y36" s="3684" t="s">
        <v>409</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84"/>
      <c r="Q37" s="1323">
        <f t="shared" si="8"/>
        <v>111</v>
      </c>
      <c r="R37" s="1329" t="s">
        <v>65</v>
      </c>
      <c r="S37" s="1330">
        <f t="shared" si="10"/>
        <v>100</v>
      </c>
      <c r="T37" s="1329" t="s">
        <v>65</v>
      </c>
      <c r="U37" s="1330">
        <f t="shared" si="11"/>
        <v>100</v>
      </c>
      <c r="V37" s="1329" t="s">
        <v>65</v>
      </c>
      <c r="W37" s="1330">
        <f t="shared" si="12"/>
        <v>100</v>
      </c>
      <c r="X37" s="1331"/>
      <c r="Y37" s="3684"/>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84"/>
      <c r="Q38" s="1323" t="str">
        <f>B38</f>
        <v>宗地面积</v>
      </c>
      <c r="R38" s="1324" t="s">
        <v>65</v>
      </c>
      <c r="S38" s="1325" t="e">
        <f t="shared" si="10"/>
        <v>#N/A</v>
      </c>
      <c r="T38" s="1324" t="s">
        <v>65</v>
      </c>
      <c r="U38" s="1325" t="e">
        <f t="shared" si="11"/>
        <v>#N/A</v>
      </c>
      <c r="V38" s="1324" t="s">
        <v>65</v>
      </c>
      <c r="W38" s="1325" t="e">
        <f t="shared" si="12"/>
        <v>#N/A</v>
      </c>
      <c r="X38" s="1318"/>
      <c r="Y38" s="3684"/>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84"/>
      <c r="Q39" s="1323" t="str">
        <f t="shared" ref="Q39:Q45" si="14">B39</f>
        <v>宗地形状</v>
      </c>
      <c r="R39" s="1324" t="s">
        <v>65</v>
      </c>
      <c r="S39" s="1325">
        <f t="shared" si="10"/>
        <v>100</v>
      </c>
      <c r="T39" s="1324" t="s">
        <v>65</v>
      </c>
      <c r="U39" s="1325">
        <f t="shared" si="11"/>
        <v>100</v>
      </c>
      <c r="V39" s="1324" t="s">
        <v>65</v>
      </c>
      <c r="W39" s="1325">
        <f t="shared" si="12"/>
        <v>100</v>
      </c>
      <c r="X39" s="1318"/>
      <c r="Y39" s="3684"/>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84"/>
      <c r="Q40" s="1323" t="str">
        <f t="shared" si="14"/>
        <v>临街宽度及深度</v>
      </c>
      <c r="R40" s="1324" t="s">
        <v>65</v>
      </c>
      <c r="S40" s="1325">
        <f t="shared" si="10"/>
        <v>100</v>
      </c>
      <c r="T40" s="1324" t="s">
        <v>65</v>
      </c>
      <c r="U40" s="1325">
        <f t="shared" si="11"/>
        <v>100</v>
      </c>
      <c r="V40" s="1324" t="s">
        <v>65</v>
      </c>
      <c r="W40" s="1325">
        <f t="shared" si="12"/>
        <v>100</v>
      </c>
      <c r="X40" s="1318"/>
      <c r="Y40" s="3684"/>
      <c r="Z40" s="1326" t="str">
        <f t="shared" si="13"/>
        <v>临街宽度及深度</v>
      </c>
      <c r="AA40" s="1327">
        <f t="shared" si="3"/>
        <v>1</v>
      </c>
      <c r="AB40" s="1327">
        <f t="shared" si="4"/>
        <v>1</v>
      </c>
      <c r="AC40" s="1327">
        <f t="shared" si="5"/>
        <v>1</v>
      </c>
    </row>
    <row r="41" spans="1:29" s="407" customFormat="1" ht="15">
      <c r="A41" s="816"/>
      <c r="B41" s="2607"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84"/>
      <c r="Q41" s="1323" t="str">
        <f t="shared" si="14"/>
        <v>宗地开发程度</v>
      </c>
      <c r="R41" s="1319" t="s">
        <v>65</v>
      </c>
      <c r="S41" s="1320">
        <f t="shared" si="10"/>
        <v>100</v>
      </c>
      <c r="T41" s="1319" t="s">
        <v>65</v>
      </c>
      <c r="U41" s="1320">
        <f t="shared" si="11"/>
        <v>100</v>
      </c>
      <c r="V41" s="1319" t="s">
        <v>65</v>
      </c>
      <c r="W41" s="1320">
        <f t="shared" si="12"/>
        <v>100</v>
      </c>
      <c r="X41" s="1321"/>
      <c r="Y41" s="3684"/>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84" t="s">
        <v>409</v>
      </c>
      <c r="Q42" s="1323" t="str">
        <f t="shared" si="14"/>
        <v>工程地质条件</v>
      </c>
      <c r="R42" s="1324" t="s">
        <v>65</v>
      </c>
      <c r="S42" s="1325">
        <f t="shared" si="10"/>
        <v>100</v>
      </c>
      <c r="T42" s="1324" t="s">
        <v>65</v>
      </c>
      <c r="U42" s="1325">
        <f t="shared" si="11"/>
        <v>100</v>
      </c>
      <c r="V42" s="1324" t="s">
        <v>65</v>
      </c>
      <c r="W42" s="1325">
        <f t="shared" si="12"/>
        <v>100</v>
      </c>
      <c r="X42" s="1318"/>
      <c r="Y42" s="3684"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84"/>
      <c r="Q43" s="1323">
        <f t="shared" si="14"/>
        <v>111</v>
      </c>
      <c r="R43" s="1324" t="s">
        <v>65</v>
      </c>
      <c r="S43" s="1325">
        <f t="shared" si="10"/>
        <v>100</v>
      </c>
      <c r="T43" s="1324" t="s">
        <v>65</v>
      </c>
      <c r="U43" s="1325">
        <f t="shared" si="11"/>
        <v>100</v>
      </c>
      <c r="V43" s="1324" t="s">
        <v>65</v>
      </c>
      <c r="W43" s="1325">
        <f t="shared" si="12"/>
        <v>100</v>
      </c>
      <c r="X43" s="1318"/>
      <c r="Y43" s="368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84"/>
      <c r="Q44" s="1323">
        <f t="shared" si="14"/>
        <v>111</v>
      </c>
      <c r="R44" s="1324" t="s">
        <v>65</v>
      </c>
      <c r="S44" s="1325">
        <f t="shared" si="10"/>
        <v>100</v>
      </c>
      <c r="T44" s="1324" t="s">
        <v>65</v>
      </c>
      <c r="U44" s="1325">
        <f t="shared" si="11"/>
        <v>100</v>
      </c>
      <c r="V44" s="1324" t="s">
        <v>65</v>
      </c>
      <c r="W44" s="1325">
        <f t="shared" si="12"/>
        <v>100</v>
      </c>
      <c r="X44" s="1318"/>
      <c r="Y44" s="368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84"/>
      <c r="Q45" s="1323">
        <f t="shared" si="14"/>
        <v>111</v>
      </c>
      <c r="R45" s="1329" t="s">
        <v>65</v>
      </c>
      <c r="S45" s="1330">
        <f t="shared" si="10"/>
        <v>100</v>
      </c>
      <c r="T45" s="1329" t="s">
        <v>65</v>
      </c>
      <c r="U45" s="1330">
        <f t="shared" si="11"/>
        <v>100</v>
      </c>
      <c r="V45" s="1329" t="s">
        <v>65</v>
      </c>
      <c r="W45" s="1330">
        <f t="shared" si="12"/>
        <v>100</v>
      </c>
      <c r="X45" s="1331"/>
      <c r="Y45" s="3684"/>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676" t="str">
        <f>A46</f>
        <v>成交单价</v>
      </c>
      <c r="Q46" s="3676"/>
      <c r="R46" s="3704">
        <f>E46</f>
        <v>0</v>
      </c>
      <c r="S46" s="3704"/>
      <c r="T46" s="3704">
        <f>G46</f>
        <v>0</v>
      </c>
      <c r="U46" s="3704"/>
      <c r="V46" s="3704">
        <f>I46</f>
        <v>0</v>
      </c>
      <c r="W46" s="3704"/>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676" t="str">
        <f>A47</f>
        <v>比较价值（元/平方米）</v>
      </c>
      <c r="Q47" s="3676"/>
      <c r="R47" s="3716" t="e">
        <f>ROUND(PRODUCT(R46,AA7:AA45),0)</f>
        <v>#DIV/0!</v>
      </c>
      <c r="S47" s="3716"/>
      <c r="T47" s="3716" t="e">
        <f>ROUND(PRODUCT(T46,AB7:AB45),0)</f>
        <v>#DIV/0!</v>
      </c>
      <c r="U47" s="3716"/>
      <c r="V47" s="3716" t="e">
        <f>ROUND(PRODUCT(V46,AC7:AC45),0)</f>
        <v>#DIV/0!</v>
      </c>
      <c r="W47" s="3716"/>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678" t="str">
        <f>A48</f>
        <v>估价对象XX用房的比较价值（楼面单价，元/平方米）</v>
      </c>
      <c r="Q48" s="3679"/>
      <c r="R48" s="3717" t="e">
        <f>ROUND(AVERAGE(R47:V47),0)</f>
        <v>#DIV/0!</v>
      </c>
      <c r="S48" s="3717"/>
      <c r="T48" s="3717"/>
      <c r="U48" s="3717"/>
      <c r="V48" s="3717"/>
      <c r="W48" s="3717"/>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1885</v>
      </c>
      <c r="D55" s="2391" t="s">
        <v>2323</v>
      </c>
      <c r="E55" s="1095" t="s">
        <v>493</v>
      </c>
      <c r="F55" s="2188" t="s">
        <v>494</v>
      </c>
      <c r="G55" s="3718" t="s">
        <v>2316</v>
      </c>
      <c r="H55" s="3719"/>
      <c r="I55" s="2189" t="s">
        <v>1884</v>
      </c>
      <c r="J55" s="2193">
        <f>项目基本情况!F35</f>
        <v>0</v>
      </c>
      <c r="K55" s="2374" t="s">
        <v>1886</v>
      </c>
      <c r="L55" s="2187"/>
      <c r="M55" s="2360"/>
      <c r="N55" s="2360"/>
      <c r="O55" s="2360"/>
    </row>
    <row r="56" spans="1:15" s="1101" customFormat="1">
      <c r="A56" s="1097" t="s">
        <v>495</v>
      </c>
      <c r="B56" s="1098" t="e">
        <f>C48</f>
        <v>#DIV/0!</v>
      </c>
      <c r="C56" s="1099">
        <v>1</v>
      </c>
      <c r="D56" s="2392">
        <v>1</v>
      </c>
      <c r="E56" s="1099">
        <f>'数据-汇总表'!E8+'数据-汇总表'!E9</f>
        <v>2099.0100000000002</v>
      </c>
      <c r="F56" s="2184" t="e">
        <f t="shared" ref="F56:F65" si="15">ROUND(B56*E56/10000,0)</f>
        <v>#DIV/0!</v>
      </c>
      <c r="G56" s="3720"/>
      <c r="H56" s="3721"/>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22" t="s">
        <v>2317</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22"/>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22"/>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22"/>
      <c r="H60" s="2185" t="str">
        <f>项目基本情况!B37</f>
        <v>三级</v>
      </c>
      <c r="I60" s="2190">
        <f>SUMIF(修正!A45:A56,H60,修正!E45:E56)</f>
        <v>0.25</v>
      </c>
      <c r="J60" s="2195"/>
      <c r="K60" s="2361"/>
      <c r="L60" s="1771"/>
      <c r="M60" s="1771"/>
      <c r="N60" s="1771"/>
      <c r="O60" s="1771"/>
    </row>
    <row r="61" spans="1:15" s="1101" customFormat="1">
      <c r="A61" s="2512" t="s">
        <v>2398</v>
      </c>
      <c r="B61" s="594" t="e">
        <f t="shared" si="17"/>
        <v>#DIV/0!</v>
      </c>
      <c r="C61" s="532">
        <f t="shared" si="16"/>
        <v>0.25</v>
      </c>
      <c r="D61" s="2393">
        <v>0.25</v>
      </c>
      <c r="E61" s="593">
        <f>'数据-汇总表'!E11</f>
        <v>0</v>
      </c>
      <c r="F61" s="2184" t="e">
        <f t="shared" si="15"/>
        <v>#DIV/0!</v>
      </c>
      <c r="G61" s="2197" t="s">
        <v>2318</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2319</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2318</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2324</v>
      </c>
      <c r="E66" s="1105">
        <f>IF(B46="楼面地价",SUM(E56:E65),'数据-汇总表'!D3)</f>
        <v>2099.0100000000002</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3" t="s">
        <v>2790</v>
      </c>
      <c r="B70" s="2704"/>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8"/>
      <c r="N71" s="938"/>
      <c r="O71" s="3029"/>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67"/>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2498</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688" t="s">
        <v>391</v>
      </c>
      <c r="D4" s="3689"/>
      <c r="E4" s="3690" t="s">
        <v>392</v>
      </c>
      <c r="F4" s="3691"/>
      <c r="G4" s="3688" t="s">
        <v>393</v>
      </c>
      <c r="H4" s="3689"/>
      <c r="I4" s="3688" t="s">
        <v>394</v>
      </c>
      <c r="J4" s="3689"/>
      <c r="K4" s="953" t="s">
        <v>395</v>
      </c>
      <c r="L4" s="2346"/>
      <c r="M4" s="2347"/>
      <c r="N4" s="2347"/>
      <c r="O4" s="2347"/>
      <c r="P4" s="3692" t="s">
        <v>396</v>
      </c>
      <c r="Q4" s="3693"/>
      <c r="R4" s="3698" t="s">
        <v>392</v>
      </c>
      <c r="S4" s="3699"/>
      <c r="T4" s="3698" t="s">
        <v>393</v>
      </c>
      <c r="U4" s="3699"/>
      <c r="V4" s="3704" t="s">
        <v>394</v>
      </c>
      <c r="W4" s="3704"/>
      <c r="X4" s="1318"/>
      <c r="Y4" s="3698" t="s">
        <v>396</v>
      </c>
      <c r="Z4" s="3699"/>
      <c r="AA4" s="3685" t="s">
        <v>392</v>
      </c>
      <c r="AB4" s="3686" t="s">
        <v>393</v>
      </c>
      <c r="AC4" s="3685" t="s">
        <v>394</v>
      </c>
    </row>
    <row r="5" spans="1:29" ht="15">
      <c r="A5" s="747"/>
      <c r="B5" s="748"/>
      <c r="C5" s="3625" t="s">
        <v>1125</v>
      </c>
      <c r="D5" s="3626"/>
      <c r="E5" s="3673" t="s">
        <v>1126</v>
      </c>
      <c r="F5" s="3674"/>
      <c r="G5" s="3625" t="s">
        <v>1129</v>
      </c>
      <c r="H5" s="3626"/>
      <c r="I5" s="3625" t="s">
        <v>1127</v>
      </c>
      <c r="J5" s="3626"/>
      <c r="K5" s="953"/>
      <c r="L5" s="2346"/>
      <c r="M5" s="2347"/>
      <c r="N5" s="2347"/>
      <c r="O5" s="2347"/>
      <c r="P5" s="3694"/>
      <c r="Q5" s="3695"/>
      <c r="R5" s="3700"/>
      <c r="S5" s="3701"/>
      <c r="T5" s="3700"/>
      <c r="U5" s="3701"/>
      <c r="V5" s="3704"/>
      <c r="W5" s="3704"/>
      <c r="X5" s="1318"/>
      <c r="Y5" s="3700"/>
      <c r="Z5" s="3701"/>
      <c r="AA5" s="3686"/>
      <c r="AB5" s="3686"/>
      <c r="AC5" s="3686"/>
    </row>
    <row r="6" spans="1:29" ht="15.75" thickBot="1">
      <c r="A6" s="749"/>
      <c r="B6" s="750"/>
      <c r="C6" s="3723" t="s">
        <v>1128</v>
      </c>
      <c r="D6" s="3724"/>
      <c r="E6" s="3725" t="s">
        <v>1128</v>
      </c>
      <c r="F6" s="3726"/>
      <c r="G6" s="3723" t="s">
        <v>1128</v>
      </c>
      <c r="H6" s="3724"/>
      <c r="I6" s="3723" t="s">
        <v>1128</v>
      </c>
      <c r="J6" s="3724"/>
      <c r="K6" s="953" t="s">
        <v>397</v>
      </c>
      <c r="L6" s="2346"/>
      <c r="M6" s="2347"/>
      <c r="N6" s="2347"/>
      <c r="O6" s="2347"/>
      <c r="P6" s="3696"/>
      <c r="Q6" s="3697"/>
      <c r="R6" s="3700"/>
      <c r="S6" s="3701"/>
      <c r="T6" s="3702"/>
      <c r="U6" s="3703"/>
      <c r="V6" s="3704"/>
      <c r="W6" s="3704"/>
      <c r="X6" s="1318"/>
      <c r="Y6" s="3702"/>
      <c r="Z6" s="3703"/>
      <c r="AA6" s="3687"/>
      <c r="AB6" s="3687"/>
      <c r="AC6" s="3687"/>
    </row>
    <row r="7" spans="1:29" s="407" customFormat="1" ht="15.75" thickBot="1">
      <c r="A7" s="751" t="s">
        <v>398</v>
      </c>
      <c r="B7" s="752"/>
      <c r="C7" s="753">
        <f>'数据-取费表'!B2</f>
        <v>42962</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709" t="s">
        <v>399</v>
      </c>
      <c r="Q7" s="3711"/>
      <c r="R7" s="1319" t="s">
        <v>65</v>
      </c>
      <c r="S7" s="1320">
        <f t="shared" ref="S7:S15" si="0">F7</f>
        <v>0</v>
      </c>
      <c r="T7" s="1319" t="s">
        <v>65</v>
      </c>
      <c r="U7" s="1320">
        <f t="shared" ref="U7:U15" si="1">H7</f>
        <v>0</v>
      </c>
      <c r="V7" s="1319" t="s">
        <v>65</v>
      </c>
      <c r="W7" s="1320">
        <f t="shared" ref="W7:W15" si="2">J7</f>
        <v>0</v>
      </c>
      <c r="X7" s="1321"/>
      <c r="Y7" s="3709" t="s">
        <v>399</v>
      </c>
      <c r="Z7" s="3710"/>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709" t="s">
        <v>435</v>
      </c>
      <c r="Q8" s="3710"/>
      <c r="R8" s="1319" t="s">
        <v>65</v>
      </c>
      <c r="S8" s="1320">
        <f t="shared" si="0"/>
        <v>0</v>
      </c>
      <c r="T8" s="1319" t="s">
        <v>65</v>
      </c>
      <c r="U8" s="1320">
        <f t="shared" si="1"/>
        <v>0</v>
      </c>
      <c r="V8" s="1319" t="s">
        <v>65</v>
      </c>
      <c r="W8" s="1320">
        <f t="shared" si="2"/>
        <v>0</v>
      </c>
      <c r="X8" s="1321"/>
      <c r="Y8" s="3709" t="s">
        <v>435</v>
      </c>
      <c r="Z8" s="3710"/>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76" t="s">
        <v>402</v>
      </c>
      <c r="Q9" s="296" t="str">
        <f t="shared" ref="Q9:Q15" si="6">B9</f>
        <v>用途</v>
      </c>
      <c r="R9" s="1319" t="s">
        <v>65</v>
      </c>
      <c r="S9" s="1320">
        <f t="shared" si="0"/>
        <v>100</v>
      </c>
      <c r="T9" s="1319" t="s">
        <v>65</v>
      </c>
      <c r="U9" s="1320">
        <f t="shared" si="1"/>
        <v>100</v>
      </c>
      <c r="V9" s="1319" t="s">
        <v>65</v>
      </c>
      <c r="W9" s="1320">
        <f t="shared" si="2"/>
        <v>100</v>
      </c>
      <c r="X9" s="1321"/>
      <c r="Y9" s="3482"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125</v>
      </c>
      <c r="G10" s="1024"/>
      <c r="H10" s="426">
        <f>ROUND(100/'数据-取费表'!G16,0)</f>
        <v>125</v>
      </c>
      <c r="I10" s="1024"/>
      <c r="J10" s="426">
        <f>ROUND(100/'数据-取费表'!G16,0)</f>
        <v>125</v>
      </c>
      <c r="K10" s="1081"/>
      <c r="L10" s="2351"/>
      <c r="M10" s="2352"/>
      <c r="N10" s="2352"/>
      <c r="O10" s="2353"/>
      <c r="P10" s="3676"/>
      <c r="Q10" s="296" t="str">
        <f t="shared" si="6"/>
        <v>土地使用年限（年）</v>
      </c>
      <c r="R10" s="1319" t="s">
        <v>65</v>
      </c>
      <c r="S10" s="1320">
        <f t="shared" si="0"/>
        <v>125</v>
      </c>
      <c r="T10" s="1319" t="s">
        <v>65</v>
      </c>
      <c r="U10" s="1320">
        <f t="shared" si="1"/>
        <v>125</v>
      </c>
      <c r="V10" s="1319" t="s">
        <v>65</v>
      </c>
      <c r="W10" s="1320">
        <f t="shared" si="2"/>
        <v>125</v>
      </c>
      <c r="X10" s="1321"/>
      <c r="Y10" s="3482"/>
      <c r="Z10" s="344" t="str">
        <f t="shared" si="7"/>
        <v>土地使用年限（年）</v>
      </c>
      <c r="AA10" s="1322">
        <f t="shared" si="3"/>
        <v>0.8</v>
      </c>
      <c r="AB10" s="1322">
        <f t="shared" si="4"/>
        <v>0.8</v>
      </c>
      <c r="AC10" s="1322">
        <f t="shared" si="5"/>
        <v>0.8</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76"/>
      <c r="Q11" s="296" t="str">
        <f t="shared" si="6"/>
        <v>容积率</v>
      </c>
      <c r="R11" s="1319" t="s">
        <v>65</v>
      </c>
      <c r="S11" s="1320" t="e">
        <f t="shared" si="0"/>
        <v>#N/A</v>
      </c>
      <c r="T11" s="1319" t="s">
        <v>65</v>
      </c>
      <c r="U11" s="1320" t="e">
        <f t="shared" si="1"/>
        <v>#N/A</v>
      </c>
      <c r="V11" s="1319" t="s">
        <v>65</v>
      </c>
      <c r="W11" s="1320" t="e">
        <f t="shared" si="2"/>
        <v>#N/A</v>
      </c>
      <c r="X11" s="1321"/>
      <c r="Y11" s="3482"/>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76"/>
      <c r="Q12" s="296">
        <f t="shared" si="6"/>
        <v>111</v>
      </c>
      <c r="R12" s="1319" t="s">
        <v>65</v>
      </c>
      <c r="S12" s="1320">
        <f t="shared" si="0"/>
        <v>100</v>
      </c>
      <c r="T12" s="1319" t="s">
        <v>65</v>
      </c>
      <c r="U12" s="1320">
        <f t="shared" si="1"/>
        <v>100</v>
      </c>
      <c r="V12" s="1319" t="s">
        <v>65</v>
      </c>
      <c r="W12" s="1320">
        <f t="shared" si="2"/>
        <v>100</v>
      </c>
      <c r="X12" s="1321"/>
      <c r="Y12" s="348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76"/>
      <c r="Q13" s="296">
        <f t="shared" si="6"/>
        <v>111</v>
      </c>
      <c r="R13" s="1319" t="s">
        <v>65</v>
      </c>
      <c r="S13" s="1320">
        <f t="shared" si="0"/>
        <v>100</v>
      </c>
      <c r="T13" s="1319" t="s">
        <v>65</v>
      </c>
      <c r="U13" s="1320">
        <f t="shared" si="1"/>
        <v>100</v>
      </c>
      <c r="V13" s="1319" t="s">
        <v>65</v>
      </c>
      <c r="W13" s="1320">
        <f t="shared" si="2"/>
        <v>100</v>
      </c>
      <c r="X13" s="1321"/>
      <c r="Y13" s="348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76"/>
      <c r="Q14" s="296">
        <f t="shared" si="6"/>
        <v>111</v>
      </c>
      <c r="R14" s="1319" t="s">
        <v>65</v>
      </c>
      <c r="S14" s="1320">
        <f t="shared" si="0"/>
        <v>100</v>
      </c>
      <c r="T14" s="1319" t="s">
        <v>65</v>
      </c>
      <c r="U14" s="1320">
        <f t="shared" si="1"/>
        <v>100</v>
      </c>
      <c r="V14" s="1319" t="s">
        <v>65</v>
      </c>
      <c r="W14" s="1320">
        <f t="shared" si="2"/>
        <v>100</v>
      </c>
      <c r="X14" s="1321"/>
      <c r="Y14" s="3482"/>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81" t="s">
        <v>407</v>
      </c>
      <c r="Q15" s="1323" t="str">
        <f t="shared" si="6"/>
        <v>产业集聚程度</v>
      </c>
      <c r="R15" s="1324" t="s">
        <v>65</v>
      </c>
      <c r="S15" s="1325">
        <f t="shared" si="0"/>
        <v>100</v>
      </c>
      <c r="T15" s="1324" t="s">
        <v>65</v>
      </c>
      <c r="U15" s="1325">
        <f t="shared" si="1"/>
        <v>100</v>
      </c>
      <c r="V15" s="1324" t="s">
        <v>65</v>
      </c>
      <c r="W15" s="1325">
        <f t="shared" si="2"/>
        <v>100</v>
      </c>
      <c r="X15" s="1318"/>
      <c r="Y15" s="3681"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682"/>
      <c r="Q16" s="1323"/>
      <c r="R16" s="1324"/>
      <c r="S16" s="1325"/>
      <c r="T16" s="1324"/>
      <c r="U16" s="1325"/>
      <c r="V16" s="1324"/>
      <c r="W16" s="1325"/>
      <c r="X16" s="1318"/>
      <c r="Y16" s="3682"/>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82"/>
      <c r="Q17" s="1323" t="str">
        <f>B17</f>
        <v>交通便捷度</v>
      </c>
      <c r="R17" s="1324" t="s">
        <v>65</v>
      </c>
      <c r="S17" s="1325">
        <f>F17</f>
        <v>100</v>
      </c>
      <c r="T17" s="1324" t="s">
        <v>65</v>
      </c>
      <c r="U17" s="1325">
        <f>H17</f>
        <v>100</v>
      </c>
      <c r="V17" s="1324" t="s">
        <v>65</v>
      </c>
      <c r="W17" s="1325">
        <f>J17</f>
        <v>100</v>
      </c>
      <c r="X17" s="1318"/>
      <c r="Y17" s="368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682"/>
      <c r="Q18" s="1323"/>
      <c r="R18" s="1324"/>
      <c r="S18" s="1325"/>
      <c r="T18" s="1324"/>
      <c r="U18" s="1325"/>
      <c r="V18" s="1324"/>
      <c r="W18" s="1325"/>
      <c r="X18" s="1318"/>
      <c r="Y18" s="3682"/>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82"/>
      <c r="Q19" s="1323" t="str">
        <f t="shared" ref="Q19:Q33" si="8">B19</f>
        <v>区域土地利用方向</v>
      </c>
      <c r="R19" s="1324" t="s">
        <v>65</v>
      </c>
      <c r="S19" s="1325">
        <f>F19</f>
        <v>100</v>
      </c>
      <c r="T19" s="1324" t="s">
        <v>65</v>
      </c>
      <c r="U19" s="1325">
        <f>H19</f>
        <v>100</v>
      </c>
      <c r="V19" s="1324" t="s">
        <v>65</v>
      </c>
      <c r="W19" s="1325">
        <f>J19</f>
        <v>100</v>
      </c>
      <c r="X19" s="1318"/>
      <c r="Y19" s="368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682"/>
      <c r="Q20" s="1470"/>
      <c r="R20" s="1324"/>
      <c r="S20" s="1325"/>
      <c r="T20" s="1324"/>
      <c r="U20" s="1325"/>
      <c r="V20" s="1324"/>
      <c r="W20" s="1325"/>
      <c r="X20" s="1469"/>
      <c r="Y20" s="3682"/>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82"/>
      <c r="Q21" s="1323" t="str">
        <f t="shared" si="8"/>
        <v>环境状况</v>
      </c>
      <c r="R21" s="1324" t="s">
        <v>65</v>
      </c>
      <c r="S21" s="1325">
        <f>F21</f>
        <v>100</v>
      </c>
      <c r="T21" s="1324" t="s">
        <v>65</v>
      </c>
      <c r="U21" s="1325">
        <f>H21</f>
        <v>100</v>
      </c>
      <c r="V21" s="1324" t="s">
        <v>65</v>
      </c>
      <c r="W21" s="1325">
        <f>J21</f>
        <v>100</v>
      </c>
      <c r="X21" s="1318"/>
      <c r="Y21" s="368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682"/>
      <c r="Q22" s="1323"/>
      <c r="R22" s="1324"/>
      <c r="S22" s="1325"/>
      <c r="T22" s="1324"/>
      <c r="U22" s="1325"/>
      <c r="V22" s="1324"/>
      <c r="W22" s="1325"/>
      <c r="X22" s="1318"/>
      <c r="Y22" s="3682"/>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82"/>
      <c r="Q23" s="296" t="str">
        <f t="shared" si="8"/>
        <v>公共配套设施</v>
      </c>
      <c r="R23" s="1319" t="s">
        <v>65</v>
      </c>
      <c r="S23" s="1320">
        <f>F23</f>
        <v>100</v>
      </c>
      <c r="T23" s="1319" t="s">
        <v>65</v>
      </c>
      <c r="U23" s="1320">
        <f>H23</f>
        <v>100</v>
      </c>
      <c r="V23" s="1319" t="s">
        <v>65</v>
      </c>
      <c r="W23" s="1320">
        <f>J23</f>
        <v>100</v>
      </c>
      <c r="X23" s="1321"/>
      <c r="Y23" s="3682"/>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8"/>
      <c r="M24" s="2349"/>
      <c r="N24" s="2349"/>
      <c r="O24" s="2350"/>
      <c r="P24" s="3682"/>
      <c r="Q24" s="296"/>
      <c r="R24" s="1319"/>
      <c r="S24" s="1320"/>
      <c r="T24" s="1319"/>
      <c r="U24" s="1320"/>
      <c r="V24" s="1319"/>
      <c r="W24" s="1320"/>
      <c r="X24" s="1321"/>
      <c r="Y24" s="3682"/>
      <c r="Z24" s="344"/>
      <c r="AA24" s="1322">
        <v>1</v>
      </c>
      <c r="AB24" s="1322">
        <v>1</v>
      </c>
      <c r="AC24" s="1322">
        <v>1</v>
      </c>
    </row>
    <row r="25" spans="1:29" s="407" customFormat="1" ht="27">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82"/>
      <c r="Q25" s="2741" t="str">
        <f t="shared" ref="Q25" si="9">B25</f>
        <v>基础设施水平</v>
      </c>
      <c r="R25" s="1319" t="s">
        <v>65</v>
      </c>
      <c r="S25" s="1320">
        <f>F25</f>
        <v>100</v>
      </c>
      <c r="T25" s="1319" t="s">
        <v>65</v>
      </c>
      <c r="U25" s="1320">
        <f>H25</f>
        <v>100</v>
      </c>
      <c r="V25" s="1319" t="s">
        <v>65</v>
      </c>
      <c r="W25" s="1320">
        <f>J25</f>
        <v>100</v>
      </c>
      <c r="X25" s="1321"/>
      <c r="Y25" s="3682"/>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8"/>
      <c r="M26" s="2349"/>
      <c r="N26" s="2349"/>
      <c r="O26" s="2350"/>
      <c r="P26" s="3682"/>
      <c r="Q26" s="2741"/>
      <c r="R26" s="1319"/>
      <c r="S26" s="1320"/>
      <c r="T26" s="1319"/>
      <c r="U26" s="1320"/>
      <c r="V26" s="1319"/>
      <c r="W26" s="1320"/>
      <c r="X26" s="1321"/>
      <c r="Y26" s="3682"/>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82"/>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2"/>
      <c r="Z27" s="1326" t="str">
        <f t="shared" ref="Z27:Z40" si="13">Q27</f>
        <v>临街状况</v>
      </c>
      <c r="AA27" s="1327">
        <f t="shared" si="3"/>
        <v>1</v>
      </c>
      <c r="AB27" s="1327">
        <f t="shared" si="4"/>
        <v>1</v>
      </c>
      <c r="AC27" s="1327">
        <f t="shared" si="5"/>
        <v>1</v>
      </c>
    </row>
    <row r="28" spans="1:29" ht="27">
      <c r="A28" s="771"/>
      <c r="B28" s="976" t="s">
        <v>442</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82"/>
      <c r="Q28" s="1323" t="str">
        <f t="shared" si="8"/>
        <v>毗邻道路的类型与等级</v>
      </c>
      <c r="R28" s="1324" t="s">
        <v>65</v>
      </c>
      <c r="S28" s="1325">
        <f t="shared" si="10"/>
        <v>100</v>
      </c>
      <c r="T28" s="1324" t="s">
        <v>65</v>
      </c>
      <c r="U28" s="1325">
        <f t="shared" si="11"/>
        <v>100</v>
      </c>
      <c r="V28" s="1324" t="s">
        <v>65</v>
      </c>
      <c r="W28" s="1325">
        <f t="shared" si="12"/>
        <v>100</v>
      </c>
      <c r="X28" s="1318"/>
      <c r="Y28" s="368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682"/>
      <c r="Q29" s="1323"/>
      <c r="R29" s="1324"/>
      <c r="S29" s="1325"/>
      <c r="T29" s="1324"/>
      <c r="U29" s="1325"/>
      <c r="V29" s="1324"/>
      <c r="W29" s="1325"/>
      <c r="X29" s="1318"/>
      <c r="Y29" s="3682"/>
      <c r="Z29" s="1326"/>
      <c r="AA29" s="1327">
        <v>1</v>
      </c>
      <c r="AB29" s="1327">
        <v>1</v>
      </c>
      <c r="AC29" s="1327">
        <v>1</v>
      </c>
    </row>
    <row r="30" spans="1:29" ht="15">
      <c r="A30" s="771"/>
      <c r="B30" s="997" t="s">
        <v>485</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82"/>
      <c r="Q30" s="1323" t="str">
        <f t="shared" si="8"/>
        <v>土地级别</v>
      </c>
      <c r="R30" s="1324" t="s">
        <v>65</v>
      </c>
      <c r="S30" s="1325">
        <f t="shared" si="10"/>
        <v>100</v>
      </c>
      <c r="T30" s="1324" t="s">
        <v>65</v>
      </c>
      <c r="U30" s="1325">
        <f t="shared" si="11"/>
        <v>100</v>
      </c>
      <c r="V30" s="1324" t="s">
        <v>65</v>
      </c>
      <c r="W30" s="1325">
        <f t="shared" si="12"/>
        <v>100</v>
      </c>
      <c r="X30" s="1318"/>
      <c r="Y30" s="368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82"/>
      <c r="Q31" s="1323">
        <f t="shared" si="8"/>
        <v>111</v>
      </c>
      <c r="R31" s="1324" t="s">
        <v>65</v>
      </c>
      <c r="S31" s="1325">
        <f t="shared" si="10"/>
        <v>100</v>
      </c>
      <c r="T31" s="1324" t="s">
        <v>65</v>
      </c>
      <c r="U31" s="1325">
        <f t="shared" si="11"/>
        <v>100</v>
      </c>
      <c r="V31" s="1324" t="s">
        <v>65</v>
      </c>
      <c r="W31" s="1325">
        <f t="shared" si="12"/>
        <v>100</v>
      </c>
      <c r="X31" s="1318"/>
      <c r="Y31" s="368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83" t="s">
        <v>409</v>
      </c>
      <c r="Q32" s="1323">
        <f t="shared" si="8"/>
        <v>111</v>
      </c>
      <c r="R32" s="1324" t="s">
        <v>65</v>
      </c>
      <c r="S32" s="1325">
        <f t="shared" si="10"/>
        <v>100</v>
      </c>
      <c r="T32" s="1324" t="s">
        <v>65</v>
      </c>
      <c r="U32" s="1325">
        <f t="shared" si="11"/>
        <v>100</v>
      </c>
      <c r="V32" s="1324" t="s">
        <v>65</v>
      </c>
      <c r="W32" s="1325">
        <f t="shared" si="12"/>
        <v>100</v>
      </c>
      <c r="X32" s="1318"/>
      <c r="Y32" s="3684" t="s">
        <v>409</v>
      </c>
      <c r="Z32" s="1326">
        <f t="shared" si="13"/>
        <v>111</v>
      </c>
      <c r="AA32" s="1327">
        <f t="shared" si="3"/>
        <v>1</v>
      </c>
      <c r="AB32" s="1327">
        <f t="shared" si="4"/>
        <v>1</v>
      </c>
      <c r="AC32" s="1327">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84"/>
      <c r="Q33" s="1323">
        <f t="shared" si="8"/>
        <v>111</v>
      </c>
      <c r="R33" s="1329" t="s">
        <v>65</v>
      </c>
      <c r="S33" s="1330">
        <f t="shared" si="10"/>
        <v>100</v>
      </c>
      <c r="T33" s="1329" t="s">
        <v>65</v>
      </c>
      <c r="U33" s="1330">
        <f t="shared" si="11"/>
        <v>100</v>
      </c>
      <c r="V33" s="1329" t="s">
        <v>65</v>
      </c>
      <c r="W33" s="1330">
        <f t="shared" si="12"/>
        <v>100</v>
      </c>
      <c r="X33" s="1331"/>
      <c r="Y33" s="3684"/>
      <c r="Z33" s="1332">
        <f t="shared" si="13"/>
        <v>111</v>
      </c>
      <c r="AA33" s="1327">
        <f t="shared" si="3"/>
        <v>1</v>
      </c>
      <c r="AB33" s="1327">
        <f t="shared" si="4"/>
        <v>1</v>
      </c>
      <c r="AC33" s="1327">
        <f t="shared" si="5"/>
        <v>1</v>
      </c>
    </row>
    <row r="34" spans="1:29" ht="15">
      <c r="A34" s="783" t="s">
        <v>2793</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84"/>
      <c r="Q34" s="1323" t="str">
        <f>B34</f>
        <v>宗地面积</v>
      </c>
      <c r="R34" s="1324" t="s">
        <v>65</v>
      </c>
      <c r="S34" s="1325" t="e">
        <f t="shared" si="10"/>
        <v>#N/A</v>
      </c>
      <c r="T34" s="1324" t="s">
        <v>65</v>
      </c>
      <c r="U34" s="1325" t="e">
        <f t="shared" si="11"/>
        <v>#N/A</v>
      </c>
      <c r="V34" s="1324" t="s">
        <v>65</v>
      </c>
      <c r="W34" s="1325" t="e">
        <f t="shared" si="12"/>
        <v>#N/A</v>
      </c>
      <c r="X34" s="1318"/>
      <c r="Y34" s="3684"/>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84"/>
      <c r="Q35" s="1323" t="str">
        <f t="shared" ref="Q35:Q40" si="14">B35</f>
        <v>宗地形状</v>
      </c>
      <c r="R35" s="1324" t="s">
        <v>65</v>
      </c>
      <c r="S35" s="1325">
        <f t="shared" si="10"/>
        <v>100</v>
      </c>
      <c r="T35" s="1324" t="s">
        <v>65</v>
      </c>
      <c r="U35" s="1325">
        <f t="shared" si="11"/>
        <v>100</v>
      </c>
      <c r="V35" s="1324" t="s">
        <v>65</v>
      </c>
      <c r="W35" s="1325">
        <f t="shared" si="12"/>
        <v>100</v>
      </c>
      <c r="X35" s="1318"/>
      <c r="Y35" s="3684"/>
      <c r="Z35" s="1326" t="str">
        <f t="shared" si="13"/>
        <v>宗地形状</v>
      </c>
      <c r="AA35" s="1327">
        <f t="shared" si="3"/>
        <v>1</v>
      </c>
      <c r="AB35" s="1327">
        <f t="shared" si="4"/>
        <v>1</v>
      </c>
      <c r="AC35" s="1327">
        <f t="shared" si="5"/>
        <v>1</v>
      </c>
    </row>
    <row r="36" spans="1:29" s="407" customFormat="1" ht="15">
      <c r="A36" s="816"/>
      <c r="B36" s="2607"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84"/>
      <c r="Q36" s="1323" t="str">
        <f t="shared" si="14"/>
        <v>宗地开发程度</v>
      </c>
      <c r="R36" s="1319" t="s">
        <v>65</v>
      </c>
      <c r="S36" s="1320">
        <f t="shared" si="10"/>
        <v>100</v>
      </c>
      <c r="T36" s="1319" t="s">
        <v>65</v>
      </c>
      <c r="U36" s="1320">
        <f t="shared" si="11"/>
        <v>100</v>
      </c>
      <c r="V36" s="1319" t="s">
        <v>65</v>
      </c>
      <c r="W36" s="1320">
        <f t="shared" si="12"/>
        <v>100</v>
      </c>
      <c r="X36" s="1321"/>
      <c r="Y36" s="3684"/>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84" t="s">
        <v>520</v>
      </c>
      <c r="Q37" s="1323" t="str">
        <f t="shared" si="14"/>
        <v>工程地质条件</v>
      </c>
      <c r="R37" s="1324" t="s">
        <v>65</v>
      </c>
      <c r="S37" s="1325">
        <f t="shared" si="10"/>
        <v>100</v>
      </c>
      <c r="T37" s="1324" t="s">
        <v>65</v>
      </c>
      <c r="U37" s="1325">
        <f t="shared" si="11"/>
        <v>100</v>
      </c>
      <c r="V37" s="1324" t="s">
        <v>65</v>
      </c>
      <c r="W37" s="1325">
        <f t="shared" si="12"/>
        <v>100</v>
      </c>
      <c r="X37" s="1318"/>
      <c r="Y37" s="3684"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84"/>
      <c r="Q38" s="1323">
        <f t="shared" si="14"/>
        <v>111</v>
      </c>
      <c r="R38" s="1324" t="s">
        <v>65</v>
      </c>
      <c r="S38" s="1325">
        <f t="shared" si="10"/>
        <v>100</v>
      </c>
      <c r="T38" s="1324" t="s">
        <v>65</v>
      </c>
      <c r="U38" s="1325">
        <f t="shared" si="11"/>
        <v>100</v>
      </c>
      <c r="V38" s="1324" t="s">
        <v>65</v>
      </c>
      <c r="W38" s="1325">
        <f t="shared" si="12"/>
        <v>100</v>
      </c>
      <c r="X38" s="1318"/>
      <c r="Y38" s="368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84"/>
      <c r="Q39" s="1323">
        <f t="shared" si="14"/>
        <v>111</v>
      </c>
      <c r="R39" s="1324" t="s">
        <v>65</v>
      </c>
      <c r="S39" s="1325">
        <f t="shared" si="10"/>
        <v>100</v>
      </c>
      <c r="T39" s="1324" t="s">
        <v>65</v>
      </c>
      <c r="U39" s="1325">
        <f t="shared" si="11"/>
        <v>100</v>
      </c>
      <c r="V39" s="1324" t="s">
        <v>65</v>
      </c>
      <c r="W39" s="1325">
        <f t="shared" si="12"/>
        <v>100</v>
      </c>
      <c r="X39" s="1318"/>
      <c r="Y39" s="368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84"/>
      <c r="Q40" s="1323">
        <f t="shared" si="14"/>
        <v>111</v>
      </c>
      <c r="R40" s="1329" t="s">
        <v>65</v>
      </c>
      <c r="S40" s="1330">
        <f t="shared" si="10"/>
        <v>100</v>
      </c>
      <c r="T40" s="1329" t="s">
        <v>65</v>
      </c>
      <c r="U40" s="1330">
        <f t="shared" si="11"/>
        <v>100</v>
      </c>
      <c r="V40" s="1329" t="s">
        <v>65</v>
      </c>
      <c r="W40" s="1330">
        <f t="shared" si="12"/>
        <v>100</v>
      </c>
      <c r="X40" s="1331"/>
      <c r="Y40" s="3684"/>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59"/>
      <c r="M41" s="2347"/>
      <c r="N41" s="2347"/>
      <c r="O41" s="2360"/>
      <c r="P41" s="3676" t="str">
        <f>A41</f>
        <v>成交单价</v>
      </c>
      <c r="Q41" s="3676"/>
      <c r="R41" s="3704">
        <f>E41</f>
        <v>0</v>
      </c>
      <c r="S41" s="3704"/>
      <c r="T41" s="3704">
        <f>G41</f>
        <v>0</v>
      </c>
      <c r="U41" s="3704"/>
      <c r="V41" s="3704">
        <f>I41</f>
        <v>0</v>
      </c>
      <c r="W41" s="3704"/>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676" t="str">
        <f>A42</f>
        <v>比较价值（元/平方米）</v>
      </c>
      <c r="Q42" s="3676"/>
      <c r="R42" s="3716" t="e">
        <f>ROUND(PRODUCT(R41,AA7:AA40),0)</f>
        <v>#DIV/0!</v>
      </c>
      <c r="S42" s="3716"/>
      <c r="T42" s="3716" t="e">
        <f>ROUND(PRODUCT(T41,AB7:AB40),0)</f>
        <v>#DIV/0!</v>
      </c>
      <c r="U42" s="3716"/>
      <c r="V42" s="3716" t="e">
        <f>ROUND(PRODUCT(V41,AC7:AC40),0)</f>
        <v>#DIV/0!</v>
      </c>
      <c r="W42" s="3716"/>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9"/>
      <c r="M43" s="2347"/>
      <c r="N43" s="2347"/>
      <c r="O43" s="2360"/>
      <c r="P43" s="3678" t="str">
        <f>A43</f>
        <v>估价对象XX用房的比较价值（楼面单价，元/平方米）</v>
      </c>
      <c r="Q43" s="3679"/>
      <c r="R43" s="3717" t="e">
        <f>ROUND(AVERAGE(R42:V42),0)</f>
        <v>#DIV/0!</v>
      </c>
      <c r="S43" s="3717"/>
      <c r="T43" s="3717"/>
      <c r="U43" s="3717"/>
      <c r="V43" s="3717"/>
      <c r="W43" s="3717"/>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1885</v>
      </c>
      <c r="D50" s="2391" t="s">
        <v>2323</v>
      </c>
      <c r="E50" s="1095" t="s">
        <v>493</v>
      </c>
      <c r="F50" s="1096" t="s">
        <v>494</v>
      </c>
      <c r="G50" s="3718" t="s">
        <v>2316</v>
      </c>
      <c r="H50" s="3719"/>
      <c r="I50" s="2181" t="s">
        <v>1884</v>
      </c>
      <c r="J50" s="1764">
        <f>项目基本情况!F35</f>
        <v>0</v>
      </c>
      <c r="K50" s="2374" t="s">
        <v>1886</v>
      </c>
      <c r="L50" s="2187"/>
      <c r="M50" s="2360"/>
      <c r="N50" s="2360"/>
      <c r="O50" s="2360"/>
    </row>
    <row r="51" spans="1:17" s="1101" customFormat="1">
      <c r="A51" s="1097" t="s">
        <v>495</v>
      </c>
      <c r="B51" s="1098" t="e">
        <f>C43</f>
        <v>#DIV/0!</v>
      </c>
      <c r="C51" s="1099">
        <v>1</v>
      </c>
      <c r="D51" s="2392">
        <v>1</v>
      </c>
      <c r="E51" s="1099">
        <f>'数据-汇总表'!E8+'数据-汇总表'!E9</f>
        <v>2099.0100000000002</v>
      </c>
      <c r="F51" s="1100" t="e">
        <f t="shared" ref="F51:F60" si="15">ROUND(B51*E51/10000,0)</f>
        <v>#DIV/0!</v>
      </c>
      <c r="G51" s="3720"/>
      <c r="H51" s="3721"/>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22" t="s">
        <v>2317</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22"/>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22"/>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22"/>
      <c r="H55" s="2185" t="str">
        <f>项目基本情况!B37</f>
        <v>三级</v>
      </c>
      <c r="I55" s="1772">
        <f>SUMIF(修正!A45:A56,H55,修正!E45:E56)</f>
        <v>0.25</v>
      </c>
      <c r="J55" s="1773"/>
      <c r="K55" s="2361"/>
      <c r="L55" s="1771"/>
      <c r="M55" s="1771"/>
      <c r="N55" s="1771"/>
      <c r="O55" s="1771"/>
    </row>
    <row r="56" spans="1:17" s="1101" customFormat="1">
      <c r="A56" s="2512" t="s">
        <v>2399</v>
      </c>
      <c r="B56" s="594" t="e">
        <f t="shared" si="17"/>
        <v>#DIV/0!</v>
      </c>
      <c r="C56" s="532">
        <f t="shared" si="16"/>
        <v>0.25</v>
      </c>
      <c r="D56" s="2393">
        <v>0.25</v>
      </c>
      <c r="E56" s="593">
        <f>'数据-汇总表'!E11</f>
        <v>0</v>
      </c>
      <c r="F56" s="1100" t="e">
        <f t="shared" si="15"/>
        <v>#DIV/0!</v>
      </c>
      <c r="G56" s="2197" t="s">
        <v>2318</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2319</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2318</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2324</v>
      </c>
      <c r="E61" s="1105">
        <f>IF(B41="楼面地价",SUM(E51:E60),'数据-汇总表'!D3)</f>
        <v>0</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3" t="s">
        <v>2790</v>
      </c>
      <c r="B65" s="2704"/>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2789</v>
      </c>
      <c r="B66" s="664" t="str">
        <f>"北京市平均增长率"&amp;TEXT('基准地价修正-2层'!P24,"0.00%")</f>
        <v>北京市平均增长率1.37%</v>
      </c>
      <c r="C66" s="946">
        <v>100</v>
      </c>
      <c r="D66" s="938"/>
      <c r="E66" s="938"/>
      <c r="F66" s="938"/>
      <c r="G66" s="938"/>
      <c r="H66" s="938"/>
      <c r="I66" s="938"/>
      <c r="J66" s="938"/>
      <c r="K66" s="938"/>
      <c r="L66" s="938"/>
      <c r="M66" s="3028"/>
      <c r="N66" s="3028"/>
      <c r="O66" s="3031"/>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2501</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2099.0100000000002</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1760</v>
      </c>
      <c r="T1" s="3069" t="s">
        <v>2891</v>
      </c>
      <c r="U1" s="3069" t="s">
        <v>2892</v>
      </c>
      <c r="V1" s="3069" t="s">
        <v>1854</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1098</v>
      </c>
      <c r="D2" s="1626" t="s">
        <v>68</v>
      </c>
      <c r="E2" s="1780" t="s">
        <v>3042</v>
      </c>
      <c r="F2" s="1626" t="s">
        <v>1558</v>
      </c>
      <c r="G2" s="1603" t="str">
        <f>IF(E2="商业",项目基本情况!B37,IF(E2="办公",项目基本情况!C37,IF(E2="住宅",项目基本情况!D37,项目基本情况!E37)))</f>
        <v>三级</v>
      </c>
      <c r="H2" s="1626" t="s">
        <v>1211</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t="e">
        <f>ROUND(IF(G3&gt;1,IF(R2&lt;7,SUMPRODUCT((B93:B98=R2)*(C92:N92=G2)*(C93:N98)),SUMIF(C92:N92,G2,C100:N100)),IF(R2&lt;7,SUMPRODUCT((B102:B107=R2)*(C92:N92=G2)*(C102:N107)),SUMIF(C92:N92,G2,C109:N109))),4)</f>
        <v>#DIV/0!</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1099</v>
      </c>
      <c r="D3" s="1626" t="s">
        <v>1137</v>
      </c>
      <c r="E3" s="1781" t="s">
        <v>3099</v>
      </c>
      <c r="F3" s="1782" t="s">
        <v>3024</v>
      </c>
      <c r="G3" s="1628" t="e">
        <f>IF(F3="宗地容积率",'数据-汇总表'!I4,IF(F3="估价对象容积率",'数据-汇总表'!I6,'数据-汇总表'!I7))</f>
        <v>#DIV/0!</v>
      </c>
      <c r="H3" s="1629" t="s">
        <v>1138</v>
      </c>
      <c r="I3" s="1783">
        <v>1</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t="e">
        <f>ROUND(IF(G3&gt;1,IF(R3&lt;7,SUMPRODUCT((B93:B98=R3)*(C92:N92=G2)*(C93:N98)),SUMIF(C92:N92,G2,C100:N100)),IF(R3&lt;7,SUMPRODUCT((B102:B107=R3)*(C92:N92=G2)*(C102:N107)),SUMIF(C92:N92,G2,C109:N109))),4)</f>
        <v>#DIV/0!</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27"/>
      <c r="B4" s="3728"/>
      <c r="C4" s="3728"/>
      <c r="D4" s="3729"/>
      <c r="E4" s="3729"/>
      <c r="F4" s="3729"/>
      <c r="G4" s="3729"/>
      <c r="H4" s="3729"/>
      <c r="I4" s="3729"/>
      <c r="J4" s="3730"/>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t="e">
        <f>ROUND(IF(G3&gt;1,IF(R4&lt;7,SUMPRODUCT((B93:B98=R4)*(C92:N92=G2)*(C93:N98)),SUMIF(C92:N92,G2,C100:N100)),IF(R4&lt;7,SUMPRODUCT((B102:B107=R4)*(C92:N92=G2)*(C102:N107)),SUMIF(C92:N92,G2,C109:N109))),4)</f>
        <v>#DIV/0!</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t="e">
        <f>ROUND(IF(G3&gt;1,IF(R5&lt;7,SUMPRODUCT((B93:B98=R5)*(C92:N92=G2)*(C93:N98)),SUMIF(C92:N92,G2,C100:N100)),IF(R5&lt;7,SUMPRODUCT((B102:B107=R5)*(C92:N92=G2)*(C102:N107)),SUMIF(C92:N92,G2,C109:N109))),4)</f>
        <v>#DIV/0!</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t="e">
        <f>ROUND(IF(G3&gt;1,IF(R6&lt;7,SUMPRODUCT((B93:B98=R6)*(C92:N92=G2)*(C93:N98)),SUMIF(C92:N92,G2,C100:N100)),IF(R6&lt;7,SUMPRODUCT((B102:B107=R6)*(C92:N92=G2)*(C102:N107)),SUMIF(C92:N92,G2,C109:N109))),4)</f>
        <v>#DIV/0!</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31"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t="e">
        <f>ROUND(IF(G3&gt;1,IF(R7&lt;7,SUMPRODUCT((B93:B98=R7)*(C92:N92=G2)*(C93:N98)),SUMIF(C92:N92,G2,C100:N100)),IF(R7&lt;7,SUMPRODUCT((B102:B107=R7)*(C92:N92=G2)*(C102:N107)),SUMIF(C92:N92,G2,C109:N109))),4)</f>
        <v>#DIV/0!</v>
      </c>
      <c r="T7" s="3074" t="e">
        <f t="shared" ca="1" si="0"/>
        <v>#DIV/0!</v>
      </c>
      <c r="U7" s="3075"/>
      <c r="V7" s="3074" t="e">
        <f t="shared" ca="1" si="1"/>
        <v>#DIV/0!</v>
      </c>
      <c r="W7" s="3364" t="s">
        <v>2894</v>
      </c>
      <c r="X7" s="3080" t="str">
        <f>G2</f>
        <v>三级</v>
      </c>
      <c r="Y7" s="3080" t="s">
        <v>93</v>
      </c>
      <c r="Z7" s="3081" t="e">
        <f>G3</f>
        <v>#DIV/0!</v>
      </c>
      <c r="AA7" s="3082"/>
      <c r="AB7" s="3082"/>
      <c r="AC7" s="3083"/>
      <c r="AD7" s="3084"/>
      <c r="AE7" s="3084"/>
      <c r="AF7" s="3084"/>
      <c r="AG7" s="3084"/>
      <c r="AH7" s="3084"/>
      <c r="AI7" s="3084"/>
      <c r="AJ7" s="3085"/>
    </row>
    <row r="8" spans="1:36" ht="24">
      <c r="A8" s="3732"/>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33" t="s">
        <v>2896</v>
      </c>
      <c r="X8" s="3734"/>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32"/>
      <c r="B9" s="1629" t="s">
        <v>1624</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35"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2"/>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35"/>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2"/>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35" t="s">
        <v>2898</v>
      </c>
      <c r="X11" s="3090" t="s">
        <v>93</v>
      </c>
      <c r="Y11" s="3091" t="e">
        <f>$G$3</f>
        <v>#DIV/0!</v>
      </c>
      <c r="Z11" s="3091" t="e">
        <f t="shared" ref="Z11:AJ11" si="3">$G$3</f>
        <v>#DIV/0!</v>
      </c>
      <c r="AA11" s="3091" t="e">
        <f t="shared" si="3"/>
        <v>#DIV/0!</v>
      </c>
      <c r="AB11" s="3091" t="e">
        <f t="shared" si="3"/>
        <v>#DIV/0!</v>
      </c>
      <c r="AC11" s="3091" t="e">
        <f t="shared" si="3"/>
        <v>#DIV/0!</v>
      </c>
      <c r="AD11" s="3091" t="e">
        <f t="shared" si="3"/>
        <v>#DIV/0!</v>
      </c>
      <c r="AE11" s="3091" t="e">
        <f t="shared" si="3"/>
        <v>#DIV/0!</v>
      </c>
      <c r="AF11" s="3091" t="e">
        <f t="shared" si="3"/>
        <v>#DIV/0!</v>
      </c>
      <c r="AG11" s="3091" t="e">
        <f t="shared" si="3"/>
        <v>#DIV/0!</v>
      </c>
      <c r="AH11" s="3091" t="e">
        <f t="shared" si="3"/>
        <v>#DIV/0!</v>
      </c>
      <c r="AI11" s="3091" t="e">
        <f t="shared" si="3"/>
        <v>#DIV/0!</v>
      </c>
      <c r="AJ11" s="3091" t="e">
        <f t="shared" si="3"/>
        <v>#DIV/0!</v>
      </c>
    </row>
    <row r="12" spans="1:36" ht="26.25" thickBot="1">
      <c r="A12" s="3731"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35"/>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36"/>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35"/>
      <c r="X13" s="3092"/>
      <c r="Y13" s="3089" t="e">
        <f>(-0.163*(Y12^2)-0.59*Y12+7617)*(10^(-4))/Y11</f>
        <v>#DIV/0!</v>
      </c>
      <c r="Z13" s="3089" t="e">
        <f t="shared" ref="Z13:AJ13" si="5">(-0.163*(Z12^2)-0.59*Z12+7617)*(10^(-4))/Z11</f>
        <v>#DIV/0!</v>
      </c>
      <c r="AA13" s="3089" t="e">
        <f t="shared" si="5"/>
        <v>#DIV/0!</v>
      </c>
      <c r="AB13" s="3089" t="e">
        <f t="shared" si="5"/>
        <v>#DIV/0!</v>
      </c>
      <c r="AC13" s="3089" t="e">
        <f t="shared" si="5"/>
        <v>#DIV/0!</v>
      </c>
      <c r="AD13" s="3089" t="e">
        <f t="shared" si="5"/>
        <v>#DIV/0!</v>
      </c>
      <c r="AE13" s="3089" t="e">
        <f t="shared" si="5"/>
        <v>#DIV/0!</v>
      </c>
      <c r="AF13" s="3089" t="e">
        <f t="shared" si="5"/>
        <v>#DIV/0!</v>
      </c>
      <c r="AG13" s="3089" t="e">
        <f t="shared" si="5"/>
        <v>#DIV/0!</v>
      </c>
      <c r="AH13" s="3089" t="e">
        <f t="shared" si="5"/>
        <v>#DIV/0!</v>
      </c>
      <c r="AI13" s="3089" t="e">
        <f t="shared" si="5"/>
        <v>#DIV/0!</v>
      </c>
      <c r="AJ13" s="3089" t="e">
        <f t="shared" si="5"/>
        <v>#DIV/0!</v>
      </c>
    </row>
    <row r="14" spans="1:36" ht="15">
      <c r="A14" s="3736"/>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37"/>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1160</v>
      </c>
      <c r="O15" s="1705" t="s">
        <v>981</v>
      </c>
      <c r="P15" s="1706" t="s">
        <v>1102</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31" t="s">
        <v>1943</v>
      </c>
      <c r="B16" s="1643" t="s">
        <v>1818</v>
      </c>
      <c r="C16" s="335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32"/>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42962</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682</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t="e">
        <f>IF(B21="容积率修正",IF(G3&lt;=10,D22,J22),C23)</f>
        <v>#DIV/0!</v>
      </c>
      <c r="D21" s="1755"/>
      <c r="E21" s="1755"/>
      <c r="F21" s="1755"/>
      <c r="G21" s="1755"/>
      <c r="H21" s="1755"/>
      <c r="I21" s="1755"/>
      <c r="J21" s="1756"/>
      <c r="K21" s="2387"/>
      <c r="N21" s="3019" t="s">
        <v>1</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3360" t="s">
        <v>1842</v>
      </c>
      <c r="D22" s="3360" t="e">
        <f>IF(E22=G22,F22,IF(G3&lt;=10,ROUND(F22+(H22-F22)*(G3-E22)/(G22-E22),4),"——"))</f>
        <v>#DIV/0!</v>
      </c>
      <c r="E22" s="1628" t="e">
        <f>ROUNDDOWN(G3,1)</f>
        <v>#DIV/0!</v>
      </c>
      <c r="F22" s="336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8" t="e">
        <f>ROUNDUP(G3,1)</f>
        <v>#DIV/0!</v>
      </c>
      <c r="H22" s="336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3360" t="s">
        <v>1159</v>
      </c>
      <c r="J22" s="1757" t="e">
        <f>IF(G3&gt;10,D113,"——")</f>
        <v>#DIV/0!</v>
      </c>
      <c r="K22" s="2387"/>
      <c r="N22" s="3019" t="s">
        <v>1160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t="e">
        <f>ROUND(IF(G3&gt;1,IF(I3&lt;7,SUMPRODUCT((B93:B98=I3)*(C92:N92=G2)*(C93:N98)),SUMIF(C92:N92,G2,C100:N100)),IF(I3&lt;7,SUMPRODUCT((B102:B107=I3)*(C92:N92=G2)*(C102:N107)),SUMIF(C92:N92,G2,C109:N109))),4)</f>
        <v>#DIV/0!</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2718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615</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'数据-汇总表'!F19</f>
        <v>2099.0100000000002</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615</v>
      </c>
      <c r="E32" s="168" t="s">
        <v>1854</v>
      </c>
      <c r="F32" s="1736" t="s">
        <v>1841</v>
      </c>
      <c r="G32" s="1697" t="s">
        <v>1837</v>
      </c>
      <c r="H32" s="1697" t="s">
        <v>615</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44"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45"/>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45"/>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46"/>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1102</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3354" t="s">
        <v>1779</v>
      </c>
      <c r="D47" s="3355" t="s">
        <v>1850</v>
      </c>
      <c r="E47" s="1499" t="s">
        <v>1852</v>
      </c>
      <c r="F47" s="2601" t="s">
        <v>2494</v>
      </c>
      <c r="G47" s="3355" t="s">
        <v>1848</v>
      </c>
      <c r="H47" s="2602" t="s">
        <v>2495</v>
      </c>
      <c r="I47" s="3355"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3354" t="s">
        <v>1779</v>
      </c>
      <c r="D58" s="3355" t="s">
        <v>1850</v>
      </c>
      <c r="E58" s="1499" t="s">
        <v>1852</v>
      </c>
      <c r="F58" s="2601" t="s">
        <v>2291</v>
      </c>
      <c r="G58" s="3355" t="s">
        <v>1848</v>
      </c>
      <c r="H58" s="2602" t="s">
        <v>2495</v>
      </c>
      <c r="I58" s="3355"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3354" t="s">
        <v>1779</v>
      </c>
      <c r="D69" s="3355" t="s">
        <v>1850</v>
      </c>
      <c r="E69" s="1499" t="s">
        <v>1852</v>
      </c>
      <c r="F69" s="2601" t="s">
        <v>2291</v>
      </c>
      <c r="G69" s="3355" t="s">
        <v>1848</v>
      </c>
      <c r="H69" s="2602" t="s">
        <v>2495</v>
      </c>
      <c r="I69" s="3355"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3354" t="s">
        <v>1779</v>
      </c>
      <c r="D80" s="3355" t="s">
        <v>1850</v>
      </c>
      <c r="E80" s="1499" t="s">
        <v>1852</v>
      </c>
      <c r="F80" s="2601" t="s">
        <v>2291</v>
      </c>
      <c r="G80" s="3355" t="s">
        <v>1848</v>
      </c>
      <c r="H80" s="2602" t="s">
        <v>2495</v>
      </c>
      <c r="I80" s="3355"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47" t="s">
        <v>1758</v>
      </c>
      <c r="B90" s="3747"/>
      <c r="C90" s="3747"/>
      <c r="D90" s="3747"/>
      <c r="E90" s="3747"/>
      <c r="F90" s="3747"/>
      <c r="G90" s="3747"/>
      <c r="H90" s="3747"/>
      <c r="I90" s="3747"/>
      <c r="J90" s="3747"/>
      <c r="K90" s="3361"/>
      <c r="L90" s="3361"/>
      <c r="M90" s="3361"/>
      <c r="N90" s="3361"/>
    </row>
    <row r="91" spans="1:37">
      <c r="A91" s="3748" t="s">
        <v>68</v>
      </c>
      <c r="B91" s="3748" t="s">
        <v>1759</v>
      </c>
      <c r="C91" s="1584" t="s">
        <v>1760</v>
      </c>
      <c r="D91" s="1585"/>
      <c r="E91" s="1585"/>
      <c r="F91" s="1585"/>
      <c r="G91" s="1585"/>
      <c r="H91" s="1585"/>
      <c r="I91" s="1585"/>
      <c r="J91" s="1586"/>
      <c r="K91" s="1574"/>
      <c r="L91" s="1574"/>
      <c r="M91" s="1574"/>
      <c r="N91" s="1574"/>
    </row>
    <row r="92" spans="1:37">
      <c r="A92" s="3748"/>
      <c r="B92" s="3748"/>
      <c r="C92" s="3363" t="s">
        <v>165</v>
      </c>
      <c r="D92" s="3363" t="s">
        <v>166</v>
      </c>
      <c r="E92" s="3363" t="s">
        <v>161</v>
      </c>
      <c r="F92" s="3363" t="s">
        <v>162</v>
      </c>
      <c r="G92" s="3363" t="s">
        <v>163</v>
      </c>
      <c r="H92" s="3363" t="s">
        <v>164</v>
      </c>
      <c r="I92" s="3363" t="s">
        <v>1175</v>
      </c>
      <c r="J92" s="3363" t="s">
        <v>1176</v>
      </c>
      <c r="K92" s="3363" t="s">
        <v>1177</v>
      </c>
      <c r="L92" s="3363" t="s">
        <v>1178</v>
      </c>
      <c r="M92" s="3363" t="s">
        <v>1179</v>
      </c>
      <c r="N92" s="3363" t="s">
        <v>1180</v>
      </c>
    </row>
    <row r="93" spans="1:37">
      <c r="A93" s="3738"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9"/>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9"/>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9"/>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9"/>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9"/>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9"/>
      <c r="B99" s="1587" t="s">
        <v>1762</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40"/>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38" t="s">
        <v>1763</v>
      </c>
      <c r="B101" s="1591" t="s">
        <v>93</v>
      </c>
      <c r="C101" s="1592" t="e">
        <f>$G$3</f>
        <v>#DIV/0!</v>
      </c>
      <c r="D101" s="1592" t="e">
        <f t="shared" ref="D101:N101" si="31">$G$3</f>
        <v>#DIV/0!</v>
      </c>
      <c r="E101" s="1592" t="e">
        <f t="shared" si="31"/>
        <v>#DIV/0!</v>
      </c>
      <c r="F101" s="1592" t="e">
        <f t="shared" si="31"/>
        <v>#DIV/0!</v>
      </c>
      <c r="G101" s="1592" t="e">
        <f t="shared" si="31"/>
        <v>#DIV/0!</v>
      </c>
      <c r="H101" s="1592" t="e">
        <f t="shared" si="31"/>
        <v>#DIV/0!</v>
      </c>
      <c r="I101" s="1592" t="e">
        <f t="shared" si="31"/>
        <v>#DIV/0!</v>
      </c>
      <c r="J101" s="1592" t="e">
        <f t="shared" si="31"/>
        <v>#DIV/0!</v>
      </c>
      <c r="K101" s="1592" t="e">
        <f t="shared" si="31"/>
        <v>#DIV/0!</v>
      </c>
      <c r="L101" s="1592" t="e">
        <f t="shared" si="31"/>
        <v>#DIV/0!</v>
      </c>
      <c r="M101" s="1592" t="e">
        <f t="shared" si="31"/>
        <v>#DIV/0!</v>
      </c>
      <c r="N101" s="1592" t="e">
        <f t="shared" si="31"/>
        <v>#DIV/0!</v>
      </c>
    </row>
    <row r="102" spans="1:14">
      <c r="A102" s="3739"/>
      <c r="B102" s="1587">
        <v>1</v>
      </c>
      <c r="C102" s="1588" t="e">
        <f>1.9362/C101</f>
        <v>#DIV/0!</v>
      </c>
      <c r="D102" s="1588" t="e">
        <f>1.9362/D101</f>
        <v>#DIV/0!</v>
      </c>
      <c r="E102" s="1588" t="e">
        <f>1.8629/E101</f>
        <v>#DIV/0!</v>
      </c>
      <c r="F102" s="1588" t="e">
        <f>1.8629/F101</f>
        <v>#DIV/0!</v>
      </c>
      <c r="G102" s="1588" t="e">
        <f>1.8629/G101</f>
        <v>#DIV/0!</v>
      </c>
      <c r="H102" s="1588" t="e">
        <f>1.8629/H101</f>
        <v>#DIV/0!</v>
      </c>
      <c r="I102" s="1588" t="e">
        <f>1.8629/I101</f>
        <v>#DIV/0!</v>
      </c>
      <c r="J102" s="1588" t="e">
        <f>1.942/J101</f>
        <v>#DIV/0!</v>
      </c>
      <c r="K102" s="1588" t="e">
        <f>1.942/K101</f>
        <v>#DIV/0!</v>
      </c>
      <c r="L102" s="1588" t="e">
        <f>1.942/L101</f>
        <v>#DIV/0!</v>
      </c>
      <c r="M102" s="1588" t="e">
        <f>1.942/M101</f>
        <v>#DIV/0!</v>
      </c>
      <c r="N102" s="1588" t="e">
        <f>1.942/N101</f>
        <v>#DIV/0!</v>
      </c>
    </row>
    <row r="103" spans="1:14">
      <c r="A103" s="3739"/>
      <c r="B103" s="1587">
        <v>2</v>
      </c>
      <c r="C103" s="1588" t="e">
        <f>1.4198/C101</f>
        <v>#DIV/0!</v>
      </c>
      <c r="D103" s="1588" t="e">
        <f>1.4198/D101</f>
        <v>#DIV/0!</v>
      </c>
      <c r="E103" s="1588" t="e">
        <f>1.3372/E101</f>
        <v>#DIV/0!</v>
      </c>
      <c r="F103" s="1588" t="e">
        <f>1.3372/F101</f>
        <v>#DIV/0!</v>
      </c>
      <c r="G103" s="1588" t="e">
        <f>1.3372/G101</f>
        <v>#DIV/0!</v>
      </c>
      <c r="H103" s="1588" t="e">
        <f>1.3372/H101</f>
        <v>#DIV/0!</v>
      </c>
      <c r="I103" s="1588" t="e">
        <f>1.3372/I101</f>
        <v>#DIV/0!</v>
      </c>
      <c r="J103" s="1588" t="e">
        <f>1.2799/J101</f>
        <v>#DIV/0!</v>
      </c>
      <c r="K103" s="1588" t="e">
        <f>1.2799/K101</f>
        <v>#DIV/0!</v>
      </c>
      <c r="L103" s="1588" t="e">
        <f>1.2799/L101</f>
        <v>#DIV/0!</v>
      </c>
      <c r="M103" s="1588" t="e">
        <f>1.2799/M101</f>
        <v>#DIV/0!</v>
      </c>
      <c r="N103" s="1588" t="e">
        <f>1.2799/N101</f>
        <v>#DIV/0!</v>
      </c>
    </row>
    <row r="104" spans="1:14">
      <c r="A104" s="3739"/>
      <c r="B104" s="1587">
        <v>3</v>
      </c>
      <c r="C104" s="1588" t="e">
        <f>1.1594/C101</f>
        <v>#DIV/0!</v>
      </c>
      <c r="D104" s="1588" t="e">
        <f>1.1594/D101</f>
        <v>#DIV/0!</v>
      </c>
      <c r="E104" s="1588" t="e">
        <f>1.0788/E101</f>
        <v>#DIV/0!</v>
      </c>
      <c r="F104" s="1588" t="e">
        <f>1.0788/F101</f>
        <v>#DIV/0!</v>
      </c>
      <c r="G104" s="1588" t="e">
        <f>1.0788/G101</f>
        <v>#DIV/0!</v>
      </c>
      <c r="H104" s="1588" t="e">
        <f>1.0788/H101</f>
        <v>#DIV/0!</v>
      </c>
      <c r="I104" s="1588" t="e">
        <f>1.0788/I101</f>
        <v>#DIV/0!</v>
      </c>
      <c r="J104" s="1588" t="e">
        <f>1.0072/J101</f>
        <v>#DIV/0!</v>
      </c>
      <c r="K104" s="1588" t="e">
        <f>1.0072/K101</f>
        <v>#DIV/0!</v>
      </c>
      <c r="L104" s="1588" t="e">
        <f>1.0072/L101</f>
        <v>#DIV/0!</v>
      </c>
      <c r="M104" s="1588" t="e">
        <f>1.0072/M101</f>
        <v>#DIV/0!</v>
      </c>
      <c r="N104" s="1588" t="e">
        <f>1.0072/N101</f>
        <v>#DIV/0!</v>
      </c>
    </row>
    <row r="105" spans="1:14">
      <c r="A105" s="3739"/>
      <c r="B105" s="1587">
        <v>4</v>
      </c>
      <c r="C105" s="1588" t="e">
        <f>0.9622/C101</f>
        <v>#DIV/0!</v>
      </c>
      <c r="D105" s="1588" t="e">
        <f>0.9622/D101</f>
        <v>#DIV/0!</v>
      </c>
      <c r="E105" s="1588" t="e">
        <f>0.8656/E101</f>
        <v>#DIV/0!</v>
      </c>
      <c r="F105" s="1588" t="e">
        <f>0.8656/F101</f>
        <v>#DIV/0!</v>
      </c>
      <c r="G105" s="1588" t="e">
        <f>0.8656/G101</f>
        <v>#DIV/0!</v>
      </c>
      <c r="H105" s="1588" t="e">
        <f>0.8656/H101</f>
        <v>#DIV/0!</v>
      </c>
      <c r="I105" s="1588" t="e">
        <f>0.8656/I101</f>
        <v>#DIV/0!</v>
      </c>
      <c r="J105" s="1588" t="e">
        <f>0.7525/J101</f>
        <v>#DIV/0!</v>
      </c>
      <c r="K105" s="1588" t="e">
        <f>0.7525/K101</f>
        <v>#DIV/0!</v>
      </c>
      <c r="L105" s="1588" t="e">
        <f>0.7525/L101</f>
        <v>#DIV/0!</v>
      </c>
      <c r="M105" s="1588" t="e">
        <f>0.7525/M101</f>
        <v>#DIV/0!</v>
      </c>
      <c r="N105" s="1588" t="e">
        <f>0.7525/N101</f>
        <v>#DIV/0!</v>
      </c>
    </row>
    <row r="106" spans="1:14">
      <c r="A106" s="3739"/>
      <c r="B106" s="1587">
        <v>5</v>
      </c>
      <c r="C106" s="1588" t="e">
        <f>0.8417/C101</f>
        <v>#DIV/0!</v>
      </c>
      <c r="D106" s="1588" t="e">
        <f>0.8417/D101</f>
        <v>#DIV/0!</v>
      </c>
      <c r="E106" s="1588" t="e">
        <f>0.7371/E101</f>
        <v>#DIV/0!</v>
      </c>
      <c r="F106" s="1588" t="e">
        <f>0.7371/F101</f>
        <v>#DIV/0!</v>
      </c>
      <c r="G106" s="1588" t="e">
        <f>0.7371/G101</f>
        <v>#DIV/0!</v>
      </c>
      <c r="H106" s="1588" t="e">
        <f>0.7371/H101</f>
        <v>#DIV/0!</v>
      </c>
      <c r="I106" s="1588" t="e">
        <f>0.7371/I101</f>
        <v>#DIV/0!</v>
      </c>
      <c r="J106" s="1588" t="e">
        <f>0.5659/J101</f>
        <v>#DIV/0!</v>
      </c>
      <c r="K106" s="1588" t="e">
        <f>0.5659/K101</f>
        <v>#DIV/0!</v>
      </c>
      <c r="L106" s="1588" t="e">
        <f>0.5659/L101</f>
        <v>#DIV/0!</v>
      </c>
      <c r="M106" s="1588" t="e">
        <f>0.5659/M101</f>
        <v>#DIV/0!</v>
      </c>
      <c r="N106" s="1588" t="e">
        <f>0.5659/N101</f>
        <v>#DIV/0!</v>
      </c>
    </row>
    <row r="107" spans="1:14">
      <c r="A107" s="3739"/>
      <c r="B107" s="1587">
        <v>6</v>
      </c>
      <c r="C107" s="1588" t="e">
        <f>0.7608/C101</f>
        <v>#DIV/0!</v>
      </c>
      <c r="D107" s="1588" t="e">
        <f>0.7608/D101</f>
        <v>#DIV/0!</v>
      </c>
      <c r="E107" s="1588" t="e">
        <f>0.6482/E101</f>
        <v>#DIV/0!</v>
      </c>
      <c r="F107" s="1588" t="e">
        <f>0.6482/F101</f>
        <v>#DIV/0!</v>
      </c>
      <c r="G107" s="1588" t="e">
        <f>0.6482/G101</f>
        <v>#DIV/0!</v>
      </c>
      <c r="H107" s="1588" t="e">
        <f>0.6482/H101</f>
        <v>#DIV/0!</v>
      </c>
      <c r="I107" s="1588" t="e">
        <f>0.6482/I101</f>
        <v>#DIV/0!</v>
      </c>
      <c r="J107" s="1588" t="e">
        <f>0.4525/J101</f>
        <v>#DIV/0!</v>
      </c>
      <c r="K107" s="1588" t="e">
        <f>0.4525/K101</f>
        <v>#DIV/0!</v>
      </c>
      <c r="L107" s="1588" t="e">
        <f>0.4525/L101</f>
        <v>#DIV/0!</v>
      </c>
      <c r="M107" s="1588" t="e">
        <f>0.4525/M101</f>
        <v>#DIV/0!</v>
      </c>
      <c r="N107" s="1588" t="e">
        <f>0.4525/N101</f>
        <v>#DIV/0!</v>
      </c>
    </row>
    <row r="108" spans="1:14">
      <c r="A108" s="3739"/>
      <c r="B108" s="3741" t="s">
        <v>1765</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40"/>
      <c r="B109" s="3742"/>
      <c r="C109" s="1590" t="e">
        <f>(-0.163*(C108^2)-0.59*C108+7617)*(10^(-4))/C101</f>
        <v>#DIV/0!</v>
      </c>
      <c r="D109" s="1590" t="e">
        <f>(-0.163*(D108^2)-0.59*D108+7617)*(10^(-4))/D101</f>
        <v>#DIV/0!</v>
      </c>
      <c r="E109" s="1590" t="e">
        <f>(-0.161*(E108^2)-7.509*E108+6533)*(10^(-4))/E101</f>
        <v>#DIV/0!</v>
      </c>
      <c r="F109" s="1590" t="e">
        <f>(-0.161*(F108^2)-7.509*F108+6533)*(10^(-4))/F101</f>
        <v>#DIV/0!</v>
      </c>
      <c r="G109" s="1590" t="e">
        <f>(-0.161*(G108^2)-7.509*G108+6533)*(10^(-4))/G101</f>
        <v>#DIV/0!</v>
      </c>
      <c r="H109" s="1590" t="e">
        <f>(-0.161*(H108^2)-7.509*H108+6533)*(10^(-4))/H101</f>
        <v>#DIV/0!</v>
      </c>
      <c r="I109" s="1590" t="e">
        <f>(-0.161*(I108^2)-7.509*I108+6533)*(10^(-4))/I101</f>
        <v>#DIV/0!</v>
      </c>
      <c r="J109" s="1590" t="e">
        <f>(-0.214*(J108^2)-21.991*J108+4665)*(10^(-4))/J101</f>
        <v>#DIV/0!</v>
      </c>
      <c r="K109" s="1590" t="e">
        <f>(-0.214*(K108^2)-21.991*K108+4665)*(10^(-4))/K101</f>
        <v>#DIV/0!</v>
      </c>
      <c r="L109" s="1590" t="e">
        <f>(-0.214*(L108^2)-21.991*L108+4665)*(10^(-4))/L101</f>
        <v>#DIV/0!</v>
      </c>
      <c r="M109" s="1590" t="e">
        <f>(-0.214*(M108^2)-21.991*M108+4665)*(10^(-4))/M101</f>
        <v>#DIV/0!</v>
      </c>
      <c r="N109" s="1590" t="e">
        <f>(-0.214*(N108^2)-21.991*N108+4665)*(10^(-4))/N101</f>
        <v>#DIV/0!</v>
      </c>
    </row>
    <row r="110" spans="1:14">
      <c r="A110" s="3743" t="s">
        <v>1766</v>
      </c>
      <c r="B110" s="3743"/>
      <c r="C110" s="3743"/>
      <c r="D110" s="3743"/>
      <c r="E110" s="3743"/>
      <c r="F110" s="3743"/>
      <c r="G110" s="3743"/>
      <c r="H110" s="3743"/>
      <c r="I110" s="3743"/>
      <c r="J110" s="3743"/>
      <c r="K110" s="3362"/>
      <c r="L110" s="3362"/>
      <c r="M110" s="3362"/>
      <c r="N110" s="3362"/>
    </row>
    <row r="112" spans="1:14" ht="12.75" thickBot="1"/>
    <row r="113" spans="1:13" ht="25.5" thickBot="1">
      <c r="A113" s="1600" t="s">
        <v>1768</v>
      </c>
      <c r="B113" s="2606" t="e">
        <f>G3</f>
        <v>#DIV/0!</v>
      </c>
      <c r="C113" s="1601" t="s">
        <v>1769</v>
      </c>
      <c r="D113" s="1602" t="e">
        <f>SUMPRODUCT((A115:A118=F113)*(B114:M114=H113)*B115:M118)</f>
        <v>#DIV/0!</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t="e">
        <f>ROUND(0.9335-0.0094*B113,4)</f>
        <v>#DIV/0!</v>
      </c>
      <c r="C115" s="1614" t="e">
        <f>B115</f>
        <v>#DIV/0!</v>
      </c>
      <c r="D115" s="1614" t="e">
        <f>ROUND(0.8331-0.0109*B113,4)</f>
        <v>#DIV/0!</v>
      </c>
      <c r="E115" s="1614" t="e">
        <f>D115</f>
        <v>#DIV/0!</v>
      </c>
      <c r="F115" s="1614" t="e">
        <f>E115</f>
        <v>#DIV/0!</v>
      </c>
      <c r="G115" s="1614" t="e">
        <f>F115</f>
        <v>#DIV/0!</v>
      </c>
      <c r="H115" s="1614" t="e">
        <f>G115</f>
        <v>#DIV/0!</v>
      </c>
      <c r="I115" s="1614" t="e">
        <f>ROUND(0.689-0.0155*B113,4)</f>
        <v>#DIV/0!</v>
      </c>
      <c r="J115" s="1614" t="e">
        <f t="shared" ref="J115:M118" si="33">I115</f>
        <v>#DIV/0!</v>
      </c>
      <c r="K115" s="1614" t="e">
        <f t="shared" si="33"/>
        <v>#DIV/0!</v>
      </c>
      <c r="L115" s="1614" t="e">
        <f t="shared" si="33"/>
        <v>#DIV/0!</v>
      </c>
      <c r="M115" s="1615" t="e">
        <f t="shared" si="33"/>
        <v>#DIV/0!</v>
      </c>
    </row>
    <row r="116" spans="1:13" ht="12.75">
      <c r="A116" s="1613" t="s">
        <v>1771</v>
      </c>
      <c r="B116" s="1614" t="e">
        <f>ROUND(0.949-0.012*B113,4)</f>
        <v>#DIV/0!</v>
      </c>
      <c r="C116" s="1614" t="e">
        <f>B116</f>
        <v>#DIV/0!</v>
      </c>
      <c r="D116" s="1614" t="e">
        <f>ROUND(0.8567-0.013*B113,4)</f>
        <v>#DIV/0!</v>
      </c>
      <c r="E116" s="1614" t="e">
        <f t="shared" ref="E116:H117" si="34">D116</f>
        <v>#DIV/0!</v>
      </c>
      <c r="F116" s="1614" t="e">
        <f t="shared" si="34"/>
        <v>#DIV/0!</v>
      </c>
      <c r="G116" s="1614" t="e">
        <f t="shared" si="34"/>
        <v>#DIV/0!</v>
      </c>
      <c r="H116" s="1614" t="e">
        <f t="shared" si="34"/>
        <v>#DIV/0!</v>
      </c>
      <c r="I116" s="1614" t="e">
        <f>ROUND(0.7694-0.014*B113,4)</f>
        <v>#DIV/0!</v>
      </c>
      <c r="J116" s="1614" t="e">
        <f t="shared" si="33"/>
        <v>#DIV/0!</v>
      </c>
      <c r="K116" s="1614" t="e">
        <f t="shared" si="33"/>
        <v>#DIV/0!</v>
      </c>
      <c r="L116" s="1614" t="e">
        <f t="shared" si="33"/>
        <v>#DIV/0!</v>
      </c>
      <c r="M116" s="1615" t="e">
        <f t="shared" si="33"/>
        <v>#DIV/0!</v>
      </c>
    </row>
    <row r="117" spans="1:13" ht="12.75">
      <c r="A117" s="1616" t="s">
        <v>981</v>
      </c>
      <c r="B117" s="1614" t="e">
        <f>ROUND(0.8808-0.006*B113,4)</f>
        <v>#DIV/0!</v>
      </c>
      <c r="C117" s="1614" t="e">
        <f>B117</f>
        <v>#DIV/0!</v>
      </c>
      <c r="D117" s="1614" t="e">
        <f>ROUND(0.8748-0.008*B113,4)</f>
        <v>#DIV/0!</v>
      </c>
      <c r="E117" s="1614" t="e">
        <f t="shared" si="34"/>
        <v>#DIV/0!</v>
      </c>
      <c r="F117" s="1614" t="e">
        <f t="shared" si="34"/>
        <v>#DIV/0!</v>
      </c>
      <c r="G117" s="1614" t="e">
        <f t="shared" si="34"/>
        <v>#DIV/0!</v>
      </c>
      <c r="H117" s="1614" t="e">
        <f t="shared" si="34"/>
        <v>#DIV/0!</v>
      </c>
      <c r="I117" s="1614" t="e">
        <f>ROUND(0.7412-0.0095*B113,4)</f>
        <v>#DIV/0!</v>
      </c>
      <c r="J117" s="1614" t="e">
        <f t="shared" si="33"/>
        <v>#DIV/0!</v>
      </c>
      <c r="K117" s="1614" t="e">
        <f t="shared" si="33"/>
        <v>#DIV/0!</v>
      </c>
      <c r="L117" s="1614" t="e">
        <f t="shared" si="33"/>
        <v>#DIV/0!</v>
      </c>
      <c r="M117" s="1615" t="e">
        <f t="shared" si="33"/>
        <v>#DIV/0!</v>
      </c>
    </row>
    <row r="118" spans="1:13" ht="13.5" thickBot="1">
      <c r="A118" s="1123" t="s">
        <v>1772</v>
      </c>
      <c r="B118" s="1617" t="e">
        <f>ROUND(0.7275-0.01*B113,4)</f>
        <v>#DIV/0!</v>
      </c>
      <c r="C118" s="1617" t="e">
        <f>B118</f>
        <v>#DIV/0!</v>
      </c>
      <c r="D118" s="1617" t="e">
        <f>ROUND(0.7043-0.012*B113,4)</f>
        <v>#DIV/0!</v>
      </c>
      <c r="E118" s="1617" t="e">
        <f>D118</f>
        <v>#DIV/0!</v>
      </c>
      <c r="F118" s="1617" t="e">
        <f>E118</f>
        <v>#DIV/0!</v>
      </c>
      <c r="G118" s="1617" t="e">
        <f>ROUND(0.6299-0.0122*B113,4)</f>
        <v>#DIV/0!</v>
      </c>
      <c r="H118" s="1617" t="e">
        <f>G118</f>
        <v>#DIV/0!</v>
      </c>
      <c r="I118" s="1617" t="e">
        <f>ROUND(0.5667-0.0136*B113,4)</f>
        <v>#DIV/0!</v>
      </c>
      <c r="J118" s="1617" t="e">
        <f t="shared" si="33"/>
        <v>#DIV/0!</v>
      </c>
      <c r="K118" s="1617" t="e">
        <f t="shared" si="33"/>
        <v>#DIV/0!</v>
      </c>
      <c r="L118" s="1617" t="e">
        <f t="shared" si="33"/>
        <v>#DIV/0!</v>
      </c>
      <c r="M118" s="1618"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205"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0</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2890</v>
      </c>
      <c r="T1" s="3069" t="s">
        <v>2891</v>
      </c>
      <c r="U1" s="3069" t="s">
        <v>2892</v>
      </c>
      <c r="V1" s="3069" t="s">
        <v>2893</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1134</v>
      </c>
      <c r="D2" s="1626" t="s">
        <v>1794</v>
      </c>
      <c r="E2" s="1780" t="s">
        <v>3042</v>
      </c>
      <c r="F2" s="1626" t="s">
        <v>1795</v>
      </c>
      <c r="G2" s="1603" t="str">
        <f>IF(E2="商业",项目基本情况!B37,IF(E2="办公",项目基本情况!C37,IF(E2="住宅",项目基本情况!D37,项目基本情况!E37)))</f>
        <v>三级</v>
      </c>
      <c r="H2" s="1626" t="s">
        <v>1796</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t="e">
        <f>ROUND(IF(G3&gt;1,IF(R2&lt;7,SUMPRODUCT((B93:B98=R2)*(C92:N92=G2)*(C93:N98)),SUMIF(C92:N92,G2,C100:N100)),IF(R2&lt;7,SUMPRODUCT((B102:B107=R2)*(C92:N92=G2)*(C102:N107)),SUMIF(C92:N92,G2,C109:N109))),4)</f>
        <v>#DIV/0!</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1798</v>
      </c>
      <c r="D3" s="1626" t="s">
        <v>1137</v>
      </c>
      <c r="E3" s="1781" t="s">
        <v>3099</v>
      </c>
      <c r="F3" s="1782" t="s">
        <v>3024</v>
      </c>
      <c r="G3" s="1628" t="e">
        <f>IF(F3="宗地容积率",'数据-汇总表'!I4,IF(F3="估价对象容积率",'数据-汇总表'!I6,'数据-汇总表'!I7))</f>
        <v>#DIV/0!</v>
      </c>
      <c r="H3" s="1629" t="s">
        <v>1138</v>
      </c>
      <c r="I3" s="1783">
        <v>2</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t="e">
        <f>ROUND(IF(G3&gt;1,IF(R3&lt;7,SUMPRODUCT((B93:B98=R3)*(C92:N92=G2)*(C93:N98)),SUMIF(C92:N92,G2,C100:N100)),IF(R3&lt;7,SUMPRODUCT((B102:B107=R3)*(C92:N92=G2)*(C102:N107)),SUMIF(C92:N92,G2,C109:N109))),4)</f>
        <v>#DIV/0!</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27"/>
      <c r="B4" s="3728"/>
      <c r="C4" s="3728"/>
      <c r="D4" s="3729"/>
      <c r="E4" s="3729"/>
      <c r="F4" s="3729"/>
      <c r="G4" s="3729"/>
      <c r="H4" s="3729"/>
      <c r="I4" s="3729"/>
      <c r="J4" s="3730"/>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t="e">
        <f>ROUND(IF(G3&gt;1,IF(R4&lt;7,SUMPRODUCT((B93:B98=R4)*(C92:N92=G2)*(C93:N98)),SUMIF(C92:N92,G2,C100:N100)),IF(R4&lt;7,SUMPRODUCT((B102:B107=R4)*(C92:N92=G2)*(C102:N107)),SUMIF(C92:N92,G2,C109:N109))),4)</f>
        <v>#DIV/0!</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t="e">
        <f>ROUND(IF(G3&gt;1,IF(R5&lt;7,SUMPRODUCT((B93:B98=R5)*(C92:N92=G2)*(C93:N98)),SUMIF(C92:N92,G2,C100:N100)),IF(R5&lt;7,SUMPRODUCT((B102:B107=R5)*(C92:N92=G2)*(C102:N107)),SUMIF(C92:N92,G2,C109:N109))),4)</f>
        <v>#DIV/0!</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t="e">
        <f>ROUND(IF(G3&gt;1,IF(R6&lt;7,SUMPRODUCT((B93:B98=R6)*(C92:N92=G2)*(C93:N98)),SUMIF(C92:N92,G2,C100:N100)),IF(R6&lt;7,SUMPRODUCT((B102:B107=R6)*(C92:N92=G2)*(C102:N107)),SUMIF(C92:N92,G2,C109:N109))),4)</f>
        <v>#DIV/0!</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31"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t="e">
        <f>ROUND(IF(G3&gt;1,IF(R7&lt;7,SUMPRODUCT((B93:B98=R7)*(C92:N92=G2)*(C93:N98)),SUMIF(C92:N92,G2,C100:N100)),IF(R7&lt;7,SUMPRODUCT((B102:B107=R7)*(C92:N92=G2)*(C102:N107)),SUMIF(C92:N92,G2,C109:N109))),4)</f>
        <v>#DIV/0!</v>
      </c>
      <c r="T7" s="3074" t="e">
        <f t="shared" ca="1" si="0"/>
        <v>#DIV/0!</v>
      </c>
      <c r="U7" s="3075"/>
      <c r="V7" s="3074" t="e">
        <f t="shared" ca="1" si="1"/>
        <v>#DIV/0!</v>
      </c>
      <c r="W7" s="3079" t="s">
        <v>2894</v>
      </c>
      <c r="X7" s="3080" t="str">
        <f>G2</f>
        <v>三级</v>
      </c>
      <c r="Y7" s="3080" t="s">
        <v>2895</v>
      </c>
      <c r="Z7" s="3081" t="e">
        <f>G3</f>
        <v>#DIV/0!</v>
      </c>
      <c r="AA7" s="3082"/>
      <c r="AB7" s="3082"/>
      <c r="AC7" s="3083"/>
      <c r="AD7" s="3084"/>
      <c r="AE7" s="3084"/>
      <c r="AF7" s="3084"/>
      <c r="AG7" s="3084"/>
      <c r="AH7" s="3084"/>
      <c r="AI7" s="3084"/>
      <c r="AJ7" s="3085"/>
    </row>
    <row r="8" spans="1:36" ht="24">
      <c r="A8" s="3732"/>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33" t="s">
        <v>2896</v>
      </c>
      <c r="X8" s="3734"/>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32"/>
      <c r="B9" s="1629" t="s">
        <v>1805</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35"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2"/>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35"/>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2"/>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35" t="s">
        <v>2898</v>
      </c>
      <c r="X11" s="3090" t="s">
        <v>2895</v>
      </c>
      <c r="Y11" s="3091" t="e">
        <f>$G$3</f>
        <v>#DIV/0!</v>
      </c>
      <c r="Z11" s="3091" t="e">
        <f t="shared" ref="Z11:AJ11" si="3">$G$3</f>
        <v>#DIV/0!</v>
      </c>
      <c r="AA11" s="3091" t="e">
        <f t="shared" si="3"/>
        <v>#DIV/0!</v>
      </c>
      <c r="AB11" s="3091" t="e">
        <f t="shared" si="3"/>
        <v>#DIV/0!</v>
      </c>
      <c r="AC11" s="3091" t="e">
        <f t="shared" si="3"/>
        <v>#DIV/0!</v>
      </c>
      <c r="AD11" s="3091" t="e">
        <f t="shared" si="3"/>
        <v>#DIV/0!</v>
      </c>
      <c r="AE11" s="3091" t="e">
        <f t="shared" si="3"/>
        <v>#DIV/0!</v>
      </c>
      <c r="AF11" s="3091" t="e">
        <f t="shared" si="3"/>
        <v>#DIV/0!</v>
      </c>
      <c r="AG11" s="3091" t="e">
        <f t="shared" si="3"/>
        <v>#DIV/0!</v>
      </c>
      <c r="AH11" s="3091" t="e">
        <f t="shared" si="3"/>
        <v>#DIV/0!</v>
      </c>
      <c r="AI11" s="3091" t="e">
        <f t="shared" si="3"/>
        <v>#DIV/0!</v>
      </c>
      <c r="AJ11" s="3091" t="e">
        <f t="shared" si="3"/>
        <v>#DIV/0!</v>
      </c>
    </row>
    <row r="12" spans="1:36" ht="26.25" thickBot="1">
      <c r="A12" s="3731"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35"/>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36"/>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35"/>
      <c r="X13" s="3092"/>
      <c r="Y13" s="3089" t="e">
        <f>(-0.163*(Y12^2)-0.59*Y12+7617)*(10^(-4))/Y11</f>
        <v>#DIV/0!</v>
      </c>
      <c r="Z13" s="3089" t="e">
        <f t="shared" ref="Z13:AJ13" si="5">(-0.163*(Z12^2)-0.59*Z12+7617)*(10^(-4))/Z11</f>
        <v>#DIV/0!</v>
      </c>
      <c r="AA13" s="3089" t="e">
        <f t="shared" si="5"/>
        <v>#DIV/0!</v>
      </c>
      <c r="AB13" s="3089" t="e">
        <f t="shared" si="5"/>
        <v>#DIV/0!</v>
      </c>
      <c r="AC13" s="3089" t="e">
        <f t="shared" si="5"/>
        <v>#DIV/0!</v>
      </c>
      <c r="AD13" s="3089" t="e">
        <f t="shared" si="5"/>
        <v>#DIV/0!</v>
      </c>
      <c r="AE13" s="3089" t="e">
        <f t="shared" si="5"/>
        <v>#DIV/0!</v>
      </c>
      <c r="AF13" s="3089" t="e">
        <f t="shared" si="5"/>
        <v>#DIV/0!</v>
      </c>
      <c r="AG13" s="3089" t="e">
        <f t="shared" si="5"/>
        <v>#DIV/0!</v>
      </c>
      <c r="AH13" s="3089" t="e">
        <f t="shared" si="5"/>
        <v>#DIV/0!</v>
      </c>
      <c r="AI13" s="3089" t="e">
        <f t="shared" si="5"/>
        <v>#DIV/0!</v>
      </c>
      <c r="AJ13" s="3089" t="e">
        <f t="shared" si="5"/>
        <v>#DIV/0!</v>
      </c>
    </row>
    <row r="14" spans="1:36" ht="15">
      <c r="A14" s="3736"/>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37"/>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1833</v>
      </c>
      <c r="M15" s="1705" t="s">
        <v>1834</v>
      </c>
      <c r="N15" s="1705" t="s">
        <v>1835</v>
      </c>
      <c r="O15" s="1705" t="s">
        <v>981</v>
      </c>
      <c r="P15" s="1706" t="s">
        <v>1836</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31" t="s">
        <v>1943</v>
      </c>
      <c r="B16" s="1643" t="s">
        <v>1818</v>
      </c>
      <c r="C16" s="177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32"/>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42962</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1825</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t="e">
        <f>IF(B21="容积率修正",IF(G3&lt;=10,D22,J22),C23)</f>
        <v>#DIV/0!</v>
      </c>
      <c r="D21" s="1755"/>
      <c r="E21" s="1755"/>
      <c r="F21" s="1755"/>
      <c r="G21" s="1755"/>
      <c r="H21" s="1755"/>
      <c r="I21" s="1755"/>
      <c r="J21" s="1756"/>
      <c r="K21" s="2387"/>
      <c r="N21" s="3019" t="s">
        <v>2786</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1777" t="s">
        <v>1842</v>
      </c>
      <c r="D22" s="1777" t="e">
        <f>IF(E22=G22,F22,IF(G3&lt;=10,ROUND(F22+(H22-F22)*(G3-E22)/(G22-E22),4),"——"))</f>
        <v>#DIV/0!</v>
      </c>
      <c r="E22" s="1628" t="e">
        <f>ROUNDDOWN(G3,1)</f>
        <v>#DIV/0!</v>
      </c>
      <c r="F22" s="17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628" t="e">
        <f>ROUNDUP(G3,1)</f>
        <v>#DIV/0!</v>
      </c>
      <c r="H22" s="17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77" t="s">
        <v>1159</v>
      </c>
      <c r="J22" s="1757" t="e">
        <f>IF(G3&gt;10,D113,"——")</f>
        <v>#DIV/0!</v>
      </c>
      <c r="K22" s="2387"/>
      <c r="N22" s="3019" t="s">
        <v>2787</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t="e">
        <f>ROUND(IF(G3&gt;1,IF(I3&lt;7,SUMPRODUCT((B93:B98=I3)*(C92:N92=G2)*(C93:N98)),SUMIF(C92:N92,G2,C100:N100)),IF(I3&lt;7,SUMPRODUCT((B102:B107=I3)*(C92:N92=G2)*(C102:N107)),SUMIF(C92:N92,G2,C109:N109))),4)</f>
        <v>#DIV/0!</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2788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1853</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'数据-汇总表'!F20+'数据-汇总表'!F21</f>
        <v>0</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1853</v>
      </c>
      <c r="E32" s="168" t="s">
        <v>1854</v>
      </c>
      <c r="F32" s="1736" t="s">
        <v>1841</v>
      </c>
      <c r="G32" s="1697" t="s">
        <v>1837</v>
      </c>
      <c r="H32" s="1697" t="s">
        <v>1853</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44"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45"/>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45"/>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46"/>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1836</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1" t="s">
        <v>2494</v>
      </c>
      <c r="G47" s="1498" t="s">
        <v>1848</v>
      </c>
      <c r="H47" s="2602" t="s">
        <v>2495</v>
      </c>
      <c r="I47" s="1498"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1" t="s">
        <v>2291</v>
      </c>
      <c r="G58" s="1498" t="s">
        <v>1848</v>
      </c>
      <c r="H58" s="2602" t="s">
        <v>2495</v>
      </c>
      <c r="I58" s="1498"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1" t="s">
        <v>2291</v>
      </c>
      <c r="G69" s="1498" t="s">
        <v>1848</v>
      </c>
      <c r="H69" s="2602" t="s">
        <v>2495</v>
      </c>
      <c r="I69" s="1498"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1" t="s">
        <v>2291</v>
      </c>
      <c r="G80" s="1498" t="s">
        <v>1848</v>
      </c>
      <c r="H80" s="2602" t="s">
        <v>2495</v>
      </c>
      <c r="I80" s="1498"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47" t="s">
        <v>1758</v>
      </c>
      <c r="B90" s="3747"/>
      <c r="C90" s="3747"/>
      <c r="D90" s="3747"/>
      <c r="E90" s="3747"/>
      <c r="F90" s="3747"/>
      <c r="G90" s="3747"/>
      <c r="H90" s="3747"/>
      <c r="I90" s="3747"/>
      <c r="J90" s="3747"/>
      <c r="K90" s="2605"/>
      <c r="L90" s="2605"/>
      <c r="M90" s="2605"/>
      <c r="N90" s="2605"/>
    </row>
    <row r="91" spans="1:37">
      <c r="A91" s="3748" t="s">
        <v>68</v>
      </c>
      <c r="B91" s="3748" t="s">
        <v>1759</v>
      </c>
      <c r="C91" s="1584" t="s">
        <v>1760</v>
      </c>
      <c r="D91" s="1585"/>
      <c r="E91" s="1585"/>
      <c r="F91" s="1585"/>
      <c r="G91" s="1585"/>
      <c r="H91" s="1585"/>
      <c r="I91" s="1585"/>
      <c r="J91" s="1586"/>
      <c r="K91" s="1574"/>
      <c r="L91" s="1574"/>
      <c r="M91" s="1574"/>
      <c r="N91" s="1574"/>
    </row>
    <row r="92" spans="1:37">
      <c r="A92" s="3748"/>
      <c r="B92" s="3748"/>
      <c r="C92" s="2604" t="s">
        <v>165</v>
      </c>
      <c r="D92" s="2604" t="s">
        <v>166</v>
      </c>
      <c r="E92" s="2604" t="s">
        <v>161</v>
      </c>
      <c r="F92" s="2604" t="s">
        <v>162</v>
      </c>
      <c r="G92" s="2604" t="s">
        <v>163</v>
      </c>
      <c r="H92" s="2604" t="s">
        <v>164</v>
      </c>
      <c r="I92" s="2604" t="s">
        <v>1175</v>
      </c>
      <c r="J92" s="2604" t="s">
        <v>1176</v>
      </c>
      <c r="K92" s="2604" t="s">
        <v>1177</v>
      </c>
      <c r="L92" s="2604" t="s">
        <v>1178</v>
      </c>
      <c r="M92" s="2604" t="s">
        <v>1179</v>
      </c>
      <c r="N92" s="2604" t="s">
        <v>1180</v>
      </c>
    </row>
    <row r="93" spans="1:37">
      <c r="A93" s="3738"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9"/>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9"/>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9"/>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9"/>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9"/>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9"/>
      <c r="B99" s="1587" t="s">
        <v>1762</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40"/>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38" t="s">
        <v>1763</v>
      </c>
      <c r="B101" s="1591" t="s">
        <v>93</v>
      </c>
      <c r="C101" s="1592" t="e">
        <f>$G$3</f>
        <v>#DIV/0!</v>
      </c>
      <c r="D101" s="1592" t="e">
        <f t="shared" ref="D101:N101" si="31">$G$3</f>
        <v>#DIV/0!</v>
      </c>
      <c r="E101" s="1592" t="e">
        <f t="shared" si="31"/>
        <v>#DIV/0!</v>
      </c>
      <c r="F101" s="1592" t="e">
        <f t="shared" si="31"/>
        <v>#DIV/0!</v>
      </c>
      <c r="G101" s="1592" t="e">
        <f t="shared" si="31"/>
        <v>#DIV/0!</v>
      </c>
      <c r="H101" s="1592" t="e">
        <f t="shared" si="31"/>
        <v>#DIV/0!</v>
      </c>
      <c r="I101" s="1592" t="e">
        <f t="shared" si="31"/>
        <v>#DIV/0!</v>
      </c>
      <c r="J101" s="1592" t="e">
        <f t="shared" si="31"/>
        <v>#DIV/0!</v>
      </c>
      <c r="K101" s="1592" t="e">
        <f t="shared" si="31"/>
        <v>#DIV/0!</v>
      </c>
      <c r="L101" s="1592" t="e">
        <f t="shared" si="31"/>
        <v>#DIV/0!</v>
      </c>
      <c r="M101" s="1592" t="e">
        <f t="shared" si="31"/>
        <v>#DIV/0!</v>
      </c>
      <c r="N101" s="1592" t="e">
        <f t="shared" si="31"/>
        <v>#DIV/0!</v>
      </c>
    </row>
    <row r="102" spans="1:14">
      <c r="A102" s="3739"/>
      <c r="B102" s="1587">
        <v>1</v>
      </c>
      <c r="C102" s="1588" t="e">
        <f>1.9362/C101</f>
        <v>#DIV/0!</v>
      </c>
      <c r="D102" s="1588" t="e">
        <f>1.9362/D101</f>
        <v>#DIV/0!</v>
      </c>
      <c r="E102" s="1588" t="e">
        <f>1.8629/E101</f>
        <v>#DIV/0!</v>
      </c>
      <c r="F102" s="1588" t="e">
        <f>1.8629/F101</f>
        <v>#DIV/0!</v>
      </c>
      <c r="G102" s="1588" t="e">
        <f>1.8629/G101</f>
        <v>#DIV/0!</v>
      </c>
      <c r="H102" s="1588" t="e">
        <f>1.8629/H101</f>
        <v>#DIV/0!</v>
      </c>
      <c r="I102" s="1588" t="e">
        <f>1.8629/I101</f>
        <v>#DIV/0!</v>
      </c>
      <c r="J102" s="1588" t="e">
        <f>1.942/J101</f>
        <v>#DIV/0!</v>
      </c>
      <c r="K102" s="1588" t="e">
        <f>1.942/K101</f>
        <v>#DIV/0!</v>
      </c>
      <c r="L102" s="1588" t="e">
        <f>1.942/L101</f>
        <v>#DIV/0!</v>
      </c>
      <c r="M102" s="1588" t="e">
        <f>1.942/M101</f>
        <v>#DIV/0!</v>
      </c>
      <c r="N102" s="1588" t="e">
        <f>1.942/N101</f>
        <v>#DIV/0!</v>
      </c>
    </row>
    <row r="103" spans="1:14">
      <c r="A103" s="3739"/>
      <c r="B103" s="1587">
        <v>2</v>
      </c>
      <c r="C103" s="1588" t="e">
        <f>1.4198/C101</f>
        <v>#DIV/0!</v>
      </c>
      <c r="D103" s="1588" t="e">
        <f>1.4198/D101</f>
        <v>#DIV/0!</v>
      </c>
      <c r="E103" s="1588" t="e">
        <f>1.3372/E101</f>
        <v>#DIV/0!</v>
      </c>
      <c r="F103" s="1588" t="e">
        <f>1.3372/F101</f>
        <v>#DIV/0!</v>
      </c>
      <c r="G103" s="1588" t="e">
        <f>1.3372/G101</f>
        <v>#DIV/0!</v>
      </c>
      <c r="H103" s="1588" t="e">
        <f>1.3372/H101</f>
        <v>#DIV/0!</v>
      </c>
      <c r="I103" s="1588" t="e">
        <f>1.3372/I101</f>
        <v>#DIV/0!</v>
      </c>
      <c r="J103" s="1588" t="e">
        <f>1.2799/J101</f>
        <v>#DIV/0!</v>
      </c>
      <c r="K103" s="1588" t="e">
        <f>1.2799/K101</f>
        <v>#DIV/0!</v>
      </c>
      <c r="L103" s="1588" t="e">
        <f>1.2799/L101</f>
        <v>#DIV/0!</v>
      </c>
      <c r="M103" s="1588" t="e">
        <f>1.2799/M101</f>
        <v>#DIV/0!</v>
      </c>
      <c r="N103" s="1588" t="e">
        <f>1.2799/N101</f>
        <v>#DIV/0!</v>
      </c>
    </row>
    <row r="104" spans="1:14">
      <c r="A104" s="3739"/>
      <c r="B104" s="1587">
        <v>3</v>
      </c>
      <c r="C104" s="1588" t="e">
        <f>1.1594/C101</f>
        <v>#DIV/0!</v>
      </c>
      <c r="D104" s="1588" t="e">
        <f>1.1594/D101</f>
        <v>#DIV/0!</v>
      </c>
      <c r="E104" s="1588" t="e">
        <f>1.0788/E101</f>
        <v>#DIV/0!</v>
      </c>
      <c r="F104" s="1588" t="e">
        <f>1.0788/F101</f>
        <v>#DIV/0!</v>
      </c>
      <c r="G104" s="1588" t="e">
        <f>1.0788/G101</f>
        <v>#DIV/0!</v>
      </c>
      <c r="H104" s="1588" t="e">
        <f>1.0788/H101</f>
        <v>#DIV/0!</v>
      </c>
      <c r="I104" s="1588" t="e">
        <f>1.0788/I101</f>
        <v>#DIV/0!</v>
      </c>
      <c r="J104" s="1588" t="e">
        <f>1.0072/J101</f>
        <v>#DIV/0!</v>
      </c>
      <c r="K104" s="1588" t="e">
        <f>1.0072/K101</f>
        <v>#DIV/0!</v>
      </c>
      <c r="L104" s="1588" t="e">
        <f>1.0072/L101</f>
        <v>#DIV/0!</v>
      </c>
      <c r="M104" s="1588" t="e">
        <f>1.0072/M101</f>
        <v>#DIV/0!</v>
      </c>
      <c r="N104" s="1588" t="e">
        <f>1.0072/N101</f>
        <v>#DIV/0!</v>
      </c>
    </row>
    <row r="105" spans="1:14">
      <c r="A105" s="3739"/>
      <c r="B105" s="1587">
        <v>4</v>
      </c>
      <c r="C105" s="1588" t="e">
        <f>0.9622/C101</f>
        <v>#DIV/0!</v>
      </c>
      <c r="D105" s="1588" t="e">
        <f>0.9622/D101</f>
        <v>#DIV/0!</v>
      </c>
      <c r="E105" s="1588" t="e">
        <f>0.8656/E101</f>
        <v>#DIV/0!</v>
      </c>
      <c r="F105" s="1588" t="e">
        <f>0.8656/F101</f>
        <v>#DIV/0!</v>
      </c>
      <c r="G105" s="1588" t="e">
        <f>0.8656/G101</f>
        <v>#DIV/0!</v>
      </c>
      <c r="H105" s="1588" t="e">
        <f>0.8656/H101</f>
        <v>#DIV/0!</v>
      </c>
      <c r="I105" s="1588" t="e">
        <f>0.8656/I101</f>
        <v>#DIV/0!</v>
      </c>
      <c r="J105" s="1588" t="e">
        <f>0.7525/J101</f>
        <v>#DIV/0!</v>
      </c>
      <c r="K105" s="1588" t="e">
        <f>0.7525/K101</f>
        <v>#DIV/0!</v>
      </c>
      <c r="L105" s="1588" t="e">
        <f>0.7525/L101</f>
        <v>#DIV/0!</v>
      </c>
      <c r="M105" s="1588" t="e">
        <f>0.7525/M101</f>
        <v>#DIV/0!</v>
      </c>
      <c r="N105" s="1588" t="e">
        <f>0.7525/N101</f>
        <v>#DIV/0!</v>
      </c>
    </row>
    <row r="106" spans="1:14">
      <c r="A106" s="3739"/>
      <c r="B106" s="1587">
        <v>5</v>
      </c>
      <c r="C106" s="1588" t="e">
        <f>0.8417/C101</f>
        <v>#DIV/0!</v>
      </c>
      <c r="D106" s="1588" t="e">
        <f>0.8417/D101</f>
        <v>#DIV/0!</v>
      </c>
      <c r="E106" s="1588" t="e">
        <f>0.7371/E101</f>
        <v>#DIV/0!</v>
      </c>
      <c r="F106" s="1588" t="e">
        <f>0.7371/F101</f>
        <v>#DIV/0!</v>
      </c>
      <c r="G106" s="1588" t="e">
        <f>0.7371/G101</f>
        <v>#DIV/0!</v>
      </c>
      <c r="H106" s="1588" t="e">
        <f>0.7371/H101</f>
        <v>#DIV/0!</v>
      </c>
      <c r="I106" s="1588" t="e">
        <f>0.7371/I101</f>
        <v>#DIV/0!</v>
      </c>
      <c r="J106" s="1588" t="e">
        <f>0.5659/J101</f>
        <v>#DIV/0!</v>
      </c>
      <c r="K106" s="1588" t="e">
        <f>0.5659/K101</f>
        <v>#DIV/0!</v>
      </c>
      <c r="L106" s="1588" t="e">
        <f>0.5659/L101</f>
        <v>#DIV/0!</v>
      </c>
      <c r="M106" s="1588" t="e">
        <f>0.5659/M101</f>
        <v>#DIV/0!</v>
      </c>
      <c r="N106" s="1588" t="e">
        <f>0.5659/N101</f>
        <v>#DIV/0!</v>
      </c>
    </row>
    <row r="107" spans="1:14">
      <c r="A107" s="3739"/>
      <c r="B107" s="1587">
        <v>6</v>
      </c>
      <c r="C107" s="1588" t="e">
        <f>0.7608/C101</f>
        <v>#DIV/0!</v>
      </c>
      <c r="D107" s="1588" t="e">
        <f>0.7608/D101</f>
        <v>#DIV/0!</v>
      </c>
      <c r="E107" s="1588" t="e">
        <f>0.6482/E101</f>
        <v>#DIV/0!</v>
      </c>
      <c r="F107" s="1588" t="e">
        <f>0.6482/F101</f>
        <v>#DIV/0!</v>
      </c>
      <c r="G107" s="1588" t="e">
        <f>0.6482/G101</f>
        <v>#DIV/0!</v>
      </c>
      <c r="H107" s="1588" t="e">
        <f>0.6482/H101</f>
        <v>#DIV/0!</v>
      </c>
      <c r="I107" s="1588" t="e">
        <f>0.6482/I101</f>
        <v>#DIV/0!</v>
      </c>
      <c r="J107" s="1588" t="e">
        <f>0.4525/J101</f>
        <v>#DIV/0!</v>
      </c>
      <c r="K107" s="1588" t="e">
        <f>0.4525/K101</f>
        <v>#DIV/0!</v>
      </c>
      <c r="L107" s="1588" t="e">
        <f>0.4525/L101</f>
        <v>#DIV/0!</v>
      </c>
      <c r="M107" s="1588" t="e">
        <f>0.4525/M101</f>
        <v>#DIV/0!</v>
      </c>
      <c r="N107" s="1588" t="e">
        <f>0.4525/N101</f>
        <v>#DIV/0!</v>
      </c>
    </row>
    <row r="108" spans="1:14">
      <c r="A108" s="3739"/>
      <c r="B108" s="3741" t="s">
        <v>1765</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40"/>
      <c r="B109" s="3742"/>
      <c r="C109" s="1590" t="e">
        <f>(-0.163*(C108^2)-0.59*C108+7617)*(10^(-4))/C101</f>
        <v>#DIV/0!</v>
      </c>
      <c r="D109" s="1590" t="e">
        <f>(-0.163*(D108^2)-0.59*D108+7617)*(10^(-4))/D101</f>
        <v>#DIV/0!</v>
      </c>
      <c r="E109" s="1590" t="e">
        <f>(-0.161*(E108^2)-7.509*E108+6533)*(10^(-4))/E101</f>
        <v>#DIV/0!</v>
      </c>
      <c r="F109" s="1590" t="e">
        <f>(-0.161*(F108^2)-7.509*F108+6533)*(10^(-4))/F101</f>
        <v>#DIV/0!</v>
      </c>
      <c r="G109" s="1590" t="e">
        <f>(-0.161*(G108^2)-7.509*G108+6533)*(10^(-4))/G101</f>
        <v>#DIV/0!</v>
      </c>
      <c r="H109" s="1590" t="e">
        <f>(-0.161*(H108^2)-7.509*H108+6533)*(10^(-4))/H101</f>
        <v>#DIV/0!</v>
      </c>
      <c r="I109" s="1590" t="e">
        <f>(-0.161*(I108^2)-7.509*I108+6533)*(10^(-4))/I101</f>
        <v>#DIV/0!</v>
      </c>
      <c r="J109" s="1590" t="e">
        <f>(-0.214*(J108^2)-21.991*J108+4665)*(10^(-4))/J101</f>
        <v>#DIV/0!</v>
      </c>
      <c r="K109" s="1590" t="e">
        <f>(-0.214*(K108^2)-21.991*K108+4665)*(10^(-4))/K101</f>
        <v>#DIV/0!</v>
      </c>
      <c r="L109" s="1590" t="e">
        <f>(-0.214*(L108^2)-21.991*L108+4665)*(10^(-4))/L101</f>
        <v>#DIV/0!</v>
      </c>
      <c r="M109" s="1590" t="e">
        <f>(-0.214*(M108^2)-21.991*M108+4665)*(10^(-4))/M101</f>
        <v>#DIV/0!</v>
      </c>
      <c r="N109" s="1590" t="e">
        <f>(-0.214*(N108^2)-21.991*N108+4665)*(10^(-4))/N101</f>
        <v>#DIV/0!</v>
      </c>
    </row>
    <row r="110" spans="1:14">
      <c r="A110" s="3743" t="s">
        <v>1766</v>
      </c>
      <c r="B110" s="3743"/>
      <c r="C110" s="3743"/>
      <c r="D110" s="3743"/>
      <c r="E110" s="3743"/>
      <c r="F110" s="3743"/>
      <c r="G110" s="3743"/>
      <c r="H110" s="3743"/>
      <c r="I110" s="3743"/>
      <c r="J110" s="3743"/>
      <c r="K110" s="2603"/>
      <c r="L110" s="2603"/>
      <c r="M110" s="2603"/>
      <c r="N110" s="2603"/>
    </row>
    <row r="112" spans="1:14" ht="12.75" thickBot="1"/>
    <row r="113" spans="1:13" ht="25.5" thickBot="1">
      <c r="A113" s="1600" t="s">
        <v>1768</v>
      </c>
      <c r="B113" s="2606" t="e">
        <f>G3</f>
        <v>#DIV/0!</v>
      </c>
      <c r="C113" s="1601" t="s">
        <v>1769</v>
      </c>
      <c r="D113" s="1602" t="e">
        <f>SUMPRODUCT((A115:A118=F113)*(B114:M114=H113)*B115:M118)</f>
        <v>#DIV/0!</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t="e">
        <f>ROUND(0.9335-0.0094*B113,4)</f>
        <v>#DIV/0!</v>
      </c>
      <c r="C115" s="1614" t="e">
        <f>B115</f>
        <v>#DIV/0!</v>
      </c>
      <c r="D115" s="1614" t="e">
        <f>ROUND(0.8331-0.0109*B113,4)</f>
        <v>#DIV/0!</v>
      </c>
      <c r="E115" s="1614" t="e">
        <f>D115</f>
        <v>#DIV/0!</v>
      </c>
      <c r="F115" s="1614" t="e">
        <f>E115</f>
        <v>#DIV/0!</v>
      </c>
      <c r="G115" s="1614" t="e">
        <f>F115</f>
        <v>#DIV/0!</v>
      </c>
      <c r="H115" s="1614" t="e">
        <f>G115</f>
        <v>#DIV/0!</v>
      </c>
      <c r="I115" s="1614" t="e">
        <f>ROUND(0.689-0.0155*B113,4)</f>
        <v>#DIV/0!</v>
      </c>
      <c r="J115" s="1614" t="e">
        <f t="shared" ref="J115:M118" si="33">I115</f>
        <v>#DIV/0!</v>
      </c>
      <c r="K115" s="1614" t="e">
        <f t="shared" si="33"/>
        <v>#DIV/0!</v>
      </c>
      <c r="L115" s="1614" t="e">
        <f t="shared" si="33"/>
        <v>#DIV/0!</v>
      </c>
      <c r="M115" s="1615" t="e">
        <f t="shared" si="33"/>
        <v>#DIV/0!</v>
      </c>
    </row>
    <row r="116" spans="1:13" ht="12.75">
      <c r="A116" s="1613" t="s">
        <v>1771</v>
      </c>
      <c r="B116" s="1614" t="e">
        <f>ROUND(0.949-0.012*B113,4)</f>
        <v>#DIV/0!</v>
      </c>
      <c r="C116" s="1614" t="e">
        <f>B116</f>
        <v>#DIV/0!</v>
      </c>
      <c r="D116" s="1614" t="e">
        <f>ROUND(0.8567-0.013*B113,4)</f>
        <v>#DIV/0!</v>
      </c>
      <c r="E116" s="1614" t="e">
        <f t="shared" ref="E116:H117" si="34">D116</f>
        <v>#DIV/0!</v>
      </c>
      <c r="F116" s="1614" t="e">
        <f t="shared" si="34"/>
        <v>#DIV/0!</v>
      </c>
      <c r="G116" s="1614" t="e">
        <f t="shared" si="34"/>
        <v>#DIV/0!</v>
      </c>
      <c r="H116" s="1614" t="e">
        <f t="shared" si="34"/>
        <v>#DIV/0!</v>
      </c>
      <c r="I116" s="1614" t="e">
        <f>ROUND(0.7694-0.014*B113,4)</f>
        <v>#DIV/0!</v>
      </c>
      <c r="J116" s="1614" t="e">
        <f t="shared" si="33"/>
        <v>#DIV/0!</v>
      </c>
      <c r="K116" s="1614" t="e">
        <f t="shared" si="33"/>
        <v>#DIV/0!</v>
      </c>
      <c r="L116" s="1614" t="e">
        <f t="shared" si="33"/>
        <v>#DIV/0!</v>
      </c>
      <c r="M116" s="1615" t="e">
        <f t="shared" si="33"/>
        <v>#DIV/0!</v>
      </c>
    </row>
    <row r="117" spans="1:13" ht="12.75">
      <c r="A117" s="1616" t="s">
        <v>981</v>
      </c>
      <c r="B117" s="1614" t="e">
        <f>ROUND(0.8808-0.006*B113,4)</f>
        <v>#DIV/0!</v>
      </c>
      <c r="C117" s="1614" t="e">
        <f>B117</f>
        <v>#DIV/0!</v>
      </c>
      <c r="D117" s="1614" t="e">
        <f>ROUND(0.8748-0.008*B113,4)</f>
        <v>#DIV/0!</v>
      </c>
      <c r="E117" s="1614" t="e">
        <f t="shared" si="34"/>
        <v>#DIV/0!</v>
      </c>
      <c r="F117" s="1614" t="e">
        <f t="shared" si="34"/>
        <v>#DIV/0!</v>
      </c>
      <c r="G117" s="1614" t="e">
        <f t="shared" si="34"/>
        <v>#DIV/0!</v>
      </c>
      <c r="H117" s="1614" t="e">
        <f t="shared" si="34"/>
        <v>#DIV/0!</v>
      </c>
      <c r="I117" s="1614" t="e">
        <f>ROUND(0.7412-0.0095*B113,4)</f>
        <v>#DIV/0!</v>
      </c>
      <c r="J117" s="1614" t="e">
        <f t="shared" si="33"/>
        <v>#DIV/0!</v>
      </c>
      <c r="K117" s="1614" t="e">
        <f t="shared" si="33"/>
        <v>#DIV/0!</v>
      </c>
      <c r="L117" s="1614" t="e">
        <f t="shared" si="33"/>
        <v>#DIV/0!</v>
      </c>
      <c r="M117" s="1615" t="e">
        <f t="shared" si="33"/>
        <v>#DIV/0!</v>
      </c>
    </row>
    <row r="118" spans="1:13" ht="13.5" thickBot="1">
      <c r="A118" s="1123" t="s">
        <v>1772</v>
      </c>
      <c r="B118" s="1617" t="e">
        <f>ROUND(0.7275-0.01*B113,4)</f>
        <v>#DIV/0!</v>
      </c>
      <c r="C118" s="1617" t="e">
        <f>B118</f>
        <v>#DIV/0!</v>
      </c>
      <c r="D118" s="1617" t="e">
        <f>ROUND(0.7043-0.012*B113,4)</f>
        <v>#DIV/0!</v>
      </c>
      <c r="E118" s="1617" t="e">
        <f>D118</f>
        <v>#DIV/0!</v>
      </c>
      <c r="F118" s="1617" t="e">
        <f>E118</f>
        <v>#DIV/0!</v>
      </c>
      <c r="G118" s="1617" t="e">
        <f>ROUND(0.6299-0.0122*B113,4)</f>
        <v>#DIV/0!</v>
      </c>
      <c r="H118" s="1617" t="e">
        <f>G118</f>
        <v>#DIV/0!</v>
      </c>
      <c r="I118" s="1617" t="e">
        <f>ROUND(0.5667-0.0136*B113,4)</f>
        <v>#DIV/0!</v>
      </c>
      <c r="J118" s="1617" t="e">
        <f t="shared" si="33"/>
        <v>#DIV/0!</v>
      </c>
      <c r="K118" s="1617" t="e">
        <f t="shared" si="33"/>
        <v>#DIV/0!</v>
      </c>
      <c r="L118" s="1617" t="e">
        <f t="shared" si="33"/>
        <v>#DIV/0!</v>
      </c>
      <c r="M118" s="161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8" t="s">
        <v>1867</v>
      </c>
      <c r="D17" s="1568"/>
      <c r="E17" s="1496" t="s">
        <v>1571</v>
      </c>
      <c r="F17" s="1569"/>
      <c r="G17" s="1569"/>
    </row>
    <row r="18" spans="1:9" s="1575" customFormat="1" ht="19.5" customHeight="1">
      <c r="A18" s="3748" t="s">
        <v>1195</v>
      </c>
      <c r="B18" s="1570" t="s">
        <v>1572</v>
      </c>
      <c r="C18" s="1571" t="s">
        <v>1573</v>
      </c>
      <c r="D18" s="1572"/>
      <c r="E18" s="1570">
        <v>1</v>
      </c>
      <c r="F18" s="1573" t="s">
        <v>1574</v>
      </c>
      <c r="G18" s="1574"/>
      <c r="H18" s="1566"/>
      <c r="I18" s="1566"/>
    </row>
    <row r="19" spans="1:9" s="1575" customFormat="1" ht="19.5" customHeight="1">
      <c r="A19" s="3748"/>
      <c r="B19" s="3748" t="s">
        <v>1575</v>
      </c>
      <c r="C19" s="1571" t="s">
        <v>1576</v>
      </c>
      <c r="D19" s="1572"/>
      <c r="E19" s="1570">
        <v>0.9</v>
      </c>
      <c r="F19" s="1573" t="s">
        <v>1577</v>
      </c>
      <c r="G19" s="1574"/>
      <c r="H19" s="1566"/>
      <c r="I19" s="1566"/>
    </row>
    <row r="20" spans="1:9" s="1575" customFormat="1" ht="19.5" customHeight="1">
      <c r="A20" s="3748"/>
      <c r="B20" s="3748"/>
      <c r="C20" s="1571" t="s">
        <v>1578</v>
      </c>
      <c r="D20" s="1572"/>
      <c r="E20" s="1570">
        <v>1.1000000000000001</v>
      </c>
      <c r="F20" s="1573" t="s">
        <v>1579</v>
      </c>
      <c r="G20" s="1574"/>
      <c r="H20" s="1566"/>
      <c r="I20" s="1566"/>
    </row>
    <row r="21" spans="1:9" s="1575" customFormat="1" ht="19.5" customHeight="1">
      <c r="A21" s="3748"/>
      <c r="B21" s="3748"/>
      <c r="C21" s="1571" t="s">
        <v>1580</v>
      </c>
      <c r="D21" s="1572"/>
      <c r="E21" s="1570">
        <v>0.8</v>
      </c>
      <c r="F21" s="1573" t="s">
        <v>1581</v>
      </c>
      <c r="G21" s="1574"/>
      <c r="H21" s="1566"/>
      <c r="I21" s="1566"/>
    </row>
    <row r="22" spans="1:9" s="1575" customFormat="1" ht="19.5" customHeight="1">
      <c r="A22" s="3748"/>
      <c r="B22" s="3748"/>
      <c r="C22" s="1571" t="s">
        <v>1582</v>
      </c>
      <c r="D22" s="1572"/>
      <c r="E22" s="1570">
        <v>0.5</v>
      </c>
      <c r="F22" s="1573"/>
      <c r="G22" s="1574"/>
      <c r="H22" s="1566"/>
      <c r="I22" s="1566"/>
    </row>
    <row r="23" spans="1:9" s="1575" customFormat="1" ht="19.5" customHeight="1">
      <c r="A23" s="3748" t="s">
        <v>1196</v>
      </c>
      <c r="B23" s="1570" t="s">
        <v>1572</v>
      </c>
      <c r="C23" s="1571" t="s">
        <v>1583</v>
      </c>
      <c r="D23" s="1572"/>
      <c r="E23" s="1570">
        <v>1</v>
      </c>
      <c r="F23" s="1573" t="s">
        <v>1584</v>
      </c>
      <c r="G23" s="1574"/>
      <c r="H23" s="1566"/>
      <c r="I23" s="1566"/>
    </row>
    <row r="24" spans="1:9" s="1575" customFormat="1" ht="19.5" customHeight="1">
      <c r="A24" s="3748"/>
      <c r="B24" s="3748" t="s">
        <v>1575</v>
      </c>
      <c r="C24" s="1571" t="s">
        <v>1585</v>
      </c>
      <c r="D24" s="1572"/>
      <c r="E24" s="1570">
        <v>0.5</v>
      </c>
      <c r="F24" s="1573"/>
      <c r="G24" s="1574"/>
      <c r="H24" s="1566"/>
      <c r="I24" s="1566"/>
    </row>
    <row r="25" spans="1:9" s="1575" customFormat="1" ht="19.5" customHeight="1">
      <c r="A25" s="3748"/>
      <c r="B25" s="3748"/>
      <c r="C25" s="1571" t="s">
        <v>1586</v>
      </c>
      <c r="D25" s="1572"/>
      <c r="E25" s="1570">
        <v>1.1000000000000001</v>
      </c>
      <c r="F25" s="1573"/>
      <c r="G25" s="1574"/>
      <c r="H25" s="1566"/>
      <c r="I25" s="1566"/>
    </row>
    <row r="26" spans="1:9" s="1575" customFormat="1" ht="19.5" customHeight="1">
      <c r="A26" s="3748"/>
      <c r="B26" s="3748"/>
      <c r="C26" s="1571" t="s">
        <v>1587</v>
      </c>
      <c r="D26" s="1572"/>
      <c r="E26" s="1570">
        <v>1.1000000000000001</v>
      </c>
      <c r="F26" s="1573"/>
      <c r="G26" s="1574"/>
      <c r="H26" s="1566"/>
      <c r="I26" s="1566"/>
    </row>
    <row r="27" spans="1:9" s="1575" customFormat="1" ht="19.5" customHeight="1">
      <c r="A27" s="3748"/>
      <c r="B27" s="3748"/>
      <c r="C27" s="1571" t="s">
        <v>1588</v>
      </c>
      <c r="D27" s="1572"/>
      <c r="E27" s="1570">
        <v>0.9</v>
      </c>
      <c r="F27" s="1573" t="s">
        <v>1589</v>
      </c>
      <c r="G27" s="1574"/>
      <c r="H27" s="1566"/>
      <c r="I27" s="1566"/>
    </row>
    <row r="28" spans="1:9" s="1575" customFormat="1" ht="19.5" customHeight="1">
      <c r="A28" s="3748"/>
      <c r="B28" s="3748"/>
      <c r="C28" s="1571" t="s">
        <v>1590</v>
      </c>
      <c r="D28" s="1572"/>
      <c r="E28" s="1570">
        <v>0.9</v>
      </c>
      <c r="F28" s="1573" t="s">
        <v>1591</v>
      </c>
      <c r="G28" s="1574"/>
      <c r="H28" s="1566"/>
      <c r="I28" s="1566"/>
    </row>
    <row r="29" spans="1:9" s="1575" customFormat="1" ht="19.5" customHeight="1">
      <c r="A29" s="3748"/>
      <c r="B29" s="3748"/>
      <c r="C29" s="1571" t="s">
        <v>1592</v>
      </c>
      <c r="D29" s="1572"/>
      <c r="E29" s="1570">
        <v>0.9</v>
      </c>
      <c r="F29" s="1573" t="s">
        <v>1593</v>
      </c>
      <c r="G29" s="1574"/>
      <c r="H29" s="1566"/>
      <c r="I29" s="1566"/>
    </row>
    <row r="30" spans="1:9" s="1575" customFormat="1" ht="19.5" customHeight="1">
      <c r="A30" s="3748"/>
      <c r="B30" s="3748"/>
      <c r="C30" s="1571" t="s">
        <v>1594</v>
      </c>
      <c r="D30" s="1572"/>
      <c r="E30" s="1570">
        <v>0.9</v>
      </c>
      <c r="F30" s="1573" t="s">
        <v>1595</v>
      </c>
      <c r="G30" s="1574"/>
      <c r="H30" s="1566"/>
      <c r="I30" s="1566"/>
    </row>
    <row r="31" spans="1:9" s="1575" customFormat="1" ht="19.5" customHeight="1">
      <c r="A31" s="3748"/>
      <c r="B31" s="3748"/>
      <c r="C31" s="1571" t="s">
        <v>1596</v>
      </c>
      <c r="D31" s="1572"/>
      <c r="E31" s="1570">
        <v>0.8</v>
      </c>
      <c r="F31" s="1573" t="s">
        <v>1597</v>
      </c>
      <c r="G31" s="1574"/>
      <c r="H31" s="1566"/>
      <c r="I31" s="1566"/>
    </row>
    <row r="32" spans="1:9" s="1575" customFormat="1" ht="19.5" customHeight="1">
      <c r="A32" s="3748"/>
      <c r="B32" s="3748"/>
      <c r="C32" s="1571" t="s">
        <v>1598</v>
      </c>
      <c r="D32" s="1572"/>
      <c r="E32" s="1570">
        <v>0.8</v>
      </c>
      <c r="F32" s="1573" t="s">
        <v>1599</v>
      </c>
      <c r="G32" s="1574"/>
      <c r="H32" s="1566"/>
      <c r="I32" s="1566"/>
    </row>
    <row r="33" spans="1:9" s="1575" customFormat="1" ht="19.5" customHeight="1">
      <c r="A33" s="3748" t="s">
        <v>1197</v>
      </c>
      <c r="B33" s="1570" t="s">
        <v>1572</v>
      </c>
      <c r="C33" s="1571" t="s">
        <v>1600</v>
      </c>
      <c r="D33" s="1572"/>
      <c r="E33" s="1570">
        <v>1</v>
      </c>
      <c r="F33" s="1573" t="s">
        <v>1601</v>
      </c>
      <c r="G33" s="1574"/>
      <c r="H33" s="1566"/>
      <c r="I33" s="1566"/>
    </row>
    <row r="34" spans="1:9" s="1575" customFormat="1" ht="19.5" customHeight="1">
      <c r="A34" s="3748"/>
      <c r="B34" s="1570" t="s">
        <v>1575</v>
      </c>
      <c r="C34" s="1571" t="s">
        <v>1602</v>
      </c>
      <c r="D34" s="1572"/>
      <c r="E34" s="1570">
        <v>1.5</v>
      </c>
      <c r="F34" s="1573" t="s">
        <v>1603</v>
      </c>
      <c r="G34" s="1574"/>
      <c r="H34" s="1566"/>
      <c r="I34" s="1566"/>
    </row>
    <row r="35" spans="1:9" s="1575" customFormat="1" ht="19.5" customHeight="1">
      <c r="A35" s="3748" t="s">
        <v>1198</v>
      </c>
      <c r="B35" s="1570" t="s">
        <v>1572</v>
      </c>
      <c r="C35" s="1571" t="s">
        <v>1604</v>
      </c>
      <c r="D35" s="1572"/>
      <c r="E35" s="1570">
        <v>1</v>
      </c>
      <c r="F35" s="1573" t="s">
        <v>1605</v>
      </c>
      <c r="G35" s="1574"/>
      <c r="H35" s="1566"/>
      <c r="I35" s="1566"/>
    </row>
    <row r="36" spans="1:9" s="1575" customFormat="1" ht="19.5" customHeight="1">
      <c r="A36" s="3748"/>
      <c r="B36" s="3748" t="s">
        <v>1575</v>
      </c>
      <c r="C36" s="1571" t="s">
        <v>1606</v>
      </c>
      <c r="D36" s="1572"/>
      <c r="E36" s="1570">
        <v>1</v>
      </c>
      <c r="F36" s="1573" t="s">
        <v>1607</v>
      </c>
      <c r="G36" s="1574"/>
      <c r="H36" s="1566"/>
      <c r="I36" s="1566"/>
    </row>
    <row r="37" spans="1:9" s="1575" customFormat="1" ht="19.5" customHeight="1">
      <c r="A37" s="3748"/>
      <c r="B37" s="3748"/>
      <c r="C37" s="1571" t="s">
        <v>1608</v>
      </c>
      <c r="D37" s="1572"/>
      <c r="E37" s="1570">
        <v>1.5</v>
      </c>
      <c r="F37" s="1573" t="s">
        <v>1609</v>
      </c>
      <c r="G37" s="1574"/>
      <c r="H37" s="1566"/>
      <c r="I37" s="1566"/>
    </row>
    <row r="38" spans="1:9" s="1575" customFormat="1" ht="19.5" customHeight="1">
      <c r="A38" s="3748"/>
      <c r="B38" s="3748"/>
      <c r="C38" s="1571" t="s">
        <v>1610</v>
      </c>
      <c r="D38" s="1572"/>
      <c r="E38" s="1570">
        <v>1</v>
      </c>
      <c r="F38" s="1573" t="s">
        <v>1611</v>
      </c>
      <c r="G38" s="1574"/>
      <c r="H38" s="1566"/>
      <c r="I38" s="1566"/>
    </row>
    <row r="39" spans="1:9" s="1575" customFormat="1" ht="19.5" customHeight="1">
      <c r="A39" s="3748"/>
      <c r="B39" s="3748"/>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5"/>
      <c r="B60" s="1765"/>
      <c r="C60" s="1765" t="s">
        <v>1757</v>
      </c>
      <c r="D60" s="1765"/>
      <c r="E60" s="1583" t="s">
        <v>23</v>
      </c>
      <c r="F60" s="1765" t="s">
        <v>23</v>
      </c>
    </row>
    <row r="61" spans="1:8" s="1566" customFormat="1" ht="24">
      <c r="A61" s="1570">
        <v>1</v>
      </c>
      <c r="B61" s="3748" t="s">
        <v>1626</v>
      </c>
      <c r="C61" s="1496" t="s">
        <v>1627</v>
      </c>
      <c r="D61" s="1496" t="s">
        <v>1628</v>
      </c>
      <c r="E61" s="1583">
        <v>0.5</v>
      </c>
      <c r="F61" s="1570">
        <v>80</v>
      </c>
    </row>
    <row r="62" spans="1:8" s="1566" customFormat="1" ht="24">
      <c r="A62" s="1570">
        <v>2</v>
      </c>
      <c r="B62" s="3748"/>
      <c r="C62" s="1496" t="s">
        <v>1629</v>
      </c>
      <c r="D62" s="1496" t="s">
        <v>1630</v>
      </c>
      <c r="E62" s="1583">
        <v>0.5</v>
      </c>
      <c r="F62" s="1570">
        <v>80</v>
      </c>
    </row>
    <row r="63" spans="1:8" s="1566" customFormat="1" ht="36">
      <c r="A63" s="1570">
        <v>3</v>
      </c>
      <c r="B63" s="3748"/>
      <c r="C63" s="1496" t="s">
        <v>1631</v>
      </c>
      <c r="D63" s="1496" t="s">
        <v>1632</v>
      </c>
      <c r="E63" s="1583">
        <v>0.5</v>
      </c>
      <c r="F63" s="1570">
        <v>80</v>
      </c>
    </row>
    <row r="64" spans="1:8" s="1566" customFormat="1" ht="36">
      <c r="A64" s="1570">
        <v>4</v>
      </c>
      <c r="B64" s="3748"/>
      <c r="C64" s="1496" t="s">
        <v>1633</v>
      </c>
      <c r="D64" s="1496" t="s">
        <v>1634</v>
      </c>
      <c r="E64" s="1583">
        <v>0.4</v>
      </c>
      <c r="F64" s="1570">
        <v>60</v>
      </c>
    </row>
    <row r="65" spans="1:6" s="1566" customFormat="1" ht="36">
      <c r="A65" s="1570">
        <v>5</v>
      </c>
      <c r="B65" s="3748"/>
      <c r="C65" s="1496" t="s">
        <v>1635</v>
      </c>
      <c r="D65" s="1496" t="s">
        <v>1636</v>
      </c>
      <c r="E65" s="1583">
        <v>0.2</v>
      </c>
      <c r="F65" s="1570">
        <v>30</v>
      </c>
    </row>
    <row r="66" spans="1:6" s="1566" customFormat="1" ht="36">
      <c r="A66" s="1570">
        <v>6</v>
      </c>
      <c r="B66" s="3748"/>
      <c r="C66" s="1496" t="s">
        <v>1637</v>
      </c>
      <c r="D66" s="1496" t="s">
        <v>1638</v>
      </c>
      <c r="E66" s="1583">
        <v>0.3</v>
      </c>
      <c r="F66" s="1570">
        <v>50</v>
      </c>
    </row>
    <row r="67" spans="1:6" s="1566" customFormat="1" ht="36">
      <c r="A67" s="1570">
        <v>7</v>
      </c>
      <c r="B67" s="3748"/>
      <c r="C67" s="1496" t="s">
        <v>1639</v>
      </c>
      <c r="D67" s="1496" t="s">
        <v>1640</v>
      </c>
      <c r="E67" s="1583">
        <v>0.2</v>
      </c>
      <c r="F67" s="1570">
        <v>30</v>
      </c>
    </row>
    <row r="68" spans="1:6" s="1566" customFormat="1" ht="36">
      <c r="A68" s="1570">
        <v>8</v>
      </c>
      <c r="B68" s="3748"/>
      <c r="C68" s="1496" t="s">
        <v>1641</v>
      </c>
      <c r="D68" s="1496" t="s">
        <v>1642</v>
      </c>
      <c r="E68" s="1583">
        <v>0.2</v>
      </c>
      <c r="F68" s="1570">
        <v>30</v>
      </c>
    </row>
    <row r="69" spans="1:6" s="1566" customFormat="1" ht="36">
      <c r="A69" s="1570">
        <v>9</v>
      </c>
      <c r="B69" s="3748"/>
      <c r="C69" s="1496" t="s">
        <v>1643</v>
      </c>
      <c r="D69" s="1496" t="s">
        <v>1644</v>
      </c>
      <c r="E69" s="1583">
        <v>0.2</v>
      </c>
      <c r="F69" s="1570">
        <v>30</v>
      </c>
    </row>
    <row r="70" spans="1:6" s="1566" customFormat="1" ht="48">
      <c r="A70" s="1570">
        <v>10</v>
      </c>
      <c r="B70" s="3748"/>
      <c r="C70" s="1496" t="s">
        <v>1645</v>
      </c>
      <c r="D70" s="1496" t="s">
        <v>1646</v>
      </c>
      <c r="E70" s="1583">
        <v>0.2</v>
      </c>
      <c r="F70" s="1570">
        <v>30</v>
      </c>
    </row>
    <row r="71" spans="1:6" s="1566" customFormat="1" ht="48">
      <c r="A71" s="1570">
        <v>11</v>
      </c>
      <c r="B71" s="3748"/>
      <c r="C71" s="1496" t="s">
        <v>1647</v>
      </c>
      <c r="D71" s="1496" t="s">
        <v>1648</v>
      </c>
      <c r="E71" s="1583">
        <v>0.2</v>
      </c>
      <c r="F71" s="1570">
        <v>30</v>
      </c>
    </row>
    <row r="72" spans="1:6" s="1566" customFormat="1" ht="36">
      <c r="A72" s="1570">
        <v>12</v>
      </c>
      <c r="B72" s="3748"/>
      <c r="C72" s="1496" t="s">
        <v>1649</v>
      </c>
      <c r="D72" s="1496" t="s">
        <v>1650</v>
      </c>
      <c r="E72" s="1583">
        <v>0.5</v>
      </c>
      <c r="F72" s="1570">
        <v>80</v>
      </c>
    </row>
    <row r="73" spans="1:6" s="1566" customFormat="1" ht="24">
      <c r="A73" s="1570">
        <v>13</v>
      </c>
      <c r="B73" s="3748"/>
      <c r="C73" s="1496" t="s">
        <v>1651</v>
      </c>
      <c r="D73" s="1496" t="s">
        <v>1652</v>
      </c>
      <c r="E73" s="1583">
        <v>0.4</v>
      </c>
      <c r="F73" s="1570">
        <v>60</v>
      </c>
    </row>
    <row r="74" spans="1:6" s="1566" customFormat="1" ht="24">
      <c r="A74" s="1570">
        <v>14</v>
      </c>
      <c r="B74" s="3748"/>
      <c r="C74" s="1496" t="s">
        <v>1653</v>
      </c>
      <c r="D74" s="1496" t="s">
        <v>1654</v>
      </c>
      <c r="E74" s="1583">
        <v>0.2</v>
      </c>
      <c r="F74" s="1570">
        <v>30</v>
      </c>
    </row>
    <row r="75" spans="1:6" s="1566" customFormat="1" ht="24">
      <c r="A75" s="1570">
        <v>15</v>
      </c>
      <c r="B75" s="3748"/>
      <c r="C75" s="1496" t="s">
        <v>1655</v>
      </c>
      <c r="D75" s="1496" t="s">
        <v>1656</v>
      </c>
      <c r="E75" s="1583">
        <v>0.2</v>
      </c>
      <c r="F75" s="1570">
        <v>30</v>
      </c>
    </row>
    <row r="76" spans="1:6" s="1566" customFormat="1" ht="24">
      <c r="A76" s="1570">
        <v>16</v>
      </c>
      <c r="B76" s="3748" t="s">
        <v>1657</v>
      </c>
      <c r="C76" s="1496" t="s">
        <v>1658</v>
      </c>
      <c r="D76" s="1496" t="s">
        <v>1659</v>
      </c>
      <c r="E76" s="1583">
        <v>0.5</v>
      </c>
      <c r="F76" s="1570">
        <v>80</v>
      </c>
    </row>
    <row r="77" spans="1:6" s="1566" customFormat="1" ht="24">
      <c r="A77" s="1570">
        <v>17</v>
      </c>
      <c r="B77" s="3748"/>
      <c r="C77" s="1496" t="s">
        <v>1660</v>
      </c>
      <c r="D77" s="1496" t="s">
        <v>1661</v>
      </c>
      <c r="E77" s="1583">
        <v>0.5</v>
      </c>
      <c r="F77" s="1570">
        <v>80</v>
      </c>
    </row>
    <row r="78" spans="1:6" s="1566" customFormat="1" ht="24">
      <c r="A78" s="1570">
        <v>18</v>
      </c>
      <c r="B78" s="3748"/>
      <c r="C78" s="1496" t="s">
        <v>1662</v>
      </c>
      <c r="D78" s="1496" t="s">
        <v>1663</v>
      </c>
      <c r="E78" s="1583">
        <v>0.2</v>
      </c>
      <c r="F78" s="1570">
        <v>30</v>
      </c>
    </row>
    <row r="79" spans="1:6" s="1566" customFormat="1" ht="24">
      <c r="A79" s="1570">
        <v>19</v>
      </c>
      <c r="B79" s="3748"/>
      <c r="C79" s="1496" t="s">
        <v>1664</v>
      </c>
      <c r="D79" s="1496" t="s">
        <v>1665</v>
      </c>
      <c r="E79" s="1583">
        <v>0.5</v>
      </c>
      <c r="F79" s="1570">
        <v>80</v>
      </c>
    </row>
    <row r="80" spans="1:6" s="1566" customFormat="1" ht="36">
      <c r="A80" s="1570">
        <v>20</v>
      </c>
      <c r="B80" s="3748"/>
      <c r="C80" s="1496" t="s">
        <v>1666</v>
      </c>
      <c r="D80" s="1496" t="s">
        <v>1667</v>
      </c>
      <c r="E80" s="1583">
        <v>0.2</v>
      </c>
      <c r="F80" s="1570">
        <v>30</v>
      </c>
    </row>
    <row r="81" spans="1:6" s="1566" customFormat="1" ht="36">
      <c r="A81" s="1570">
        <v>21</v>
      </c>
      <c r="B81" s="3748"/>
      <c r="C81" s="1496" t="s">
        <v>1668</v>
      </c>
      <c r="D81" s="1496" t="s">
        <v>1669</v>
      </c>
      <c r="E81" s="1583">
        <v>0.2</v>
      </c>
      <c r="F81" s="1570">
        <v>30</v>
      </c>
    </row>
    <row r="82" spans="1:6" s="1566" customFormat="1" ht="48">
      <c r="A82" s="1570">
        <v>22</v>
      </c>
      <c r="B82" s="3748"/>
      <c r="C82" s="1496" t="s">
        <v>1670</v>
      </c>
      <c r="D82" s="1496" t="s">
        <v>1671</v>
      </c>
      <c r="E82" s="1583">
        <v>0.2</v>
      </c>
      <c r="F82" s="1570">
        <v>30</v>
      </c>
    </row>
    <row r="83" spans="1:6" s="1566" customFormat="1" ht="48">
      <c r="A83" s="1570">
        <v>23</v>
      </c>
      <c r="B83" s="3748"/>
      <c r="C83" s="1496" t="s">
        <v>1672</v>
      </c>
      <c r="D83" s="1496" t="s">
        <v>1673</v>
      </c>
      <c r="E83" s="1583">
        <v>0.2</v>
      </c>
      <c r="F83" s="1570">
        <v>30</v>
      </c>
    </row>
    <row r="84" spans="1:6" s="1566" customFormat="1" ht="36">
      <c r="A84" s="1570">
        <v>24</v>
      </c>
      <c r="B84" s="3748"/>
      <c r="C84" s="1496" t="s">
        <v>1674</v>
      </c>
      <c r="D84" s="1496" t="s">
        <v>1675</v>
      </c>
      <c r="E84" s="1583">
        <v>0.2</v>
      </c>
      <c r="F84" s="1570">
        <v>30</v>
      </c>
    </row>
    <row r="85" spans="1:6" s="1566" customFormat="1" ht="36">
      <c r="A85" s="1570">
        <v>25</v>
      </c>
      <c r="B85" s="3748"/>
      <c r="C85" s="1496" t="s">
        <v>1676</v>
      </c>
      <c r="D85" s="1496" t="s">
        <v>1677</v>
      </c>
      <c r="E85" s="1583">
        <v>0.5</v>
      </c>
      <c r="F85" s="1570">
        <v>80</v>
      </c>
    </row>
    <row r="86" spans="1:6" s="1566" customFormat="1" ht="36">
      <c r="A86" s="1570">
        <v>26</v>
      </c>
      <c r="B86" s="3748"/>
      <c r="C86" s="1496" t="s">
        <v>1678</v>
      </c>
      <c r="D86" s="1496" t="s">
        <v>1679</v>
      </c>
      <c r="E86" s="1583">
        <v>0.2</v>
      </c>
      <c r="F86" s="1570">
        <v>30</v>
      </c>
    </row>
    <row r="87" spans="1:6" s="1566" customFormat="1" ht="36">
      <c r="A87" s="1570">
        <v>27</v>
      </c>
      <c r="B87" s="3748"/>
      <c r="C87" s="1496" t="s">
        <v>1680</v>
      </c>
      <c r="D87" s="1496" t="s">
        <v>1681</v>
      </c>
      <c r="E87" s="1583">
        <v>0.2</v>
      </c>
      <c r="F87" s="1570">
        <v>30</v>
      </c>
    </row>
    <row r="88" spans="1:6" s="1566" customFormat="1" ht="36">
      <c r="A88" s="1570">
        <v>28</v>
      </c>
      <c r="B88" s="3748"/>
      <c r="C88" s="1496" t="s">
        <v>1682</v>
      </c>
      <c r="D88" s="1496" t="s">
        <v>1683</v>
      </c>
      <c r="E88" s="1583">
        <v>0.2</v>
      </c>
      <c r="F88" s="1570">
        <v>30</v>
      </c>
    </row>
    <row r="89" spans="1:6" s="1566" customFormat="1" ht="24">
      <c r="A89" s="1570">
        <v>29</v>
      </c>
      <c r="B89" s="3748"/>
      <c r="C89" s="1496" t="s">
        <v>1684</v>
      </c>
      <c r="D89" s="1496" t="s">
        <v>1685</v>
      </c>
      <c r="E89" s="1583">
        <v>0.2</v>
      </c>
      <c r="F89" s="1570">
        <v>30</v>
      </c>
    </row>
    <row r="90" spans="1:6" s="1566" customFormat="1" ht="24">
      <c r="A90" s="1570">
        <v>30</v>
      </c>
      <c r="B90" s="3748"/>
      <c r="C90" s="1496" t="s">
        <v>1686</v>
      </c>
      <c r="D90" s="1496" t="s">
        <v>1687</v>
      </c>
      <c r="E90" s="1583">
        <v>0.2</v>
      </c>
      <c r="F90" s="1570">
        <v>30</v>
      </c>
    </row>
    <row r="91" spans="1:6" s="1566" customFormat="1" ht="36">
      <c r="A91" s="1570">
        <v>31</v>
      </c>
      <c r="B91" s="3748"/>
      <c r="C91" s="1496" t="s">
        <v>1688</v>
      </c>
      <c r="D91" s="1496" t="s">
        <v>1689</v>
      </c>
      <c r="E91" s="1583">
        <v>0.2</v>
      </c>
      <c r="F91" s="1570">
        <v>30</v>
      </c>
    </row>
    <row r="92" spans="1:6" s="1566" customFormat="1" ht="24">
      <c r="A92" s="1570">
        <v>32</v>
      </c>
      <c r="B92" s="3748" t="s">
        <v>1690</v>
      </c>
      <c r="C92" s="1570" t="s">
        <v>1691</v>
      </c>
      <c r="D92" s="1496" t="s">
        <v>1692</v>
      </c>
      <c r="E92" s="1583">
        <v>0.2</v>
      </c>
      <c r="F92" s="1570">
        <v>30</v>
      </c>
    </row>
    <row r="93" spans="1:6" s="1566" customFormat="1" ht="36">
      <c r="A93" s="1570">
        <v>33</v>
      </c>
      <c r="B93" s="3748"/>
      <c r="C93" s="1570" t="s">
        <v>1693</v>
      </c>
      <c r="D93" s="1496" t="s">
        <v>1694</v>
      </c>
      <c r="E93" s="1583">
        <v>0.2</v>
      </c>
      <c r="F93" s="1570">
        <v>30</v>
      </c>
    </row>
    <row r="94" spans="1:6" s="1566" customFormat="1" ht="48">
      <c r="A94" s="1570">
        <v>34</v>
      </c>
      <c r="B94" s="3748"/>
      <c r="C94" s="1570" t="s">
        <v>1695</v>
      </c>
      <c r="D94" s="1496" t="s">
        <v>1696</v>
      </c>
      <c r="E94" s="1583">
        <v>0.2</v>
      </c>
      <c r="F94" s="1570">
        <v>30</v>
      </c>
    </row>
    <row r="95" spans="1:6" s="1566" customFormat="1" ht="36">
      <c r="A95" s="1570">
        <v>35</v>
      </c>
      <c r="B95" s="3748"/>
      <c r="C95" s="1570" t="s">
        <v>1697</v>
      </c>
      <c r="D95" s="1496" t="s">
        <v>1698</v>
      </c>
      <c r="E95" s="1583">
        <v>0.2</v>
      </c>
      <c r="F95" s="1570">
        <v>30</v>
      </c>
    </row>
    <row r="96" spans="1:6" s="1566" customFormat="1" ht="48">
      <c r="A96" s="1570">
        <v>36</v>
      </c>
      <c r="B96" s="3748"/>
      <c r="C96" s="1496" t="s">
        <v>1699</v>
      </c>
      <c r="D96" s="1496" t="s">
        <v>1700</v>
      </c>
      <c r="E96" s="1583">
        <v>0.2</v>
      </c>
      <c r="F96" s="1570">
        <v>30</v>
      </c>
    </row>
    <row r="97" spans="1:6" s="1566" customFormat="1" ht="36">
      <c r="A97" s="1570">
        <v>37</v>
      </c>
      <c r="B97" s="3748"/>
      <c r="C97" s="1570" t="s">
        <v>1701</v>
      </c>
      <c r="D97" s="1496" t="s">
        <v>1702</v>
      </c>
      <c r="E97" s="1583">
        <v>0.2</v>
      </c>
      <c r="F97" s="1570">
        <v>30</v>
      </c>
    </row>
    <row r="98" spans="1:6" s="1566" customFormat="1" ht="36">
      <c r="A98" s="1570">
        <v>38</v>
      </c>
      <c r="B98" s="3748"/>
      <c r="C98" s="1570" t="s">
        <v>1703</v>
      </c>
      <c r="D98" s="1496" t="s">
        <v>1704</v>
      </c>
      <c r="E98" s="1583">
        <v>0.2</v>
      </c>
      <c r="F98" s="1570">
        <v>30</v>
      </c>
    </row>
    <row r="99" spans="1:6" s="1566" customFormat="1" ht="36">
      <c r="A99" s="1570">
        <v>39</v>
      </c>
      <c r="B99" s="3748" t="s">
        <v>1705</v>
      </c>
      <c r="C99" s="1570" t="s">
        <v>1706</v>
      </c>
      <c r="D99" s="1496" t="s">
        <v>1707</v>
      </c>
      <c r="E99" s="1583">
        <v>0.3</v>
      </c>
      <c r="F99" s="1570">
        <v>50</v>
      </c>
    </row>
    <row r="100" spans="1:6" s="1566" customFormat="1" ht="24">
      <c r="A100" s="1570">
        <v>40</v>
      </c>
      <c r="B100" s="3748"/>
      <c r="C100" s="1570" t="s">
        <v>1708</v>
      </c>
      <c r="D100" s="1496" t="s">
        <v>1709</v>
      </c>
      <c r="E100" s="1583">
        <v>0.2</v>
      </c>
      <c r="F100" s="1570">
        <v>30</v>
      </c>
    </row>
    <row r="101" spans="1:6" s="1566" customFormat="1" ht="36">
      <c r="A101" s="1570">
        <v>41</v>
      </c>
      <c r="B101" s="3748"/>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748" t="s">
        <v>1720</v>
      </c>
      <c r="C105" s="1570" t="s">
        <v>1721</v>
      </c>
      <c r="D105" s="1496" t="s">
        <v>1722</v>
      </c>
      <c r="E105" s="1583">
        <v>0.2</v>
      </c>
      <c r="F105" s="1570">
        <v>30</v>
      </c>
    </row>
    <row r="106" spans="1:6" s="1566" customFormat="1" ht="36">
      <c r="A106" s="1570">
        <v>46</v>
      </c>
      <c r="B106" s="3748"/>
      <c r="C106" s="1570" t="s">
        <v>1723</v>
      </c>
      <c r="D106" s="1496" t="s">
        <v>1724</v>
      </c>
      <c r="E106" s="1583">
        <v>0.2</v>
      </c>
      <c r="F106" s="1570">
        <v>30</v>
      </c>
    </row>
    <row r="107" spans="1:6" s="1566" customFormat="1" ht="36">
      <c r="A107" s="1570">
        <v>47</v>
      </c>
      <c r="B107" s="3748" t="s">
        <v>1725</v>
      </c>
      <c r="C107" s="1570" t="s">
        <v>1726</v>
      </c>
      <c r="D107" s="1496" t="s">
        <v>1727</v>
      </c>
      <c r="E107" s="1583">
        <v>0.3</v>
      </c>
      <c r="F107" s="1570">
        <v>50</v>
      </c>
    </row>
    <row r="108" spans="1:6" s="1566" customFormat="1" ht="36">
      <c r="A108" s="1570">
        <v>48</v>
      </c>
      <c r="B108" s="3748"/>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748" t="s">
        <v>1736</v>
      </c>
      <c r="C111" s="1570" t="s">
        <v>1737</v>
      </c>
      <c r="D111" s="1496" t="s">
        <v>1738</v>
      </c>
      <c r="E111" s="1583">
        <v>0.2</v>
      </c>
      <c r="F111" s="1570">
        <v>30</v>
      </c>
    </row>
    <row r="112" spans="1:6" s="1566" customFormat="1" ht="24">
      <c r="A112" s="1570">
        <v>52</v>
      </c>
      <c r="B112" s="3748"/>
      <c r="C112" s="1570" t="s">
        <v>1739</v>
      </c>
      <c r="D112" s="1496" t="s">
        <v>1740</v>
      </c>
      <c r="E112" s="1583">
        <v>0.2</v>
      </c>
      <c r="F112" s="1570">
        <v>30</v>
      </c>
    </row>
    <row r="113" spans="1:6" s="1566" customFormat="1" ht="24">
      <c r="A113" s="1570">
        <v>53</v>
      </c>
      <c r="B113" s="3748"/>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748" t="s">
        <v>1749</v>
      </c>
      <c r="C116" s="1570" t="s">
        <v>1750</v>
      </c>
      <c r="D116" s="1496" t="s">
        <v>1751</v>
      </c>
      <c r="E116" s="1583">
        <v>0.2</v>
      </c>
      <c r="F116" s="1570">
        <v>30</v>
      </c>
    </row>
    <row r="117" spans="1:6" ht="36">
      <c r="A117" s="1570">
        <v>57</v>
      </c>
      <c r="B117" s="3748"/>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t="e">
        <f>SUMPRODUCT((A105:A204=ROUNDDOWN('基准地价修正-2层'!G3,1))*(B104:M104='基准地价修正-2层'!G2)*(B105:M204))</f>
        <v>#DIV/0!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2029</v>
      </c>
      <c r="B1" s="1961"/>
      <c r="C1" s="1961"/>
      <c r="D1" s="1961"/>
      <c r="E1" s="1961"/>
    </row>
    <row r="2" spans="1:5" ht="78" customHeight="1">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5"/>
      <c r="C2" s="3395"/>
      <c r="D2" s="3395"/>
      <c r="E2" s="3395"/>
    </row>
    <row r="3" spans="1:5" ht="18.75">
      <c r="A3" s="3396" t="str">
        <f>IF(项目基本情况!B9="房地产市场价值","估价结果一览表（市场价值不需“结果表-1”）","估价结果一览表")</f>
        <v>估价结果一览表</v>
      </c>
      <c r="B3" s="3396"/>
      <c r="C3" s="3396"/>
      <c r="D3" s="3396"/>
      <c r="E3" s="3396"/>
    </row>
    <row r="4" spans="1:5" ht="19.5" thickBot="1">
      <c r="A4" s="1973"/>
      <c r="B4" s="3394" t="s">
        <v>2034</v>
      </c>
      <c r="C4" s="3394"/>
      <c r="D4" s="3394"/>
      <c r="E4" s="1973"/>
    </row>
    <row r="5" spans="1:5" ht="16.5" thickTop="1">
      <c r="A5" s="1961"/>
      <c r="B5" s="3392" t="s">
        <v>2030</v>
      </c>
      <c r="C5" s="1963" t="s">
        <v>2035</v>
      </c>
      <c r="D5" s="1964">
        <f ca="1">结果表!H101</f>
        <v>6914</v>
      </c>
      <c r="E5" s="1961"/>
    </row>
    <row r="6" spans="1:5" ht="15.75">
      <c r="A6" s="1961"/>
      <c r="B6" s="3392"/>
      <c r="C6" s="1963" t="s">
        <v>2873</v>
      </c>
      <c r="D6" s="1964" t="str">
        <f ca="1">NUMBERSTRING(INT(D5*10000),2)&amp;"元整"</f>
        <v>陆仟玖佰壹拾肆万元整</v>
      </c>
      <c r="E6" s="1961"/>
    </row>
    <row r="7" spans="1:5" ht="15.75">
      <c r="A7" s="1961"/>
      <c r="B7" s="3397"/>
      <c r="C7" s="1965" t="s">
        <v>2036</v>
      </c>
      <c r="D7" s="1966">
        <f ca="1">结果表!H102</f>
        <v>32939</v>
      </c>
      <c r="E7" s="1961"/>
    </row>
    <row r="8" spans="1:5" ht="15.75">
      <c r="A8" s="1961"/>
      <c r="B8" s="3398" t="str">
        <f>结果表!E103</f>
        <v>2.估价师知悉的法定优先受偿款</v>
      </c>
      <c r="C8" s="1967" t="s">
        <v>2037</v>
      </c>
      <c r="D8" s="1966">
        <f>结果表!H103</f>
        <v>0</v>
      </c>
      <c r="E8" s="1961"/>
    </row>
    <row r="9" spans="1:5" ht="15.75">
      <c r="A9" s="1961"/>
      <c r="B9" s="3400"/>
      <c r="C9" s="1963" t="s">
        <v>2873</v>
      </c>
      <c r="D9" s="1964" t="str">
        <f>NUMBERSTRING(INT(D8*10000),2)&amp;"元整"</f>
        <v>零元整</v>
      </c>
      <c r="E9" s="1961"/>
    </row>
    <row r="10" spans="1:5" ht="15">
      <c r="A10" s="1961"/>
      <c r="B10" s="1968" t="s">
        <v>2031</v>
      </c>
      <c r="C10" s="1969" t="s">
        <v>2037</v>
      </c>
      <c r="D10" s="1970">
        <f>结果表!H104</f>
        <v>0</v>
      </c>
      <c r="E10" s="1961"/>
    </row>
    <row r="11" spans="1:5" ht="15">
      <c r="A11" s="1961"/>
      <c r="B11" s="1968" t="s">
        <v>2032</v>
      </c>
      <c r="C11" s="1969" t="s">
        <v>2037</v>
      </c>
      <c r="D11" s="1970">
        <f>结果表!H105</f>
        <v>0</v>
      </c>
      <c r="E11" s="1961"/>
    </row>
    <row r="12" spans="1:5" ht="15">
      <c r="A12" s="1961"/>
      <c r="B12" s="1968" t="s">
        <v>2033</v>
      </c>
      <c r="C12" s="1969" t="s">
        <v>2037</v>
      </c>
      <c r="D12" s="1970">
        <f>结果表!H106</f>
        <v>0</v>
      </c>
      <c r="E12" s="1961"/>
    </row>
    <row r="13" spans="1:5" ht="15.75">
      <c r="A13" s="1961"/>
      <c r="B13" s="3391" t="str">
        <f>结果表!E107</f>
        <v>3.房地产抵押价值</v>
      </c>
      <c r="C13" s="1971" t="s">
        <v>2035</v>
      </c>
      <c r="D13" s="1974">
        <f ca="1">结果表!H107</f>
        <v>6914</v>
      </c>
      <c r="E13" s="1961"/>
    </row>
    <row r="14" spans="1:5" ht="15.75">
      <c r="A14" s="1961"/>
      <c r="B14" s="3392"/>
      <c r="C14" s="1963" t="s">
        <v>2873</v>
      </c>
      <c r="D14" s="1964" t="str">
        <f ca="1">NUMBERSTRING(INT(D13*10000),2)&amp;"元整"</f>
        <v>陆仟玖佰壹拾肆万元整</v>
      </c>
      <c r="E14" s="1961"/>
    </row>
    <row r="15" spans="1:5" ht="15">
      <c r="A15" s="1961"/>
      <c r="B15" s="3397"/>
      <c r="C15" s="1965" t="s">
        <v>2036</v>
      </c>
      <c r="D15" s="2076">
        <f ca="1">结果表!H108</f>
        <v>32939</v>
      </c>
      <c r="E15" s="1961"/>
    </row>
    <row r="16" spans="1:5" ht="14.25">
      <c r="A16" s="1961"/>
      <c r="B16" s="3398" t="str">
        <f>结果表!E109</f>
        <v>——</v>
      </c>
      <c r="C16" s="1971" t="s">
        <v>2035</v>
      </c>
      <c r="D16" s="2077" t="str">
        <f>结果表!H109</f>
        <v>——</v>
      </c>
      <c r="E16" s="1961"/>
    </row>
    <row r="17" spans="1:5" ht="15.75">
      <c r="A17" s="1961"/>
      <c r="B17" s="3399"/>
      <c r="C17" s="1963" t="s">
        <v>2873</v>
      </c>
      <c r="D17" s="1964" t="e">
        <f>NUMBERSTRING(INT(D16*10000),2)&amp;"元整"</f>
        <v>#VALUE!</v>
      </c>
      <c r="E17" s="1961"/>
    </row>
    <row r="18" spans="1:5" ht="15">
      <c r="A18" s="1961"/>
      <c r="B18" s="3400"/>
      <c r="C18" s="1965" t="s">
        <v>2036</v>
      </c>
      <c r="D18" s="2076" t="str">
        <f>结果表!H110</f>
        <v>——</v>
      </c>
      <c r="E18" s="1961"/>
    </row>
    <row r="19" spans="1:5" ht="15.75">
      <c r="A19" s="1961"/>
      <c r="B19" s="3391" t="str">
        <f>结果表!E111</f>
        <v>——</v>
      </c>
      <c r="C19" s="1971" t="s">
        <v>2035</v>
      </c>
      <c r="D19" s="1966" t="str">
        <f>结果表!H111</f>
        <v>——</v>
      </c>
      <c r="E19" s="1961"/>
    </row>
    <row r="20" spans="1:5" ht="15.75">
      <c r="A20" s="1961"/>
      <c r="B20" s="3392"/>
      <c r="C20" s="1963" t="s">
        <v>2873</v>
      </c>
      <c r="D20" s="1964" t="e">
        <f>NUMBERSTRING(INT(D19*10000),2)&amp;"元整"</f>
        <v>#VALUE!</v>
      </c>
      <c r="E20" s="1961"/>
    </row>
    <row r="21" spans="1:5" ht="15.75" thickBot="1">
      <c r="A21" s="1961"/>
      <c r="B21" s="3393"/>
      <c r="C21" s="2078" t="s">
        <v>2036</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3058</v>
      </c>
    </row>
    <row r="2" spans="1:5" ht="14.25">
      <c r="A2" s="3338" t="s">
        <v>210</v>
      </c>
      <c r="B2" s="3335" t="e">
        <f ca="1">SUMIF(B6:B13,"&lt;&gt;#ref!",B6:B13)</f>
        <v>#DIV/0!</v>
      </c>
      <c r="C2" s="3338" t="s">
        <v>2670</v>
      </c>
      <c r="D2" s="3338" t="s">
        <v>3054</v>
      </c>
      <c r="E2" s="3335" t="e">
        <f ca="1">SUM(E6:E13)</f>
        <v>#REF!</v>
      </c>
    </row>
    <row r="3" spans="1:5" ht="14.25">
      <c r="A3" s="3338" t="s">
        <v>8</v>
      </c>
      <c r="B3" s="3335" t="e">
        <f ca="1">ROUND(B2*10000/E2,0)</f>
        <v>#DIV/0!</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3095</v>
      </c>
      <c r="B6" s="3337" t="e">
        <f ca="1">SUMIF(INDIRECT("'"&amp;A6&amp;"'"&amp;"!A:A"),"总价",INDIRECT("'"&amp;A6&amp;"'"&amp;"!B:B"))</f>
        <v>#DIV/0!</v>
      </c>
      <c r="C6" s="3338" t="s">
        <v>2670</v>
      </c>
      <c r="D6" s="3336"/>
      <c r="E6" s="2786">
        <f ca="1">SUMIF(INDIRECT("'"&amp;A6&amp;"'"&amp;"!C:C"),"建筑面积",INDIRECT("'"&amp;A6&amp;"'"&amp;"!D:D"))</f>
        <v>2099.0100000000002</v>
      </c>
    </row>
    <row r="7" spans="1:5" ht="14.25">
      <c r="A7" s="3341" t="s">
        <v>3097</v>
      </c>
      <c r="B7" s="3337" t="e">
        <f ca="1">SUMIF(INDIRECT("'"&amp;A7&amp;"'"&amp;"!A:A"),"总价",INDIRECT("'"&amp;A7&amp;"'"&amp;"!B:B"))</f>
        <v>#DIV/0!</v>
      </c>
      <c r="C7" s="3338" t="s">
        <v>2670</v>
      </c>
      <c r="D7" s="3336"/>
      <c r="E7" s="2786">
        <f t="shared" ref="E7:E13" ca="1" si="0">SUMIF(INDIRECT("'"&amp;A7&amp;"'"&amp;"!C:C"),"建筑面积",INDIRECT("'"&amp;A7&amp;"'"&amp;"!D:D"))</f>
        <v>0</v>
      </c>
    </row>
    <row r="8" spans="1:5" ht="14.25">
      <c r="A8" s="3341"/>
      <c r="B8" s="3337" t="e">
        <f t="shared" ref="B8:B13" ca="1" si="1">SUMIF(INDIRECT("'"&amp;A8&amp;"'"&amp;"!A:A"),"总价",INDIRECT("'"&amp;A8&amp;"'"&amp;"!B:B"))</f>
        <v>#REF!</v>
      </c>
      <c r="C8" s="3338" t="s">
        <v>2670</v>
      </c>
      <c r="D8" s="3336"/>
      <c r="E8" s="2786" t="e">
        <f t="shared" ca="1" si="0"/>
        <v>#REF!</v>
      </c>
    </row>
    <row r="9" spans="1:5" ht="14.25">
      <c r="A9" s="3341"/>
      <c r="B9" s="3337" t="e">
        <f t="shared" ca="1" si="1"/>
        <v>#REF!</v>
      </c>
      <c r="C9" s="3338" t="s">
        <v>2670</v>
      </c>
      <c r="D9" s="3336"/>
      <c r="E9" s="2786" t="e">
        <f t="shared" ca="1" si="0"/>
        <v>#REF!</v>
      </c>
    </row>
    <row r="10" spans="1:5" ht="14.25">
      <c r="A10" s="3341"/>
      <c r="B10" s="3337" t="e">
        <f t="shared" ca="1" si="1"/>
        <v>#REF!</v>
      </c>
      <c r="C10" s="3338" t="s">
        <v>2670</v>
      </c>
      <c r="D10" s="3336"/>
      <c r="E10" s="2786" t="e">
        <f t="shared" ca="1" si="0"/>
        <v>#REF!</v>
      </c>
    </row>
    <row r="11" spans="1:5" ht="14.25">
      <c r="A11" s="3341"/>
      <c r="B11" s="3337" t="e">
        <f t="shared" ca="1" si="1"/>
        <v>#REF!</v>
      </c>
      <c r="C11" s="3338" t="s">
        <v>2670</v>
      </c>
      <c r="D11" s="3336"/>
      <c r="E11" s="2786" t="e">
        <f t="shared" ca="1" si="0"/>
        <v>#REF!</v>
      </c>
    </row>
    <row r="12" spans="1:5" ht="14.25">
      <c r="A12" s="3341"/>
      <c r="B12" s="3337" t="e">
        <f t="shared" ca="1" si="1"/>
        <v>#REF!</v>
      </c>
      <c r="C12" s="3338" t="s">
        <v>2670</v>
      </c>
      <c r="D12" s="3336"/>
      <c r="E12" s="2786" t="e">
        <f t="shared" ca="1" si="0"/>
        <v>#REF!</v>
      </c>
    </row>
    <row r="13" spans="1:5" ht="14.25">
      <c r="A13" s="3341"/>
      <c r="B13" s="3337" t="e">
        <f t="shared" ca="1" si="1"/>
        <v>#REF!</v>
      </c>
      <c r="C13" s="3338" t="s">
        <v>2670</v>
      </c>
      <c r="D13" s="3336"/>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54" t="s">
        <v>2712</v>
      </c>
      <c r="C1" s="3754"/>
      <c r="D1" s="3754"/>
      <c r="E1" s="3754"/>
      <c r="F1" s="3754"/>
      <c r="G1" s="3753" t="s">
        <v>2713</v>
      </c>
      <c r="H1" s="3753"/>
      <c r="I1" s="3753"/>
      <c r="J1" s="3753"/>
      <c r="K1" s="3753"/>
      <c r="L1" s="3753"/>
      <c r="N1" s="3753" t="s">
        <v>2714</v>
      </c>
      <c r="O1" s="3753"/>
      <c r="P1" s="3753"/>
      <c r="Q1" s="3753"/>
      <c r="R1" s="2897"/>
      <c r="S1" s="3753" t="s">
        <v>2715</v>
      </c>
      <c r="T1" s="3753"/>
      <c r="U1" s="3753"/>
      <c r="V1" s="3753"/>
      <c r="X1" s="3752" t="s">
        <v>2716</v>
      </c>
      <c r="Y1" s="3753"/>
      <c r="Z1" s="3753"/>
      <c r="AA1" s="3753"/>
      <c r="AB1" s="3753"/>
      <c r="AD1" s="3752" t="s">
        <v>2717</v>
      </c>
      <c r="AE1" s="3753"/>
      <c r="AF1" s="3753"/>
      <c r="AG1" s="3753"/>
      <c r="AH1" s="3753"/>
    </row>
    <row r="2" spans="1:34" s="2898" customFormat="1" ht="14.25" thickBot="1">
      <c r="B2" s="2899" t="s">
        <v>2718</v>
      </c>
      <c r="C2" s="2899" t="s">
        <v>2719</v>
      </c>
      <c r="D2" s="2900" t="s">
        <v>2720</v>
      </c>
      <c r="E2" s="2900" t="s">
        <v>2721</v>
      </c>
      <c r="F2" s="2899" t="s">
        <v>2722</v>
      </c>
      <c r="G2" s="2901"/>
      <c r="H2" s="2902"/>
      <c r="I2" s="2899" t="s">
        <v>2718</v>
      </c>
      <c r="J2" s="2900" t="s">
        <v>3059</v>
      </c>
      <c r="K2" s="2900" t="s">
        <v>1843</v>
      </c>
      <c r="L2" s="2899" t="s">
        <v>2722</v>
      </c>
      <c r="N2" s="2899" t="s">
        <v>2718</v>
      </c>
      <c r="O2" s="2900" t="s">
        <v>3059</v>
      </c>
      <c r="P2" s="2900" t="s">
        <v>1843</v>
      </c>
      <c r="Q2" s="2899" t="s">
        <v>2722</v>
      </c>
      <c r="R2" s="2903"/>
      <c r="S2" s="2899" t="s">
        <v>2718</v>
      </c>
      <c r="T2" s="2900" t="s">
        <v>3059</v>
      </c>
      <c r="U2" s="2900" t="s">
        <v>1843</v>
      </c>
      <c r="V2" s="2899" t="s">
        <v>2722</v>
      </c>
      <c r="X2" s="2899" t="s">
        <v>2718</v>
      </c>
      <c r="Y2" s="2899" t="s">
        <v>2719</v>
      </c>
      <c r="Z2" s="2900" t="s">
        <v>2720</v>
      </c>
      <c r="AA2" s="2900" t="s">
        <v>2721</v>
      </c>
      <c r="AB2" s="2899" t="s">
        <v>2722</v>
      </c>
      <c r="AD2" s="2899" t="s">
        <v>2718</v>
      </c>
      <c r="AE2" s="2899" t="s">
        <v>2719</v>
      </c>
      <c r="AF2" s="2900" t="s">
        <v>2720</v>
      </c>
      <c r="AG2" s="2900" t="s">
        <v>2721</v>
      </c>
      <c r="AH2" s="2899" t="s">
        <v>2722</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2723</v>
      </c>
      <c r="B4" s="2913"/>
      <c r="C4" s="2913"/>
      <c r="D4" s="2913"/>
      <c r="E4" s="2913"/>
      <c r="F4" s="2913"/>
      <c r="G4" s="3755">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50"/>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3060</v>
      </c>
      <c r="B6" s="2932">
        <f t="shared" si="2"/>
        <v>419.31181600000002</v>
      </c>
      <c r="C6" s="2932">
        <f t="shared" si="3"/>
        <v>313.95436800000004</v>
      </c>
      <c r="D6" s="2932">
        <f t="shared" si="4"/>
        <v>313.95436800000004</v>
      </c>
      <c r="E6" s="2932">
        <f t="shared" si="5"/>
        <v>596.63028431999999</v>
      </c>
      <c r="F6" s="2932">
        <f t="shared" si="6"/>
        <v>274.74220703999998</v>
      </c>
      <c r="G6" s="3750"/>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4"/>
      <c r="AD6" s="3344">
        <f>ROUND(AVERAGE(I6:I$19)/100,4)</f>
        <v>2.46E-2</v>
      </c>
      <c r="AE6" s="3344">
        <f>ROUND(AVERAGE(J6:J$19)/100,4)</f>
        <v>1.6E-2</v>
      </c>
      <c r="AF6" s="3344">
        <f t="shared" si="1"/>
        <v>1.6E-2</v>
      </c>
      <c r="AG6" s="3344">
        <f>ROUND(AVERAGE(K6:K$19)/100,4)</f>
        <v>2.75E-2</v>
      </c>
      <c r="AH6" s="3344">
        <f>ROUND(AVERAGE(L6:L$19)/100,4)</f>
        <v>1.37E-2</v>
      </c>
    </row>
    <row r="7" spans="1:34" s="2920" customFormat="1" ht="13.5" thickBot="1">
      <c r="A7" s="2912" t="s">
        <v>2725</v>
      </c>
      <c r="B7" s="2932">
        <f>B8*(1+N7)</f>
        <v>405.524</v>
      </c>
      <c r="C7" s="2932">
        <f>C8*(1+O7)</f>
        <v>307.79840000000002</v>
      </c>
      <c r="D7" s="2932">
        <f>C7</f>
        <v>307.79840000000002</v>
      </c>
      <c r="E7" s="2932">
        <f>E8*(1+P7)</f>
        <v>574.67759999999998</v>
      </c>
      <c r="F7" s="2932">
        <f>F8*(1+Q7)</f>
        <v>270.20280000000002</v>
      </c>
      <c r="G7" s="3751"/>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2" t="s">
        <v>1158</v>
      </c>
      <c r="B8" s="2924">
        <v>392</v>
      </c>
      <c r="C8" s="2924">
        <v>302</v>
      </c>
      <c r="D8" s="2924">
        <f>C8</f>
        <v>302</v>
      </c>
      <c r="E8" s="2924">
        <v>553</v>
      </c>
      <c r="F8" s="2925">
        <v>266</v>
      </c>
      <c r="G8" s="3755">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50"/>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50"/>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51"/>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49">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50"/>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50"/>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51"/>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49">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50"/>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50"/>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51"/>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2727</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2728</v>
      </c>
      <c r="B20" s="2924">
        <v>299</v>
      </c>
      <c r="C20" s="2924">
        <v>252</v>
      </c>
      <c r="D20" s="2924">
        <f t="shared" si="16"/>
        <v>252</v>
      </c>
      <c r="E20" s="2924">
        <v>409</v>
      </c>
      <c r="F20" s="2925">
        <v>227</v>
      </c>
      <c r="G20" s="3756">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2729</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57"/>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2730</v>
      </c>
      <c r="B22" s="2932">
        <f t="shared" si="25"/>
        <v>288.2649053828776</v>
      </c>
      <c r="C22" s="2932">
        <f t="shared" si="25"/>
        <v>243.64564425013293</v>
      </c>
      <c r="D22" s="2932">
        <f t="shared" si="16"/>
        <v>243.64564425013293</v>
      </c>
      <c r="E22" s="2932">
        <f t="shared" si="26"/>
        <v>393.31080825986544</v>
      </c>
      <c r="F22" s="2932">
        <f t="shared" si="26"/>
        <v>223.07903790551154</v>
      </c>
      <c r="G22" s="3757"/>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2731</v>
      </c>
      <c r="B23" s="2932">
        <f t="shared" si="25"/>
        <v>282.50186729015837</v>
      </c>
      <c r="C23" s="2932">
        <f t="shared" si="25"/>
        <v>238.09796174155468</v>
      </c>
      <c r="D23" s="2932">
        <f t="shared" si="16"/>
        <v>238.09796174155468</v>
      </c>
      <c r="E23" s="2932">
        <f t="shared" si="26"/>
        <v>385.33438646014054</v>
      </c>
      <c r="F23" s="2932">
        <f t="shared" si="26"/>
        <v>221.55034055567739</v>
      </c>
      <c r="G23" s="3758"/>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2732</v>
      </c>
      <c r="B24" s="2966">
        <v>278</v>
      </c>
      <c r="C24" s="2966">
        <v>234</v>
      </c>
      <c r="D24" s="2966">
        <f t="shared" si="16"/>
        <v>234</v>
      </c>
      <c r="E24" s="2966">
        <v>379</v>
      </c>
      <c r="F24" s="2967">
        <v>220</v>
      </c>
      <c r="G24" s="3749">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2733</v>
      </c>
      <c r="B25" s="2932">
        <f>B24/(1+N24)</f>
        <v>275.49301357645425</v>
      </c>
      <c r="C25" s="2932">
        <f>C24/(1+O24)</f>
        <v>232.41954707985698</v>
      </c>
      <c r="D25" s="2932">
        <f t="shared" si="16"/>
        <v>232.41954707985698</v>
      </c>
      <c r="E25" s="2932">
        <f t="shared" ref="E25:F27" si="27">E24/(1+P24)</f>
        <v>375.32184591008121</v>
      </c>
      <c r="F25" s="2932">
        <f t="shared" si="27"/>
        <v>218.03766105054513</v>
      </c>
      <c r="G25" s="3750"/>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2734</v>
      </c>
      <c r="B26" s="2932">
        <f>B25/(1+N25)</f>
        <v>275.24529281292263</v>
      </c>
      <c r="C26" s="2932">
        <f>C25/(1+O25)</f>
        <v>231.74747938962707</v>
      </c>
      <c r="D26" s="2932">
        <f t="shared" si="16"/>
        <v>231.74747938962707</v>
      </c>
      <c r="E26" s="2932">
        <f t="shared" si="27"/>
        <v>375.35938184826603</v>
      </c>
      <c r="F26" s="2932">
        <f t="shared" si="27"/>
        <v>216.78033510692495</v>
      </c>
      <c r="G26" s="3750"/>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2735</v>
      </c>
      <c r="B27" s="2932">
        <f>B26/(1+N26)</f>
        <v>275.19025476197027</v>
      </c>
      <c r="C27" s="2968">
        <v>232</v>
      </c>
      <c r="D27" s="2968">
        <f t="shared" si="16"/>
        <v>232</v>
      </c>
      <c r="E27" s="2932">
        <f t="shared" si="27"/>
        <v>375.65990977608692</v>
      </c>
      <c r="F27" s="2932">
        <f t="shared" si="27"/>
        <v>214.12518283971252</v>
      </c>
      <c r="G27" s="3751"/>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2736</v>
      </c>
      <c r="B28" s="2924">
        <v>275</v>
      </c>
      <c r="C28" s="2924">
        <v>232</v>
      </c>
      <c r="D28" s="2924">
        <f t="shared" si="16"/>
        <v>232</v>
      </c>
      <c r="E28" s="2924">
        <v>376</v>
      </c>
      <c r="F28" s="2925">
        <v>213</v>
      </c>
      <c r="G28" s="3749">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2737</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50">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2738</v>
      </c>
      <c r="B30" s="2932">
        <f t="shared" si="28"/>
        <v>275.19335084830601</v>
      </c>
      <c r="C30" s="2932">
        <f t="shared" si="28"/>
        <v>230.18088050139744</v>
      </c>
      <c r="D30" s="2932">
        <f t="shared" si="16"/>
        <v>230.18088050139744</v>
      </c>
      <c r="E30" s="2932">
        <f t="shared" si="29"/>
        <v>377.58482925212331</v>
      </c>
      <c r="F30" s="2932">
        <f t="shared" si="29"/>
        <v>210.90687997847917</v>
      </c>
      <c r="G30" s="3750">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2739</v>
      </c>
      <c r="B31" s="2932">
        <f t="shared" si="28"/>
        <v>276.29854502841971</v>
      </c>
      <c r="C31" s="2932">
        <f t="shared" si="28"/>
        <v>229.79023709833027</v>
      </c>
      <c r="D31" s="2932">
        <f t="shared" si="16"/>
        <v>229.79023709833027</v>
      </c>
      <c r="E31" s="2932">
        <f t="shared" si="29"/>
        <v>379.78759731655936</v>
      </c>
      <c r="F31" s="2932">
        <f t="shared" si="29"/>
        <v>211.32953905659235</v>
      </c>
      <c r="G31" s="3751">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2740</v>
      </c>
      <c r="B32" s="2924">
        <v>269</v>
      </c>
      <c r="C32" s="2924">
        <v>221</v>
      </c>
      <c r="D32" s="2924">
        <f t="shared" si="16"/>
        <v>221</v>
      </c>
      <c r="E32" s="2924">
        <v>373</v>
      </c>
      <c r="F32" s="2925">
        <v>196</v>
      </c>
      <c r="G32" s="3749">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2741</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50">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2742</v>
      </c>
      <c r="B34" s="2932">
        <f t="shared" si="30"/>
        <v>242.95398227588385</v>
      </c>
      <c r="C34" s="2932">
        <f t="shared" si="30"/>
        <v>199.59137053614126</v>
      </c>
      <c r="D34" s="2932">
        <f t="shared" si="16"/>
        <v>199.59137053614126</v>
      </c>
      <c r="E34" s="2932">
        <f t="shared" si="31"/>
        <v>335.92189522342125</v>
      </c>
      <c r="F34" s="2932">
        <f t="shared" si="31"/>
        <v>183.10139991109489</v>
      </c>
      <c r="G34" s="3750">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2743</v>
      </c>
      <c r="B35" s="2932">
        <f t="shared" si="30"/>
        <v>232.06990378821649</v>
      </c>
      <c r="C35" s="2932">
        <f t="shared" si="30"/>
        <v>192.74878854286936</v>
      </c>
      <c r="D35" s="2932">
        <f t="shared" si="16"/>
        <v>192.74878854286936</v>
      </c>
      <c r="E35" s="2932">
        <f t="shared" si="31"/>
        <v>319.71247284992984</v>
      </c>
      <c r="F35" s="2932">
        <f t="shared" si="31"/>
        <v>175.67053622862409</v>
      </c>
      <c r="G35" s="3751">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2744</v>
      </c>
      <c r="B36" s="2924">
        <v>220</v>
      </c>
      <c r="C36" s="2924">
        <v>187</v>
      </c>
      <c r="D36" s="2924">
        <f t="shared" si="16"/>
        <v>187</v>
      </c>
      <c r="E36" s="2924">
        <v>301</v>
      </c>
      <c r="F36" s="2925">
        <v>168</v>
      </c>
      <c r="G36" s="3749">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2745</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50">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2746</v>
      </c>
      <c r="B38" s="2932">
        <f t="shared" si="32"/>
        <v>210.630522469011</v>
      </c>
      <c r="C38" s="2932">
        <f t="shared" si="32"/>
        <v>181.69567812247232</v>
      </c>
      <c r="D38" s="2932">
        <f t="shared" si="16"/>
        <v>181.69567812247232</v>
      </c>
      <c r="E38" s="2932">
        <f t="shared" si="33"/>
        <v>286.13517466736738</v>
      </c>
      <c r="F38" s="2932">
        <f t="shared" si="33"/>
        <v>165.47535084591149</v>
      </c>
      <c r="G38" s="3750">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2747</v>
      </c>
      <c r="B39" s="2932">
        <f t="shared" si="32"/>
        <v>208.83454537875372</v>
      </c>
      <c r="C39" s="2932">
        <f t="shared" si="32"/>
        <v>183.77230517090351</v>
      </c>
      <c r="D39" s="2932">
        <f t="shared" si="16"/>
        <v>183.77230517090351</v>
      </c>
      <c r="E39" s="2932">
        <f t="shared" si="33"/>
        <v>281.10342338870947</v>
      </c>
      <c r="F39" s="2932">
        <f t="shared" si="33"/>
        <v>168.97309388942256</v>
      </c>
      <c r="G39" s="3751">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2748</v>
      </c>
      <c r="B40" s="2966">
        <v>214</v>
      </c>
      <c r="C40" s="2966">
        <v>188</v>
      </c>
      <c r="D40" s="2966">
        <f t="shared" si="16"/>
        <v>188</v>
      </c>
      <c r="E40" s="2966">
        <v>289</v>
      </c>
      <c r="F40" s="2967">
        <v>166</v>
      </c>
      <c r="G40" s="3749">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2749</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50">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2750</v>
      </c>
      <c r="B42" s="2932">
        <f t="shared" si="34"/>
        <v>206.31694671589116</v>
      </c>
      <c r="C42" s="2932">
        <f t="shared" si="34"/>
        <v>183.61041121036101</v>
      </c>
      <c r="D42" s="2932">
        <f t="shared" si="16"/>
        <v>183.61041121036101</v>
      </c>
      <c r="E42" s="2932">
        <f t="shared" si="35"/>
        <v>276.66850301795557</v>
      </c>
      <c r="F42" s="2932">
        <f t="shared" si="35"/>
        <v>165.1360938278614</v>
      </c>
      <c r="G42" s="3750">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2751</v>
      </c>
      <c r="B43" s="2969">
        <f t="shared" si="34"/>
        <v>196.62341248059772</v>
      </c>
      <c r="C43" s="2969">
        <f t="shared" si="34"/>
        <v>170.99125648199012</v>
      </c>
      <c r="D43" s="2969">
        <f t="shared" si="16"/>
        <v>170.99125648199012</v>
      </c>
      <c r="E43" s="2969">
        <f t="shared" si="35"/>
        <v>266.07857570490052</v>
      </c>
      <c r="F43" s="2969">
        <f t="shared" si="35"/>
        <v>154.53499328828505</v>
      </c>
      <c r="G43" s="3751">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2752</v>
      </c>
      <c r="B44" s="2924">
        <v>188</v>
      </c>
      <c r="C44" s="2924">
        <v>165</v>
      </c>
      <c r="D44" s="2924">
        <f t="shared" si="16"/>
        <v>165</v>
      </c>
      <c r="E44" s="2924">
        <v>254</v>
      </c>
      <c r="F44" s="2925">
        <v>148</v>
      </c>
      <c r="G44" s="3749">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2753</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50">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2754</v>
      </c>
      <c r="B46" s="2932">
        <f t="shared" si="38"/>
        <v>168.82017748715555</v>
      </c>
      <c r="C46" s="2932">
        <f t="shared" si="38"/>
        <v>148.06267029972753</v>
      </c>
      <c r="D46" s="2932">
        <f t="shared" si="16"/>
        <v>148.06267029972753</v>
      </c>
      <c r="E46" s="2932">
        <f t="shared" si="39"/>
        <v>216.46288379323747</v>
      </c>
      <c r="F46" s="2932">
        <f t="shared" si="39"/>
        <v>134.23529411764704</v>
      </c>
      <c r="G46" s="3750">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2755</v>
      </c>
      <c r="B47" s="2932">
        <f t="shared" si="38"/>
        <v>163.84913591779542</v>
      </c>
      <c r="C47" s="2932">
        <f t="shared" si="38"/>
        <v>145.0283378746594</v>
      </c>
      <c r="D47" s="2932">
        <f t="shared" si="16"/>
        <v>145.0283378746594</v>
      </c>
      <c r="E47" s="2932">
        <f t="shared" si="39"/>
        <v>204.95180722891567</v>
      </c>
      <c r="F47" s="2932">
        <f t="shared" si="39"/>
        <v>125.95920303605313</v>
      </c>
      <c r="G47" s="3751">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2756</v>
      </c>
      <c r="B48" s="2945">
        <v>159</v>
      </c>
      <c r="C48" s="2945">
        <v>141</v>
      </c>
      <c r="D48" s="2945">
        <f t="shared" si="16"/>
        <v>141</v>
      </c>
      <c r="E48" s="2945">
        <v>195</v>
      </c>
      <c r="F48" s="2946">
        <v>122</v>
      </c>
      <c r="G48" s="3749">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2757</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50">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2758</v>
      </c>
      <c r="B50" s="2932">
        <f t="shared" si="42"/>
        <v>146.57412060301507</v>
      </c>
      <c r="C50" s="2932">
        <f t="shared" si="42"/>
        <v>136.46831955922866</v>
      </c>
      <c r="D50" s="2932">
        <f t="shared" si="16"/>
        <v>136.46831955922866</v>
      </c>
      <c r="E50" s="2932">
        <f t="shared" si="43"/>
        <v>166.73864894795128</v>
      </c>
      <c r="F50" s="2932">
        <f t="shared" si="43"/>
        <v>115.05882352941177</v>
      </c>
      <c r="G50" s="3750">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2759</v>
      </c>
      <c r="B51" s="2932">
        <f t="shared" si="42"/>
        <v>144.04145728643215</v>
      </c>
      <c r="C51" s="2932">
        <f t="shared" si="42"/>
        <v>136.12396694214877</v>
      </c>
      <c r="D51" s="2932">
        <f t="shared" si="16"/>
        <v>136.12396694214877</v>
      </c>
      <c r="E51" s="2932">
        <f t="shared" si="43"/>
        <v>158.32225913621264</v>
      </c>
      <c r="F51" s="2932">
        <f t="shared" si="43"/>
        <v>114.04278074866311</v>
      </c>
      <c r="G51" s="3751">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2760</v>
      </c>
      <c r="B52" s="2945">
        <v>138</v>
      </c>
      <c r="C52" s="2945">
        <v>131</v>
      </c>
      <c r="D52" s="2945">
        <f t="shared" si="16"/>
        <v>131</v>
      </c>
      <c r="E52" s="2945">
        <v>155</v>
      </c>
      <c r="F52" s="2946">
        <v>114</v>
      </c>
      <c r="G52" s="3749">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2761</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50">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2762</v>
      </c>
      <c r="B54" s="2932">
        <f t="shared" si="46"/>
        <v>124.29032258064517</v>
      </c>
      <c r="C54" s="2932">
        <f t="shared" si="46"/>
        <v>123.8968609865471</v>
      </c>
      <c r="D54" s="2932">
        <f t="shared" si="16"/>
        <v>123.8968609865471</v>
      </c>
      <c r="E54" s="2932">
        <f t="shared" si="47"/>
        <v>138.00507614213197</v>
      </c>
      <c r="F54" s="2932">
        <f t="shared" si="47"/>
        <v>107.96106557377048</v>
      </c>
      <c r="G54" s="3750">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2763</v>
      </c>
      <c r="B55" s="2932">
        <f t="shared" si="46"/>
        <v>122.57204301075269</v>
      </c>
      <c r="C55" s="2932">
        <f t="shared" si="46"/>
        <v>123.4932735426009</v>
      </c>
      <c r="D55" s="2932">
        <f t="shared" si="16"/>
        <v>123.4932735426009</v>
      </c>
      <c r="E55" s="2932">
        <f t="shared" si="47"/>
        <v>129.82233502538071</v>
      </c>
      <c r="F55" s="2932">
        <f t="shared" si="47"/>
        <v>107.39446721311475</v>
      </c>
      <c r="G55" s="3751">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2764</v>
      </c>
      <c r="B56" s="2966">
        <v>121</v>
      </c>
      <c r="C56" s="2966">
        <v>122</v>
      </c>
      <c r="D56" s="2966">
        <f t="shared" si="16"/>
        <v>122</v>
      </c>
      <c r="E56" s="2966">
        <v>124</v>
      </c>
      <c r="F56" s="2967">
        <v>107</v>
      </c>
      <c r="G56" s="3749">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2765</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50">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2766</v>
      </c>
      <c r="B58" s="2932">
        <f t="shared" si="50"/>
        <v>116.99099099099099</v>
      </c>
      <c r="C58" s="2932">
        <f t="shared" si="50"/>
        <v>118.84848484848486</v>
      </c>
      <c r="D58" s="2932">
        <f t="shared" si="16"/>
        <v>118.84848484848486</v>
      </c>
      <c r="E58" s="2932">
        <f t="shared" si="51"/>
        <v>117.60960960960961</v>
      </c>
      <c r="F58" s="2932">
        <f t="shared" si="51"/>
        <v>104</v>
      </c>
      <c r="G58" s="3750">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2767</v>
      </c>
      <c r="B59" s="2969">
        <f t="shared" si="50"/>
        <v>112.48648648648648</v>
      </c>
      <c r="C59" s="2969">
        <f t="shared" si="50"/>
        <v>115.21212121212122</v>
      </c>
      <c r="D59" s="2969">
        <f t="shared" si="16"/>
        <v>115.21212121212122</v>
      </c>
      <c r="E59" s="2969">
        <f t="shared" si="51"/>
        <v>110.4024024024024</v>
      </c>
      <c r="F59" s="2969">
        <f t="shared" si="51"/>
        <v>104</v>
      </c>
      <c r="G59" s="3751">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2768</v>
      </c>
      <c r="B60" s="2987">
        <v>111</v>
      </c>
      <c r="C60" s="2987">
        <v>114</v>
      </c>
      <c r="D60" s="2987">
        <f t="shared" si="16"/>
        <v>114</v>
      </c>
      <c r="E60" s="2987">
        <v>108</v>
      </c>
      <c r="F60" s="2988">
        <v>104</v>
      </c>
      <c r="G60" s="3749">
        <v>2003</v>
      </c>
      <c r="H60" s="2977">
        <v>4</v>
      </c>
      <c r="I60" s="2989"/>
      <c r="J60" s="2989"/>
      <c r="K60" s="2989"/>
      <c r="L60" s="2989"/>
      <c r="N60" s="2990"/>
      <c r="O60" s="2989"/>
      <c r="P60" s="2989"/>
      <c r="Q60" s="2989"/>
      <c r="S60" s="2990"/>
      <c r="T60" s="2989"/>
      <c r="U60" s="2989"/>
      <c r="V60" s="2989"/>
      <c r="X60" s="2981"/>
      <c r="Y60" s="2981"/>
      <c r="Z60" s="2981"/>
    </row>
    <row r="61" spans="1:26">
      <c r="A61" s="2912" t="s">
        <v>2769</v>
      </c>
      <c r="B61" s="2991">
        <f t="shared" ref="B61:C63" si="52">B62+(B$60-B$64)/4</f>
        <v>109.75</v>
      </c>
      <c r="C61" s="2991">
        <f t="shared" si="52"/>
        <v>112.25</v>
      </c>
      <c r="D61" s="2991">
        <f t="shared" si="16"/>
        <v>112.25</v>
      </c>
      <c r="E61" s="2991">
        <f t="shared" ref="E61:F63" si="53">E62+(E$60-E$64)/4</f>
        <v>107.25</v>
      </c>
      <c r="F61" s="2991">
        <f t="shared" si="53"/>
        <v>103.5</v>
      </c>
      <c r="G61" s="3750">
        <v>2003</v>
      </c>
      <c r="H61" s="2942">
        <v>3</v>
      </c>
      <c r="I61" s="2989"/>
      <c r="J61" s="2989"/>
      <c r="K61" s="2989"/>
      <c r="L61" s="2989"/>
      <c r="X61" s="2981"/>
      <c r="Y61" s="2981"/>
      <c r="Z61" s="2981"/>
    </row>
    <row r="62" spans="1:26">
      <c r="A62" s="2912" t="s">
        <v>2770</v>
      </c>
      <c r="B62" s="2991">
        <f t="shared" si="52"/>
        <v>108.5</v>
      </c>
      <c r="C62" s="2991">
        <f t="shared" si="52"/>
        <v>110.5</v>
      </c>
      <c r="D62" s="2991">
        <f t="shared" si="16"/>
        <v>110.5</v>
      </c>
      <c r="E62" s="2991">
        <f t="shared" si="53"/>
        <v>106.5</v>
      </c>
      <c r="F62" s="2991">
        <f t="shared" si="53"/>
        <v>103</v>
      </c>
      <c r="G62" s="3750">
        <v>2003</v>
      </c>
      <c r="H62" s="2918">
        <v>2</v>
      </c>
      <c r="I62" s="2989"/>
      <c r="J62" s="2989"/>
      <c r="K62" s="2989"/>
      <c r="L62" s="2989"/>
      <c r="X62" s="2981"/>
      <c r="Y62" s="2981"/>
      <c r="Z62" s="2981"/>
    </row>
    <row r="63" spans="1:26" ht="13.5" thickBot="1">
      <c r="A63" s="2912" t="s">
        <v>2771</v>
      </c>
      <c r="B63" s="2991">
        <f t="shared" si="52"/>
        <v>107.25</v>
      </c>
      <c r="C63" s="2991">
        <f t="shared" si="52"/>
        <v>108.75</v>
      </c>
      <c r="D63" s="2991">
        <f t="shared" si="16"/>
        <v>108.75</v>
      </c>
      <c r="E63" s="2991">
        <f t="shared" si="53"/>
        <v>105.75</v>
      </c>
      <c r="F63" s="2991">
        <f t="shared" si="53"/>
        <v>102.5</v>
      </c>
      <c r="G63" s="3751">
        <v>2003</v>
      </c>
      <c r="H63" s="2992">
        <v>1</v>
      </c>
      <c r="I63" s="2989"/>
      <c r="J63" s="2989"/>
      <c r="K63" s="2989"/>
      <c r="L63" s="2989"/>
      <c r="S63" s="2927"/>
      <c r="T63" s="2928"/>
      <c r="U63" s="2928"/>
      <c r="X63" s="2981"/>
      <c r="Y63" s="2981"/>
      <c r="Z63" s="2981"/>
    </row>
    <row r="64" spans="1:26" ht="13.5" thickBot="1">
      <c r="A64" s="2912" t="s">
        <v>2772</v>
      </c>
      <c r="B64" s="2993">
        <v>106</v>
      </c>
      <c r="C64" s="2993">
        <v>107</v>
      </c>
      <c r="D64" s="2993">
        <f t="shared" si="16"/>
        <v>107</v>
      </c>
      <c r="E64" s="2993">
        <v>105</v>
      </c>
      <c r="F64" s="2994">
        <v>102</v>
      </c>
      <c r="G64" s="3749">
        <v>2002</v>
      </c>
      <c r="H64" s="2937">
        <v>4</v>
      </c>
      <c r="I64" s="2989"/>
      <c r="J64" s="2989"/>
      <c r="K64" s="2989"/>
      <c r="L64" s="2989"/>
      <c r="N64" s="2990"/>
      <c r="O64" s="2989"/>
      <c r="P64" s="2989"/>
      <c r="Q64" s="2989"/>
      <c r="S64" s="2990"/>
      <c r="T64" s="2989"/>
      <c r="U64" s="2989"/>
      <c r="V64" s="2989"/>
      <c r="X64" s="2981"/>
      <c r="Y64" s="2981"/>
      <c r="Z64" s="2981"/>
    </row>
    <row r="65" spans="1:26">
      <c r="A65" s="2912" t="s">
        <v>2773</v>
      </c>
      <c r="B65" s="2991">
        <f t="shared" ref="B65:C67" si="54">B66+(B$64-B$68)/4</f>
        <v>105</v>
      </c>
      <c r="C65" s="2991">
        <f t="shared" si="54"/>
        <v>106</v>
      </c>
      <c r="D65" s="2991">
        <f t="shared" si="16"/>
        <v>106</v>
      </c>
      <c r="E65" s="2991">
        <f t="shared" ref="E65:F67" si="55">E66+(E$64-E$68)/4</f>
        <v>104.5</v>
      </c>
      <c r="F65" s="2991">
        <f t="shared" si="55"/>
        <v>101.5</v>
      </c>
      <c r="G65" s="3750">
        <v>2002</v>
      </c>
      <c r="H65" s="2942">
        <v>3</v>
      </c>
      <c r="I65" s="2989"/>
      <c r="J65" s="2989"/>
      <c r="K65" s="2989"/>
      <c r="L65" s="2989"/>
      <c r="X65" s="2981"/>
      <c r="Y65" s="2981"/>
      <c r="Z65" s="2981"/>
    </row>
    <row r="66" spans="1:26">
      <c r="A66" s="2912" t="s">
        <v>2774</v>
      </c>
      <c r="B66" s="2991">
        <f t="shared" si="54"/>
        <v>104</v>
      </c>
      <c r="C66" s="2991">
        <f t="shared" si="54"/>
        <v>105</v>
      </c>
      <c r="D66" s="2991">
        <f t="shared" si="16"/>
        <v>105</v>
      </c>
      <c r="E66" s="2991">
        <f t="shared" si="55"/>
        <v>104</v>
      </c>
      <c r="F66" s="2991">
        <f t="shared" si="55"/>
        <v>101</v>
      </c>
      <c r="G66" s="3750">
        <v>2002</v>
      </c>
      <c r="H66" s="2918">
        <v>2</v>
      </c>
      <c r="I66" s="2989"/>
      <c r="J66" s="2989"/>
      <c r="K66" s="2989"/>
      <c r="L66" s="2989"/>
      <c r="X66" s="2981"/>
      <c r="Y66" s="2981"/>
      <c r="Z66" s="2981"/>
    </row>
    <row r="67" spans="1:26" s="2953" customFormat="1" ht="13.5" thickBot="1">
      <c r="A67" s="2949" t="s">
        <v>2775</v>
      </c>
      <c r="B67" s="2995">
        <f t="shared" si="54"/>
        <v>103</v>
      </c>
      <c r="C67" s="2995">
        <f t="shared" si="54"/>
        <v>104</v>
      </c>
      <c r="D67" s="2995">
        <f t="shared" si="16"/>
        <v>104</v>
      </c>
      <c r="E67" s="2995">
        <f t="shared" si="55"/>
        <v>103.5</v>
      </c>
      <c r="F67" s="2995">
        <f t="shared" si="55"/>
        <v>100.5</v>
      </c>
      <c r="G67" s="3751">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2776</v>
      </c>
      <c r="G70" s="3005"/>
      <c r="N70" s="3005"/>
      <c r="S70" s="3005"/>
    </row>
    <row r="71" spans="1:26" s="3004" customFormat="1">
      <c r="A71" s="3004" t="s">
        <v>2777</v>
      </c>
      <c r="G71" s="3005"/>
      <c r="N71" s="3005"/>
      <c r="S71" s="3005"/>
    </row>
    <row r="72" spans="1:26" s="3004" customFormat="1">
      <c r="A72" s="3004" t="s">
        <v>2778</v>
      </c>
      <c r="G72" s="3005"/>
      <c r="I72" s="3006"/>
      <c r="J72" s="3006"/>
      <c r="K72" s="3006"/>
      <c r="L72" s="3006"/>
      <c r="N72" s="3007"/>
      <c r="O72" s="3006"/>
      <c r="P72" s="3006"/>
      <c r="Q72" s="3006"/>
      <c r="S72" s="3007"/>
      <c r="T72" s="3006"/>
      <c r="U72" s="3006"/>
      <c r="V72" s="3006"/>
    </row>
    <row r="73" spans="1:26" s="3004" customFormat="1">
      <c r="A73" s="3004" t="s">
        <v>2779</v>
      </c>
      <c r="G73" s="3005"/>
      <c r="N73" s="3005"/>
      <c r="S73" s="3005"/>
    </row>
    <row r="80" spans="1:26" ht="13.5" thickBot="1"/>
    <row r="81" spans="14:22" s="2926" customFormat="1">
      <c r="N81" s="2941"/>
      <c r="S81" s="3008" t="s">
        <v>2780</v>
      </c>
      <c r="T81" s="3009" t="s">
        <v>2781</v>
      </c>
      <c r="U81" s="3009" t="s">
        <v>2782</v>
      </c>
      <c r="V81" s="3009" t="s">
        <v>2783</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I2" sqref="I2:L2"/>
      <selection pane="bottomLeft" activeCell="U27" sqref="U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2382</v>
      </c>
      <c r="C1" s="3762" t="s">
        <v>2383</v>
      </c>
      <c r="D1" s="3763"/>
      <c r="E1" s="3763"/>
      <c r="F1" s="3763"/>
      <c r="G1" s="3763"/>
      <c r="H1" s="3763"/>
      <c r="I1" s="3763"/>
      <c r="J1" s="3763"/>
      <c r="K1" s="3763"/>
      <c r="L1" s="3763"/>
      <c r="M1" s="3763"/>
      <c r="N1" s="3763"/>
      <c r="O1" s="3763"/>
      <c r="P1" s="3763"/>
      <c r="Q1" s="3763"/>
      <c r="R1" s="3763"/>
      <c r="S1" s="3764"/>
      <c r="T1" s="2439" t="s">
        <v>2384</v>
      </c>
    </row>
    <row r="2" spans="1:45" s="1116" customFormat="1" ht="38.25">
      <c r="A2" s="2440"/>
      <c r="B2" s="1112" t="s">
        <v>2385</v>
      </c>
      <c r="C2" s="1113" t="str">
        <f t="shared" ref="C2:L2" si="0">C3&amp;"(含)"&amp;"-"&amp;D3</f>
        <v>0(含)-100</v>
      </c>
      <c r="D2" s="1114" t="str">
        <f t="shared" si="0"/>
        <v>100(含)-300</v>
      </c>
      <c r="E2" s="1114" t="str">
        <f t="shared" si="0"/>
        <v>300(含)-500</v>
      </c>
      <c r="F2" s="1114" t="str">
        <f t="shared" si="0"/>
        <v>500(含)-1000</v>
      </c>
      <c r="G2" s="1114" t="str">
        <f t="shared" si="0"/>
        <v>1000(含)-1500</v>
      </c>
      <c r="H2" s="1114" t="str">
        <f t="shared" si="0"/>
        <v>1500(含)-2000</v>
      </c>
      <c r="I2" s="1114" t="str">
        <f t="shared" si="0"/>
        <v>2000(含)-2500</v>
      </c>
      <c r="J2" s="1114" t="str">
        <f t="shared" si="0"/>
        <v>2500(含)-3000</v>
      </c>
      <c r="K2" s="1114" t="str">
        <f t="shared" si="0"/>
        <v>3000(含)-3500</v>
      </c>
      <c r="L2" s="1114" t="str">
        <f t="shared" si="0"/>
        <v>3500(含)-4000</v>
      </c>
      <c r="M2" s="1114" t="str">
        <f t="shared" ref="M2" si="1">M3&amp;"(含)"&amp;"-"&amp;N3</f>
        <v>4000(含)-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100</v>
      </c>
      <c r="E3" s="1119">
        <v>300</v>
      </c>
      <c r="F3" s="1119">
        <v>500</v>
      </c>
      <c r="G3" s="1119">
        <v>1000</v>
      </c>
      <c r="H3" s="1119">
        <v>1500</v>
      </c>
      <c r="I3" s="1119">
        <v>2000</v>
      </c>
      <c r="J3" s="3374">
        <v>2500</v>
      </c>
      <c r="K3" s="3374">
        <v>3000</v>
      </c>
      <c r="L3" s="3375">
        <v>3500</v>
      </c>
      <c r="M3" s="3376">
        <v>4000</v>
      </c>
      <c r="N3" s="3206"/>
      <c r="O3" s="3205"/>
      <c r="P3" s="3205"/>
      <c r="Q3" s="3205"/>
      <c r="R3" s="3205"/>
      <c r="S3" s="320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98</v>
      </c>
      <c r="D4" s="2446">
        <v>99</v>
      </c>
      <c r="E4" s="2446">
        <v>100</v>
      </c>
      <c r="F4" s="2446">
        <v>99</v>
      </c>
      <c r="G4" s="2446">
        <v>98</v>
      </c>
      <c r="H4" s="2446">
        <v>97</v>
      </c>
      <c r="I4" s="2446">
        <v>96</v>
      </c>
      <c r="J4" s="2446">
        <v>95</v>
      </c>
      <c r="K4" s="2446">
        <v>94</v>
      </c>
      <c r="L4" s="2446">
        <v>93</v>
      </c>
      <c r="M4" s="2447">
        <v>92</v>
      </c>
      <c r="N4" s="3209"/>
      <c r="O4" s="3208"/>
      <c r="P4" s="3208"/>
      <c r="Q4" s="3208"/>
      <c r="R4" s="3208"/>
      <c r="S4" s="3210"/>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77" t="s">
        <v>3171</v>
      </c>
      <c r="C5" s="3378" t="s">
        <v>3151</v>
      </c>
      <c r="D5" s="3379" t="s">
        <v>3152</v>
      </c>
      <c r="E5" s="3379" t="s">
        <v>3153</v>
      </c>
      <c r="F5" s="3211"/>
      <c r="G5" s="3211"/>
      <c r="H5" s="3211"/>
      <c r="I5" s="3211"/>
      <c r="J5" s="3211"/>
      <c r="K5" s="3211"/>
      <c r="L5" s="3212"/>
      <c r="M5" s="3213"/>
      <c r="N5" s="3213"/>
      <c r="O5" s="3211"/>
      <c r="P5" s="3211"/>
      <c r="Q5" s="3211"/>
      <c r="R5" s="3211"/>
      <c r="S5" s="3214"/>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80" t="s">
        <v>3172</v>
      </c>
      <c r="C7" s="3381" t="s">
        <v>3155</v>
      </c>
      <c r="D7" s="3382" t="s">
        <v>3156</v>
      </c>
      <c r="E7" s="3382" t="s">
        <v>3157</v>
      </c>
      <c r="F7" s="3382" t="s">
        <v>3158</v>
      </c>
      <c r="G7" s="3216"/>
      <c r="H7" s="3216"/>
      <c r="I7" s="3216"/>
      <c r="J7" s="3216"/>
      <c r="K7" s="3216"/>
      <c r="L7" s="3216"/>
      <c r="M7" s="3217"/>
      <c r="N7" s="3218"/>
      <c r="O7" s="3219"/>
      <c r="P7" s="3220"/>
      <c r="Q7" s="3221"/>
      <c r="R7" s="3222"/>
      <c r="S7" s="3223"/>
      <c r="T7" s="1122">
        <v>2</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98</v>
      </c>
      <c r="E8" s="2204">
        <f t="shared" ref="E8:S8" si="8">D8-$T7</f>
        <v>96</v>
      </c>
      <c r="F8" s="3215">
        <f t="shared" si="8"/>
        <v>94</v>
      </c>
      <c r="G8" s="3215">
        <f t="shared" si="8"/>
        <v>92</v>
      </c>
      <c r="H8" s="3215">
        <f t="shared" si="8"/>
        <v>90</v>
      </c>
      <c r="I8" s="3215">
        <f t="shared" si="8"/>
        <v>88</v>
      </c>
      <c r="J8" s="3215">
        <f t="shared" si="8"/>
        <v>86</v>
      </c>
      <c r="K8" s="3215">
        <f t="shared" si="8"/>
        <v>84</v>
      </c>
      <c r="L8" s="3215">
        <f t="shared" si="8"/>
        <v>82</v>
      </c>
      <c r="M8" s="3215">
        <f t="shared" si="8"/>
        <v>80</v>
      </c>
      <c r="N8" s="3215">
        <f t="shared" si="8"/>
        <v>78</v>
      </c>
      <c r="O8" s="3215">
        <f t="shared" si="8"/>
        <v>76</v>
      </c>
      <c r="P8" s="3215">
        <f t="shared" si="8"/>
        <v>74</v>
      </c>
      <c r="Q8" s="3215">
        <f t="shared" si="8"/>
        <v>72</v>
      </c>
      <c r="R8" s="3215">
        <f t="shared" si="8"/>
        <v>70</v>
      </c>
      <c r="S8" s="3215">
        <f t="shared" si="8"/>
        <v>68</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2" t="s">
        <v>3030</v>
      </c>
      <c r="C9" s="2206"/>
      <c r="D9" s="2200"/>
      <c r="E9" s="2200"/>
      <c r="F9" s="3216"/>
      <c r="G9" s="3216"/>
      <c r="H9" s="3216"/>
      <c r="I9" s="3216"/>
      <c r="J9" s="3216"/>
      <c r="K9" s="3216"/>
      <c r="L9" s="3224"/>
      <c r="M9" s="3217"/>
      <c r="N9" s="3218"/>
      <c r="O9" s="3219"/>
      <c r="P9" s="3220"/>
      <c r="Q9" s="3221"/>
      <c r="R9" s="3222"/>
      <c r="S9" s="322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1" t="s">
        <v>3029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1" t="s">
        <v>3028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1" t="s">
        <v>3027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2386</v>
      </c>
      <c r="B17" s="2482" t="s">
        <v>2387</v>
      </c>
      <c r="C17" s="3378" t="s">
        <v>3151</v>
      </c>
      <c r="D17" s="3379" t="s">
        <v>3152</v>
      </c>
      <c r="E17" s="3379" t="s">
        <v>3153</v>
      </c>
      <c r="F17" s="3383" t="s">
        <v>3173</v>
      </c>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104</v>
      </c>
      <c r="D18" s="2478">
        <v>102</v>
      </c>
      <c r="E18" s="2478">
        <v>100</v>
      </c>
      <c r="F18" s="2478">
        <v>70</v>
      </c>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3352" t="s">
        <v>3062</v>
      </c>
      <c r="E19" s="3347"/>
      <c r="F19" s="3347"/>
      <c r="G19" s="3347"/>
      <c r="H19" s="2535"/>
      <c r="I19" s="500"/>
      <c r="J19" s="500"/>
      <c r="K19" s="500"/>
      <c r="L19" s="500"/>
      <c r="M19" s="500"/>
      <c r="N19" s="500"/>
      <c r="O19" s="500"/>
      <c r="P19" s="500"/>
      <c r="Q19" s="500"/>
      <c r="R19" s="1416"/>
      <c r="S19" s="469"/>
    </row>
    <row r="20" spans="1:45" ht="16.5" thickBot="1">
      <c r="A20" s="1124" t="s">
        <v>521</v>
      </c>
      <c r="B20" s="673">
        <f ca="1">IF(D20="——",S22,S22-F20)</f>
        <v>36848</v>
      </c>
      <c r="C20" s="500"/>
      <c r="D20" s="3348" t="s">
        <v>530</v>
      </c>
      <c r="E20" s="3349"/>
      <c r="F20" s="2439" t="e">
        <f ca="1">SUMIF(INDIRECT("'"&amp;H20&amp;"'"&amp;"!A:A"),"承租人权益价值",INDIRECT("'"&amp;H20&amp;"'"&amp;"!c:c"))</f>
        <v>#REF!</v>
      </c>
      <c r="G20" s="3350" t="s">
        <v>3051</v>
      </c>
      <c r="H20" s="3351"/>
      <c r="I20" s="500"/>
      <c r="J20" s="500"/>
      <c r="K20" s="500"/>
      <c r="L20" s="500"/>
      <c r="M20" s="500"/>
      <c r="N20" s="500"/>
      <c r="O20" s="500"/>
      <c r="P20" s="500"/>
      <c r="Q20" s="500"/>
      <c r="R20" s="1416"/>
      <c r="S20" s="469"/>
    </row>
    <row r="21" spans="1:45" ht="15.75">
      <c r="A21" s="1124" t="s">
        <v>522</v>
      </c>
      <c r="B21" s="673">
        <f ca="1">R22</f>
        <v>31916</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11545.240000000002</v>
      </c>
      <c r="C22" s="3759" t="s">
        <v>169</v>
      </c>
      <c r="D22" s="3760"/>
      <c r="E22" s="3760"/>
      <c r="F22" s="3760"/>
      <c r="G22" s="3760"/>
      <c r="H22" s="3760"/>
      <c r="I22" s="3760"/>
      <c r="J22" s="3760"/>
      <c r="K22" s="3760"/>
      <c r="L22" s="3760"/>
      <c r="M22" s="3760"/>
      <c r="N22" s="3760"/>
      <c r="O22" s="3760"/>
      <c r="P22" s="3760"/>
      <c r="Q22" s="3761"/>
      <c r="R22" s="1125">
        <f ca="1">ROUND(S22*10000/B22,0)</f>
        <v>31916</v>
      </c>
      <c r="S22" s="313">
        <f ca="1">SUM(S24:S10000)</f>
        <v>36848</v>
      </c>
    </row>
    <row r="23" spans="1:45" s="300" customFormat="1" ht="24">
      <c r="A23" s="299" t="s">
        <v>524</v>
      </c>
      <c r="B23" s="299" t="s">
        <v>525</v>
      </c>
      <c r="C23" s="299" t="s">
        <v>526</v>
      </c>
      <c r="D23" s="299" t="str">
        <f>B5</f>
        <v>楼层</v>
      </c>
      <c r="E23" s="299" t="s">
        <v>526</v>
      </c>
      <c r="F23" s="299" t="str">
        <f>B7</f>
        <v>内部装修</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'数据-基础表'!C13</f>
        <v>三层</v>
      </c>
      <c r="B24" s="1127">
        <f>'数据-基础表'!I13</f>
        <v>2099.0100000000002</v>
      </c>
      <c r="C24" s="1128">
        <v>1</v>
      </c>
      <c r="D24" s="1129"/>
      <c r="E24" s="1128">
        <v>1</v>
      </c>
      <c r="F24" s="1129" t="s">
        <v>3139</v>
      </c>
      <c r="G24" s="1128">
        <v>1</v>
      </c>
      <c r="H24" s="1129"/>
      <c r="I24" s="1128">
        <v>1</v>
      </c>
      <c r="J24" s="1129"/>
      <c r="K24" s="1128">
        <v>1</v>
      </c>
      <c r="L24" s="1129"/>
      <c r="M24" s="1128">
        <v>1</v>
      </c>
      <c r="N24" s="1129"/>
      <c r="O24" s="1128">
        <v>1</v>
      </c>
      <c r="P24" s="1129" t="s">
        <v>3145</v>
      </c>
      <c r="Q24" s="1128">
        <v>1</v>
      </c>
      <c r="R24" s="1130">
        <f ca="1">结果表!G20</f>
        <v>32939</v>
      </c>
      <c r="S24" s="1128">
        <f t="shared" ref="S24:S54" ca="1" si="11">ROUND(R24*B24/10000,0)</f>
        <v>6914</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t="str">
        <f>'数据-基础表'!C14</f>
        <v>520、524、526-528</v>
      </c>
      <c r="B25" s="1127">
        <f>'数据-基础表'!I14</f>
        <v>390.54</v>
      </c>
      <c r="C25" s="313">
        <f>IF(B25="",1,(LOOKUP(B25,$3:$3,$4:$4)-LOOKUP($B$24,$3:$3,$4:$4)+100)/100)</f>
        <v>1.04</v>
      </c>
      <c r="D25" s="1129"/>
      <c r="E25" s="313">
        <f>(SUMIF($5:$5,D25,$6:$6)-SUMIF($5:$5,$D$24,$6:$6)+100)/100</f>
        <v>1</v>
      </c>
      <c r="F25" s="1129" t="s">
        <v>3139</v>
      </c>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3145</v>
      </c>
      <c r="Q25" s="313">
        <f>(SUMIF($17:$17,P25,$18:$18)-SUMIF($17:$17,$P$24,$18:$18)+100)/100</f>
        <v>1</v>
      </c>
      <c r="R25" s="1125">
        <f ca="1">IF(B25="",0,ROUND($R$24*C25*E25*G25*I25*K25*M25*O25*Q25,0))</f>
        <v>34257</v>
      </c>
      <c r="S25" s="698">
        <f t="shared" ca="1" si="11"/>
        <v>1338</v>
      </c>
    </row>
    <row r="26" spans="1:45">
      <c r="A26" s="1127" t="str">
        <f>'数据-基础表'!C15</f>
        <v>701-715、725-726</v>
      </c>
      <c r="B26" s="1127">
        <f>'数据-基础表'!I15</f>
        <v>1136.8499999999999</v>
      </c>
      <c r="C26" s="313">
        <f t="shared" ref="C26:C89" si="12">IF(B26="",1,(LOOKUP(B26,$3:$3,$4:$4)-LOOKUP($B$24,$3:$3,$4:$4)+100)/100)</f>
        <v>1.02</v>
      </c>
      <c r="D26" s="1129"/>
      <c r="E26" s="313">
        <f t="shared" ref="E26:E89" si="13">(SUMIF($5:$5,D26,$6:$6)-SUMIF($5:$5,$D$24,$6:$6)+100)/100</f>
        <v>1</v>
      </c>
      <c r="F26" s="1129" t="s">
        <v>3139</v>
      </c>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3145</v>
      </c>
      <c r="Q26" s="313">
        <f t="shared" ref="Q26:Q89" si="19">(SUMIF($17:$17,P26,$18:$18)-SUMIF($17:$17,$P$24,$18:$18)+100)/100</f>
        <v>1</v>
      </c>
      <c r="R26" s="1125">
        <f t="shared" ref="R26:R89" ca="1" si="20">IF(B26="",0,ROUND($R$24*C26*E26*G26*I26*K26*M26*O26*Q26,0))</f>
        <v>33598</v>
      </c>
      <c r="S26" s="698">
        <f t="shared" ca="1" si="11"/>
        <v>3820</v>
      </c>
    </row>
    <row r="27" spans="1:45">
      <c r="A27" s="1127" t="str">
        <f>'数据-基础表'!C16</f>
        <v>807-809、812-817</v>
      </c>
      <c r="B27" s="1127">
        <f>'数据-基础表'!I16</f>
        <v>522.15</v>
      </c>
      <c r="C27" s="313">
        <f t="shared" si="12"/>
        <v>1.03</v>
      </c>
      <c r="D27" s="1129"/>
      <c r="E27" s="313">
        <f t="shared" si="13"/>
        <v>1</v>
      </c>
      <c r="F27" s="1129" t="s">
        <v>3139</v>
      </c>
      <c r="G27" s="313">
        <f t="shared" si="14"/>
        <v>1</v>
      </c>
      <c r="H27" s="1129"/>
      <c r="I27" s="313">
        <f t="shared" si="15"/>
        <v>1</v>
      </c>
      <c r="J27" s="1129"/>
      <c r="K27" s="313">
        <f t="shared" si="16"/>
        <v>1</v>
      </c>
      <c r="L27" s="1129"/>
      <c r="M27" s="313">
        <f t="shared" si="17"/>
        <v>1</v>
      </c>
      <c r="N27" s="1129"/>
      <c r="O27" s="313">
        <f t="shared" si="18"/>
        <v>1</v>
      </c>
      <c r="P27" s="1129" t="s">
        <v>3144</v>
      </c>
      <c r="Q27" s="313">
        <f t="shared" si="19"/>
        <v>1.02</v>
      </c>
      <c r="R27" s="1125">
        <f t="shared" ca="1" si="20"/>
        <v>34606</v>
      </c>
      <c r="S27" s="698">
        <f t="shared" ca="1" si="11"/>
        <v>1807</v>
      </c>
    </row>
    <row r="28" spans="1:45">
      <c r="A28" s="1127" t="str">
        <f>'数据-基础表'!C17</f>
        <v>903-909、912-915、920</v>
      </c>
      <c r="B28" s="1127">
        <f>'数据-基础表'!I17</f>
        <v>747.51</v>
      </c>
      <c r="C28" s="313">
        <f t="shared" si="12"/>
        <v>1.03</v>
      </c>
      <c r="D28" s="1129"/>
      <c r="E28" s="313">
        <f t="shared" si="13"/>
        <v>1</v>
      </c>
      <c r="F28" s="1129" t="s">
        <v>3139</v>
      </c>
      <c r="G28" s="313">
        <f t="shared" si="14"/>
        <v>1</v>
      </c>
      <c r="H28" s="1129"/>
      <c r="I28" s="313">
        <f t="shared" si="15"/>
        <v>1</v>
      </c>
      <c r="J28" s="1129"/>
      <c r="K28" s="313">
        <f t="shared" si="16"/>
        <v>1</v>
      </c>
      <c r="L28" s="1129"/>
      <c r="M28" s="313">
        <f t="shared" si="17"/>
        <v>1</v>
      </c>
      <c r="N28" s="1129"/>
      <c r="O28" s="313">
        <f t="shared" si="18"/>
        <v>1</v>
      </c>
      <c r="P28" s="1129" t="s">
        <v>3144</v>
      </c>
      <c r="Q28" s="313">
        <f t="shared" si="19"/>
        <v>1.02</v>
      </c>
      <c r="R28" s="1125">
        <f t="shared" ca="1" si="20"/>
        <v>34606</v>
      </c>
      <c r="S28" s="698">
        <f t="shared" ca="1" si="11"/>
        <v>2587</v>
      </c>
    </row>
    <row r="29" spans="1:45">
      <c r="A29" s="1127">
        <f>'数据-基础表'!C18</f>
        <v>921</v>
      </c>
      <c r="B29" s="1127"/>
      <c r="C29" s="313">
        <f t="shared" si="12"/>
        <v>1</v>
      </c>
      <c r="D29" s="1129"/>
      <c r="E29" s="313">
        <f t="shared" si="13"/>
        <v>1</v>
      </c>
      <c r="F29" s="1129" t="s">
        <v>3139</v>
      </c>
      <c r="G29" s="313">
        <f t="shared" si="14"/>
        <v>1</v>
      </c>
      <c r="H29" s="1129"/>
      <c r="I29" s="313">
        <f t="shared" si="15"/>
        <v>1</v>
      </c>
      <c r="J29" s="1129"/>
      <c r="K29" s="313">
        <f t="shared" si="16"/>
        <v>1</v>
      </c>
      <c r="L29" s="1129"/>
      <c r="M29" s="313">
        <f t="shared" si="17"/>
        <v>1</v>
      </c>
      <c r="N29" s="1129"/>
      <c r="O29" s="313">
        <f t="shared" si="18"/>
        <v>1</v>
      </c>
      <c r="P29" s="1129" t="s">
        <v>3144</v>
      </c>
      <c r="Q29" s="313">
        <f t="shared" si="19"/>
        <v>1.02</v>
      </c>
      <c r="R29" s="1125">
        <f t="shared" si="20"/>
        <v>0</v>
      </c>
      <c r="S29" s="698">
        <f t="shared" si="11"/>
        <v>0</v>
      </c>
    </row>
    <row r="30" spans="1:45">
      <c r="A30" s="1127" t="str">
        <f>'数据-基础表'!C19</f>
        <v>1105-1110、1112-1115</v>
      </c>
      <c r="B30" s="1127">
        <f>'数据-基础表'!I19</f>
        <v>659.19</v>
      </c>
      <c r="C30" s="313">
        <f t="shared" si="12"/>
        <v>1.03</v>
      </c>
      <c r="D30" s="1129"/>
      <c r="E30" s="313">
        <f t="shared" si="13"/>
        <v>1</v>
      </c>
      <c r="F30" s="1129" t="s">
        <v>3139</v>
      </c>
      <c r="G30" s="313">
        <f t="shared" si="14"/>
        <v>1</v>
      </c>
      <c r="H30" s="1129"/>
      <c r="I30" s="313">
        <f t="shared" si="15"/>
        <v>1</v>
      </c>
      <c r="J30" s="1129"/>
      <c r="K30" s="313">
        <f t="shared" si="16"/>
        <v>1</v>
      </c>
      <c r="L30" s="1129"/>
      <c r="M30" s="313">
        <f t="shared" si="17"/>
        <v>1</v>
      </c>
      <c r="N30" s="1129"/>
      <c r="O30" s="313">
        <f t="shared" si="18"/>
        <v>1</v>
      </c>
      <c r="P30" s="1129" t="s">
        <v>3144</v>
      </c>
      <c r="Q30" s="313">
        <f t="shared" si="19"/>
        <v>1.02</v>
      </c>
      <c r="R30" s="1125">
        <f t="shared" ca="1" si="20"/>
        <v>34606</v>
      </c>
      <c r="S30" s="698">
        <f t="shared" ca="1" si="11"/>
        <v>2281</v>
      </c>
    </row>
    <row r="31" spans="1:45">
      <c r="A31" s="1127">
        <f>'数据-基础表'!C20</f>
        <v>1125</v>
      </c>
      <c r="B31" s="1127"/>
      <c r="C31" s="313">
        <f t="shared" si="12"/>
        <v>1</v>
      </c>
      <c r="D31" s="1129"/>
      <c r="E31" s="313">
        <f t="shared" si="13"/>
        <v>1</v>
      </c>
      <c r="F31" s="1129" t="s">
        <v>3139</v>
      </c>
      <c r="G31" s="313">
        <f t="shared" si="14"/>
        <v>1</v>
      </c>
      <c r="H31" s="1129"/>
      <c r="I31" s="313">
        <f t="shared" si="15"/>
        <v>1</v>
      </c>
      <c r="J31" s="1129"/>
      <c r="K31" s="313">
        <f t="shared" si="16"/>
        <v>1</v>
      </c>
      <c r="L31" s="1129"/>
      <c r="M31" s="313">
        <f t="shared" si="17"/>
        <v>1</v>
      </c>
      <c r="N31" s="1129"/>
      <c r="O31" s="313">
        <f t="shared" si="18"/>
        <v>1</v>
      </c>
      <c r="P31" s="1129" t="s">
        <v>3144</v>
      </c>
      <c r="Q31" s="313">
        <f t="shared" si="19"/>
        <v>1.02</v>
      </c>
      <c r="R31" s="1125">
        <f t="shared" si="20"/>
        <v>0</v>
      </c>
      <c r="S31" s="698">
        <f t="shared" si="11"/>
        <v>0</v>
      </c>
    </row>
    <row r="32" spans="1:45">
      <c r="A32" s="1127">
        <f>'数据-基础表'!C21</f>
        <v>1126</v>
      </c>
      <c r="B32" s="1127"/>
      <c r="C32" s="313">
        <f t="shared" si="12"/>
        <v>1</v>
      </c>
      <c r="D32" s="1129"/>
      <c r="E32" s="313">
        <f t="shared" si="13"/>
        <v>1</v>
      </c>
      <c r="F32" s="1129" t="s">
        <v>3139</v>
      </c>
      <c r="G32" s="313">
        <f t="shared" si="14"/>
        <v>1</v>
      </c>
      <c r="H32" s="1129"/>
      <c r="I32" s="313">
        <f t="shared" si="15"/>
        <v>1</v>
      </c>
      <c r="J32" s="1129"/>
      <c r="K32" s="313">
        <f t="shared" si="16"/>
        <v>1</v>
      </c>
      <c r="L32" s="1129"/>
      <c r="M32" s="313">
        <f t="shared" si="17"/>
        <v>1</v>
      </c>
      <c r="N32" s="1129"/>
      <c r="O32" s="313">
        <f t="shared" si="18"/>
        <v>1</v>
      </c>
      <c r="P32" s="1129" t="s">
        <v>3144</v>
      </c>
      <c r="Q32" s="313">
        <f t="shared" si="19"/>
        <v>1.02</v>
      </c>
      <c r="R32" s="1125">
        <f t="shared" si="20"/>
        <v>0</v>
      </c>
      <c r="S32" s="698">
        <f t="shared" si="11"/>
        <v>0</v>
      </c>
    </row>
    <row r="33" spans="1:19">
      <c r="A33" s="1127" t="str">
        <f>'数据-基础表'!C22</f>
        <v>1206-1212</v>
      </c>
      <c r="B33" s="1127">
        <f>'数据-基础表'!I22</f>
        <v>525.14</v>
      </c>
      <c r="C33" s="313">
        <f t="shared" si="12"/>
        <v>1.03</v>
      </c>
      <c r="D33" s="1129"/>
      <c r="E33" s="313">
        <f t="shared" si="13"/>
        <v>1</v>
      </c>
      <c r="F33" s="1129" t="s">
        <v>3139</v>
      </c>
      <c r="G33" s="313">
        <f t="shared" si="14"/>
        <v>1</v>
      </c>
      <c r="H33" s="1129"/>
      <c r="I33" s="313">
        <f t="shared" si="15"/>
        <v>1</v>
      </c>
      <c r="J33" s="1129"/>
      <c r="K33" s="313">
        <f t="shared" si="16"/>
        <v>1</v>
      </c>
      <c r="L33" s="1129"/>
      <c r="M33" s="313">
        <f t="shared" si="17"/>
        <v>1</v>
      </c>
      <c r="N33" s="1129"/>
      <c r="O33" s="313">
        <f t="shared" si="18"/>
        <v>1</v>
      </c>
      <c r="P33" s="1129" t="s">
        <v>3144</v>
      </c>
      <c r="Q33" s="313">
        <f t="shared" si="19"/>
        <v>1.02</v>
      </c>
      <c r="R33" s="1125">
        <f t="shared" ca="1" si="20"/>
        <v>34606</v>
      </c>
      <c r="S33" s="698">
        <f t="shared" ca="1" si="11"/>
        <v>1817</v>
      </c>
    </row>
    <row r="34" spans="1:19">
      <c r="A34" s="1127" t="str">
        <f>'数据-基础表'!C23</f>
        <v>1212A</v>
      </c>
      <c r="B34" s="1127"/>
      <c r="C34" s="313">
        <f t="shared" si="12"/>
        <v>1</v>
      </c>
      <c r="D34" s="1129"/>
      <c r="E34" s="313">
        <f t="shared" si="13"/>
        <v>1</v>
      </c>
      <c r="F34" s="1129" t="s">
        <v>3139</v>
      </c>
      <c r="G34" s="313">
        <f t="shared" si="14"/>
        <v>1</v>
      </c>
      <c r="H34" s="1129"/>
      <c r="I34" s="313">
        <f t="shared" si="15"/>
        <v>1</v>
      </c>
      <c r="J34" s="1129"/>
      <c r="K34" s="313">
        <f t="shared" si="16"/>
        <v>1</v>
      </c>
      <c r="L34" s="1129"/>
      <c r="M34" s="313">
        <f t="shared" si="17"/>
        <v>1</v>
      </c>
      <c r="N34" s="1129"/>
      <c r="O34" s="313">
        <f t="shared" si="18"/>
        <v>1</v>
      </c>
      <c r="P34" s="1129" t="s">
        <v>3144</v>
      </c>
      <c r="Q34" s="313">
        <f t="shared" si="19"/>
        <v>1.02</v>
      </c>
      <c r="R34" s="1125">
        <f t="shared" si="20"/>
        <v>0</v>
      </c>
      <c r="S34" s="698">
        <f t="shared" si="11"/>
        <v>0</v>
      </c>
    </row>
    <row r="35" spans="1:19">
      <c r="A35" s="1127">
        <f>'数据-基础表'!C24</f>
        <v>1214</v>
      </c>
      <c r="B35" s="1127"/>
      <c r="C35" s="313">
        <f t="shared" si="12"/>
        <v>1</v>
      </c>
      <c r="D35" s="1129"/>
      <c r="E35" s="313">
        <f t="shared" si="13"/>
        <v>1</v>
      </c>
      <c r="F35" s="1129" t="s">
        <v>3139</v>
      </c>
      <c r="G35" s="313">
        <f t="shared" si="14"/>
        <v>1</v>
      </c>
      <c r="H35" s="1129"/>
      <c r="I35" s="313">
        <f t="shared" si="15"/>
        <v>1</v>
      </c>
      <c r="J35" s="1129"/>
      <c r="K35" s="313">
        <f t="shared" si="16"/>
        <v>1</v>
      </c>
      <c r="L35" s="1129"/>
      <c r="M35" s="313">
        <f t="shared" si="17"/>
        <v>1</v>
      </c>
      <c r="N35" s="1129"/>
      <c r="O35" s="313">
        <f t="shared" si="18"/>
        <v>1</v>
      </c>
      <c r="P35" s="1129" t="s">
        <v>3144</v>
      </c>
      <c r="Q35" s="313">
        <f t="shared" si="19"/>
        <v>1.02</v>
      </c>
      <c r="R35" s="1125">
        <f t="shared" si="20"/>
        <v>0</v>
      </c>
      <c r="S35" s="698">
        <f t="shared" si="11"/>
        <v>0</v>
      </c>
    </row>
    <row r="36" spans="1:19">
      <c r="A36" s="1127" t="str">
        <f>'数据-基础表'!C25</f>
        <v>13层</v>
      </c>
      <c r="B36" s="1127">
        <f>'数据-基础表'!I25</f>
        <v>1776.4</v>
      </c>
      <c r="C36" s="313">
        <f t="shared" si="12"/>
        <v>1.01</v>
      </c>
      <c r="D36" s="1129"/>
      <c r="E36" s="313">
        <f t="shared" si="13"/>
        <v>1</v>
      </c>
      <c r="F36" s="1129" t="s">
        <v>3139</v>
      </c>
      <c r="G36" s="313">
        <f t="shared" si="14"/>
        <v>1</v>
      </c>
      <c r="H36" s="1129"/>
      <c r="I36" s="313">
        <f t="shared" si="15"/>
        <v>1</v>
      </c>
      <c r="J36" s="1129"/>
      <c r="K36" s="313">
        <f t="shared" si="16"/>
        <v>1</v>
      </c>
      <c r="L36" s="1129"/>
      <c r="M36" s="313">
        <f t="shared" si="17"/>
        <v>1</v>
      </c>
      <c r="N36" s="1129"/>
      <c r="O36" s="313">
        <f t="shared" si="18"/>
        <v>1</v>
      </c>
      <c r="P36" s="1129" t="s">
        <v>3144</v>
      </c>
      <c r="Q36" s="313">
        <f t="shared" si="19"/>
        <v>1.02</v>
      </c>
      <c r="R36" s="1125">
        <f t="shared" ca="1" si="20"/>
        <v>33934</v>
      </c>
      <c r="S36" s="698">
        <f t="shared" ca="1" si="11"/>
        <v>6028</v>
      </c>
    </row>
    <row r="37" spans="1:19">
      <c r="A37" s="1127" t="str">
        <f>'数据-基础表'!C26</f>
        <v>1701、1709、1711-1712</v>
      </c>
      <c r="B37" s="1127"/>
      <c r="C37" s="313">
        <f t="shared" si="12"/>
        <v>1</v>
      </c>
      <c r="D37" s="1129"/>
      <c r="E37" s="313">
        <f t="shared" si="13"/>
        <v>1</v>
      </c>
      <c r="F37" s="1129" t="s">
        <v>3139</v>
      </c>
      <c r="G37" s="313">
        <f t="shared" si="14"/>
        <v>1</v>
      </c>
      <c r="H37" s="1129"/>
      <c r="I37" s="313">
        <f t="shared" si="15"/>
        <v>1</v>
      </c>
      <c r="J37" s="1129"/>
      <c r="K37" s="313">
        <f t="shared" si="16"/>
        <v>1</v>
      </c>
      <c r="L37" s="1129"/>
      <c r="M37" s="313">
        <f t="shared" si="17"/>
        <v>1</v>
      </c>
      <c r="N37" s="1129"/>
      <c r="O37" s="313">
        <f t="shared" si="18"/>
        <v>1</v>
      </c>
      <c r="P37" s="1129" t="s">
        <v>3137</v>
      </c>
      <c r="Q37" s="313">
        <f t="shared" si="19"/>
        <v>1.04</v>
      </c>
      <c r="R37" s="1125">
        <f t="shared" si="20"/>
        <v>0</v>
      </c>
      <c r="S37" s="698">
        <f t="shared" si="11"/>
        <v>0</v>
      </c>
    </row>
    <row r="38" spans="1:19">
      <c r="A38" s="1127">
        <f>'数据-基础表'!C27</f>
        <v>1705</v>
      </c>
      <c r="B38" s="1127"/>
      <c r="C38" s="313">
        <f t="shared" si="12"/>
        <v>1</v>
      </c>
      <c r="D38" s="1129"/>
      <c r="E38" s="313">
        <f t="shared" si="13"/>
        <v>1</v>
      </c>
      <c r="F38" s="1129" t="s">
        <v>3139</v>
      </c>
      <c r="G38" s="313">
        <f t="shared" si="14"/>
        <v>1</v>
      </c>
      <c r="H38" s="1129"/>
      <c r="I38" s="313">
        <f t="shared" si="15"/>
        <v>1</v>
      </c>
      <c r="J38" s="1129"/>
      <c r="K38" s="313">
        <f t="shared" si="16"/>
        <v>1</v>
      </c>
      <c r="L38" s="1129"/>
      <c r="M38" s="313">
        <f t="shared" si="17"/>
        <v>1</v>
      </c>
      <c r="N38" s="1129"/>
      <c r="O38" s="313">
        <f t="shared" si="18"/>
        <v>1</v>
      </c>
      <c r="P38" s="1129" t="s">
        <v>3137</v>
      </c>
      <c r="Q38" s="313">
        <f t="shared" si="19"/>
        <v>1.04</v>
      </c>
      <c r="R38" s="1125">
        <f t="shared" si="20"/>
        <v>0</v>
      </c>
      <c r="S38" s="698">
        <f t="shared" si="11"/>
        <v>0</v>
      </c>
    </row>
    <row r="39" spans="1:19">
      <c r="A39" s="1127">
        <f>'数据-基础表'!C28</f>
        <v>1706</v>
      </c>
      <c r="B39" s="1127"/>
      <c r="C39" s="313">
        <f t="shared" si="12"/>
        <v>1</v>
      </c>
      <c r="D39" s="1129"/>
      <c r="E39" s="313">
        <f t="shared" si="13"/>
        <v>1</v>
      </c>
      <c r="F39" s="1129" t="s">
        <v>3139</v>
      </c>
      <c r="G39" s="313">
        <f t="shared" si="14"/>
        <v>1</v>
      </c>
      <c r="H39" s="1129"/>
      <c r="I39" s="313">
        <f t="shared" si="15"/>
        <v>1</v>
      </c>
      <c r="J39" s="1129"/>
      <c r="K39" s="313">
        <f t="shared" si="16"/>
        <v>1</v>
      </c>
      <c r="L39" s="1129"/>
      <c r="M39" s="313">
        <f t="shared" si="17"/>
        <v>1</v>
      </c>
      <c r="N39" s="1129"/>
      <c r="O39" s="313">
        <f t="shared" si="18"/>
        <v>1</v>
      </c>
      <c r="P39" s="1129" t="s">
        <v>3137</v>
      </c>
      <c r="Q39" s="313">
        <f t="shared" si="19"/>
        <v>1.04</v>
      </c>
      <c r="R39" s="1125">
        <f t="shared" si="20"/>
        <v>0</v>
      </c>
      <c r="S39" s="698">
        <f t="shared" si="11"/>
        <v>0</v>
      </c>
    </row>
    <row r="40" spans="1:19">
      <c r="A40" s="1127">
        <f>'数据-基础表'!C29</f>
        <v>1707</v>
      </c>
      <c r="B40" s="1127"/>
      <c r="C40" s="313">
        <f t="shared" si="12"/>
        <v>1</v>
      </c>
      <c r="D40" s="1129"/>
      <c r="E40" s="313">
        <f t="shared" si="13"/>
        <v>1</v>
      </c>
      <c r="F40" s="1129" t="s">
        <v>3139</v>
      </c>
      <c r="G40" s="313">
        <f t="shared" si="14"/>
        <v>1</v>
      </c>
      <c r="H40" s="1129"/>
      <c r="I40" s="313">
        <f t="shared" si="15"/>
        <v>1</v>
      </c>
      <c r="J40" s="1129"/>
      <c r="K40" s="313">
        <f t="shared" si="16"/>
        <v>1</v>
      </c>
      <c r="L40" s="1129"/>
      <c r="M40" s="313">
        <f t="shared" si="17"/>
        <v>1</v>
      </c>
      <c r="N40" s="1129"/>
      <c r="O40" s="313">
        <f t="shared" si="18"/>
        <v>1</v>
      </c>
      <c r="P40" s="1129" t="s">
        <v>3137</v>
      </c>
      <c r="Q40" s="313">
        <f t="shared" si="19"/>
        <v>1.04</v>
      </c>
      <c r="R40" s="1125">
        <f t="shared" si="20"/>
        <v>0</v>
      </c>
      <c r="S40" s="698">
        <f t="shared" si="11"/>
        <v>0</v>
      </c>
    </row>
    <row r="41" spans="1:19">
      <c r="A41" s="1127">
        <f>'数据-基础表'!C30</f>
        <v>1708</v>
      </c>
      <c r="B41" s="1127"/>
      <c r="C41" s="313">
        <f t="shared" si="12"/>
        <v>1</v>
      </c>
      <c r="D41" s="1129"/>
      <c r="E41" s="313">
        <f t="shared" si="13"/>
        <v>1</v>
      </c>
      <c r="F41" s="1129" t="s">
        <v>3139</v>
      </c>
      <c r="G41" s="313">
        <f t="shared" si="14"/>
        <v>1</v>
      </c>
      <c r="H41" s="1129"/>
      <c r="I41" s="313">
        <f t="shared" si="15"/>
        <v>1</v>
      </c>
      <c r="J41" s="1129"/>
      <c r="K41" s="313">
        <f t="shared" si="16"/>
        <v>1</v>
      </c>
      <c r="L41" s="1129"/>
      <c r="M41" s="313">
        <f t="shared" si="17"/>
        <v>1</v>
      </c>
      <c r="N41" s="1129"/>
      <c r="O41" s="313">
        <f t="shared" si="18"/>
        <v>1</v>
      </c>
      <c r="P41" s="1129" t="s">
        <v>3137</v>
      </c>
      <c r="Q41" s="313">
        <f t="shared" si="19"/>
        <v>1.04</v>
      </c>
      <c r="R41" s="1125">
        <f t="shared" si="20"/>
        <v>0</v>
      </c>
      <c r="S41" s="698">
        <f t="shared" si="11"/>
        <v>0</v>
      </c>
    </row>
    <row r="42" spans="1:19">
      <c r="A42" s="1127" t="str">
        <f>'数据-基础表'!C31</f>
        <v>19层</v>
      </c>
      <c r="B42" s="1127">
        <f>'数据-基础表'!I31</f>
        <v>1677.77</v>
      </c>
      <c r="C42" s="313">
        <f t="shared" si="12"/>
        <v>1.01</v>
      </c>
      <c r="D42" s="1129"/>
      <c r="E42" s="313">
        <f t="shared" si="13"/>
        <v>1</v>
      </c>
      <c r="F42" s="1129" t="s">
        <v>3139</v>
      </c>
      <c r="G42" s="313">
        <f t="shared" si="14"/>
        <v>1</v>
      </c>
      <c r="H42" s="1129"/>
      <c r="I42" s="313">
        <f t="shared" si="15"/>
        <v>1</v>
      </c>
      <c r="J42" s="1129"/>
      <c r="K42" s="313">
        <f t="shared" si="16"/>
        <v>1</v>
      </c>
      <c r="L42" s="1129"/>
      <c r="M42" s="313">
        <f t="shared" si="17"/>
        <v>1</v>
      </c>
      <c r="N42" s="1129"/>
      <c r="O42" s="313">
        <f t="shared" si="18"/>
        <v>1</v>
      </c>
      <c r="P42" s="1129" t="s">
        <v>3137</v>
      </c>
      <c r="Q42" s="313">
        <f t="shared" si="19"/>
        <v>1.04</v>
      </c>
      <c r="R42" s="1125">
        <f t="shared" ca="1" si="20"/>
        <v>34599</v>
      </c>
      <c r="S42" s="698">
        <f t="shared" ca="1" si="11"/>
        <v>5805</v>
      </c>
    </row>
    <row r="43" spans="1:19">
      <c r="A43" s="1127" t="str">
        <f>'数据-基础表'!C32</f>
        <v>1807-1808、1812-1816</v>
      </c>
      <c r="B43" s="1127"/>
      <c r="C43" s="313">
        <f t="shared" si="12"/>
        <v>1</v>
      </c>
      <c r="D43" s="1129"/>
      <c r="E43" s="313">
        <f t="shared" si="13"/>
        <v>1</v>
      </c>
      <c r="F43" s="1129" t="s">
        <v>3139</v>
      </c>
      <c r="G43" s="313">
        <f t="shared" si="14"/>
        <v>1</v>
      </c>
      <c r="H43" s="1129"/>
      <c r="I43" s="313">
        <f t="shared" si="15"/>
        <v>1</v>
      </c>
      <c r="J43" s="1129"/>
      <c r="K43" s="313">
        <f t="shared" si="16"/>
        <v>1</v>
      </c>
      <c r="L43" s="1129"/>
      <c r="M43" s="313">
        <f t="shared" si="17"/>
        <v>1</v>
      </c>
      <c r="N43" s="1129"/>
      <c r="O43" s="313">
        <f t="shared" si="18"/>
        <v>1</v>
      </c>
      <c r="P43" s="1129" t="s">
        <v>3137</v>
      </c>
      <c r="Q43" s="313">
        <f t="shared" si="19"/>
        <v>1.04</v>
      </c>
      <c r="R43" s="1125">
        <f t="shared" si="20"/>
        <v>0</v>
      </c>
      <c r="S43" s="698">
        <f t="shared" si="11"/>
        <v>0</v>
      </c>
    </row>
    <row r="44" spans="1:19">
      <c r="A44" s="1127" t="str">
        <f>'数据-基础表'!C33</f>
        <v>1-8、员工宿舍</v>
      </c>
      <c r="B44" s="1127">
        <f>'数据-基础表'!I33</f>
        <v>2010.68</v>
      </c>
      <c r="C44" s="313">
        <f t="shared" si="12"/>
        <v>1</v>
      </c>
      <c r="D44" s="1129"/>
      <c r="E44" s="313">
        <f t="shared" si="13"/>
        <v>1</v>
      </c>
      <c r="F44" s="1129" t="s">
        <v>3174</v>
      </c>
      <c r="G44" s="3389">
        <f t="shared" si="14"/>
        <v>0.96</v>
      </c>
      <c r="H44" s="1129"/>
      <c r="I44" s="313">
        <f t="shared" si="15"/>
        <v>1</v>
      </c>
      <c r="J44" s="1129"/>
      <c r="K44" s="313">
        <f t="shared" si="16"/>
        <v>1</v>
      </c>
      <c r="L44" s="1129"/>
      <c r="M44" s="313">
        <f t="shared" si="17"/>
        <v>1</v>
      </c>
      <c r="N44" s="1129"/>
      <c r="O44" s="313">
        <f t="shared" si="18"/>
        <v>1</v>
      </c>
      <c r="P44" s="1129" t="s">
        <v>3084</v>
      </c>
      <c r="Q44" s="3389">
        <f t="shared" si="19"/>
        <v>0.7</v>
      </c>
      <c r="R44" s="1125">
        <f t="shared" ca="1" si="20"/>
        <v>22135</v>
      </c>
      <c r="S44" s="698">
        <f t="shared" ca="1" si="11"/>
        <v>4451</v>
      </c>
    </row>
    <row r="45" spans="1:19">
      <c r="A45" s="1127"/>
      <c r="B45" s="348"/>
      <c r="C45" s="313">
        <f t="shared" si="12"/>
        <v>1</v>
      </c>
      <c r="D45" s="1129"/>
      <c r="E45" s="313">
        <f t="shared" si="13"/>
        <v>1</v>
      </c>
      <c r="F45" s="1129"/>
      <c r="G45" s="313">
        <f t="shared" si="14"/>
        <v>0.02</v>
      </c>
      <c r="H45" s="1129"/>
      <c r="I45" s="313">
        <f t="shared" si="15"/>
        <v>1</v>
      </c>
      <c r="J45" s="1129"/>
      <c r="K45" s="313">
        <f t="shared" si="16"/>
        <v>1</v>
      </c>
      <c r="L45" s="1129"/>
      <c r="M45" s="313">
        <f t="shared" si="17"/>
        <v>1</v>
      </c>
      <c r="N45" s="1129"/>
      <c r="O45" s="313">
        <f t="shared" si="18"/>
        <v>1</v>
      </c>
      <c r="P45" s="1129"/>
      <c r="Q45" s="313">
        <f t="shared" si="19"/>
        <v>0</v>
      </c>
      <c r="R45" s="1125">
        <f t="shared" si="20"/>
        <v>0</v>
      </c>
      <c r="S45" s="698">
        <f t="shared" si="11"/>
        <v>0</v>
      </c>
    </row>
    <row r="46" spans="1:19">
      <c r="A46" s="491"/>
      <c r="B46" s="348"/>
      <c r="C46" s="313">
        <f t="shared" si="12"/>
        <v>1</v>
      </c>
      <c r="D46" s="1129"/>
      <c r="E46" s="313">
        <f t="shared" si="13"/>
        <v>1</v>
      </c>
      <c r="F46" s="1129"/>
      <c r="G46" s="313">
        <f t="shared" si="14"/>
        <v>0.02</v>
      </c>
      <c r="H46" s="1129"/>
      <c r="I46" s="313">
        <f t="shared" si="15"/>
        <v>1</v>
      </c>
      <c r="J46" s="1129"/>
      <c r="K46" s="313">
        <f t="shared" si="16"/>
        <v>1</v>
      </c>
      <c r="L46" s="1129"/>
      <c r="M46" s="313">
        <f t="shared" si="17"/>
        <v>1</v>
      </c>
      <c r="N46" s="1129"/>
      <c r="O46" s="313">
        <f t="shared" si="18"/>
        <v>1</v>
      </c>
      <c r="P46" s="1129"/>
      <c r="Q46" s="313">
        <f t="shared" si="19"/>
        <v>0</v>
      </c>
      <c r="R46" s="1125">
        <f t="shared" si="20"/>
        <v>0</v>
      </c>
      <c r="S46" s="698">
        <f t="shared" si="11"/>
        <v>0</v>
      </c>
    </row>
    <row r="47" spans="1:19">
      <c r="A47" s="491"/>
      <c r="B47" s="348"/>
      <c r="C47" s="313">
        <f t="shared" si="12"/>
        <v>1</v>
      </c>
      <c r="D47" s="1129"/>
      <c r="E47" s="313">
        <f t="shared" si="13"/>
        <v>1</v>
      </c>
      <c r="F47" s="1129"/>
      <c r="G47" s="313">
        <f t="shared" si="14"/>
        <v>0.02</v>
      </c>
      <c r="H47" s="1129"/>
      <c r="I47" s="313">
        <f t="shared" si="15"/>
        <v>1</v>
      </c>
      <c r="J47" s="1129"/>
      <c r="K47" s="313">
        <f t="shared" si="16"/>
        <v>1</v>
      </c>
      <c r="L47" s="1129"/>
      <c r="M47" s="313">
        <f t="shared" si="17"/>
        <v>1</v>
      </c>
      <c r="N47" s="1129"/>
      <c r="O47" s="313">
        <f t="shared" si="18"/>
        <v>1</v>
      </c>
      <c r="P47" s="1129"/>
      <c r="Q47" s="313">
        <f t="shared" si="19"/>
        <v>0</v>
      </c>
      <c r="R47" s="1125">
        <f t="shared" si="20"/>
        <v>0</v>
      </c>
      <c r="S47" s="698">
        <f t="shared" si="11"/>
        <v>0</v>
      </c>
    </row>
    <row r="48" spans="1:19">
      <c r="A48" s="491"/>
      <c r="B48" s="348"/>
      <c r="C48" s="313">
        <f t="shared" si="12"/>
        <v>1</v>
      </c>
      <c r="D48" s="1129"/>
      <c r="E48" s="313">
        <f t="shared" si="13"/>
        <v>1</v>
      </c>
      <c r="F48" s="1129"/>
      <c r="G48" s="313">
        <f t="shared" si="14"/>
        <v>0.02</v>
      </c>
      <c r="H48" s="1129"/>
      <c r="I48" s="313">
        <f t="shared" si="15"/>
        <v>1</v>
      </c>
      <c r="J48" s="1129"/>
      <c r="K48" s="313">
        <f t="shared" si="16"/>
        <v>1</v>
      </c>
      <c r="L48" s="1129"/>
      <c r="M48" s="313">
        <f t="shared" si="17"/>
        <v>1</v>
      </c>
      <c r="N48" s="1129"/>
      <c r="O48" s="313">
        <f t="shared" si="18"/>
        <v>1</v>
      </c>
      <c r="P48" s="1129"/>
      <c r="Q48" s="313">
        <f t="shared" si="19"/>
        <v>0</v>
      </c>
      <c r="R48" s="1125">
        <f t="shared" si="20"/>
        <v>0</v>
      </c>
      <c r="S48" s="698">
        <f t="shared" si="11"/>
        <v>0</v>
      </c>
    </row>
    <row r="49" spans="1:19">
      <c r="A49" s="491"/>
      <c r="B49" s="348"/>
      <c r="C49" s="313">
        <f t="shared" si="12"/>
        <v>1</v>
      </c>
      <c r="D49" s="1129"/>
      <c r="E49" s="313">
        <f t="shared" si="13"/>
        <v>1</v>
      </c>
      <c r="F49" s="1129"/>
      <c r="G49" s="313">
        <f t="shared" si="14"/>
        <v>0.02</v>
      </c>
      <c r="H49" s="1129"/>
      <c r="I49" s="313">
        <f t="shared" si="15"/>
        <v>1</v>
      </c>
      <c r="J49" s="1129"/>
      <c r="K49" s="313">
        <f t="shared" si="16"/>
        <v>1</v>
      </c>
      <c r="L49" s="1129"/>
      <c r="M49" s="313">
        <f t="shared" si="17"/>
        <v>1</v>
      </c>
      <c r="N49" s="1129"/>
      <c r="O49" s="313">
        <f t="shared" si="18"/>
        <v>1</v>
      </c>
      <c r="P49" s="1129"/>
      <c r="Q49" s="313">
        <f t="shared" si="19"/>
        <v>0</v>
      </c>
      <c r="R49" s="1125">
        <f t="shared" si="20"/>
        <v>0</v>
      </c>
      <c r="S49" s="698">
        <f t="shared" si="11"/>
        <v>0</v>
      </c>
    </row>
    <row r="50" spans="1:19">
      <c r="A50" s="491"/>
      <c r="B50" s="348"/>
      <c r="C50" s="313">
        <f t="shared" si="12"/>
        <v>1</v>
      </c>
      <c r="D50" s="1129"/>
      <c r="E50" s="313">
        <f t="shared" si="13"/>
        <v>1</v>
      </c>
      <c r="F50" s="1129"/>
      <c r="G50" s="313">
        <f t="shared" si="14"/>
        <v>0.02</v>
      </c>
      <c r="H50" s="1129"/>
      <c r="I50" s="313">
        <f t="shared" si="15"/>
        <v>1</v>
      </c>
      <c r="J50" s="1129"/>
      <c r="K50" s="313">
        <f t="shared" si="16"/>
        <v>1</v>
      </c>
      <c r="L50" s="1129"/>
      <c r="M50" s="313">
        <f t="shared" si="17"/>
        <v>1</v>
      </c>
      <c r="N50" s="1129"/>
      <c r="O50" s="313">
        <f t="shared" si="18"/>
        <v>1</v>
      </c>
      <c r="P50" s="1129"/>
      <c r="Q50" s="313">
        <f t="shared" si="19"/>
        <v>0</v>
      </c>
      <c r="R50" s="1125">
        <f t="shared" si="20"/>
        <v>0</v>
      </c>
      <c r="S50" s="698">
        <f t="shared" si="11"/>
        <v>0</v>
      </c>
    </row>
    <row r="51" spans="1:19">
      <c r="A51" s="491"/>
      <c r="B51" s="348"/>
      <c r="C51" s="313">
        <f t="shared" si="12"/>
        <v>1</v>
      </c>
      <c r="D51" s="1129"/>
      <c r="E51" s="313">
        <f t="shared" si="13"/>
        <v>1</v>
      </c>
      <c r="F51" s="1129"/>
      <c r="G51" s="313">
        <f t="shared" si="14"/>
        <v>0.02</v>
      </c>
      <c r="H51" s="1129"/>
      <c r="I51" s="313">
        <f t="shared" si="15"/>
        <v>1</v>
      </c>
      <c r="J51" s="1129"/>
      <c r="K51" s="313">
        <f t="shared" si="16"/>
        <v>1</v>
      </c>
      <c r="L51" s="1129"/>
      <c r="M51" s="313">
        <f t="shared" si="17"/>
        <v>1</v>
      </c>
      <c r="N51" s="1129"/>
      <c r="O51" s="313">
        <f t="shared" si="18"/>
        <v>1</v>
      </c>
      <c r="P51" s="1129"/>
      <c r="Q51" s="313">
        <f t="shared" si="19"/>
        <v>0</v>
      </c>
      <c r="R51" s="1125">
        <f t="shared" si="20"/>
        <v>0</v>
      </c>
      <c r="S51" s="698">
        <f t="shared" si="11"/>
        <v>0</v>
      </c>
    </row>
    <row r="52" spans="1:19">
      <c r="A52" s="491"/>
      <c r="B52" s="348"/>
      <c r="C52" s="313">
        <f t="shared" si="12"/>
        <v>1</v>
      </c>
      <c r="D52" s="1129"/>
      <c r="E52" s="313">
        <f t="shared" si="13"/>
        <v>1</v>
      </c>
      <c r="F52" s="1129"/>
      <c r="G52" s="313">
        <f t="shared" si="14"/>
        <v>0.02</v>
      </c>
      <c r="H52" s="1129"/>
      <c r="I52" s="313">
        <f t="shared" si="15"/>
        <v>1</v>
      </c>
      <c r="J52" s="1129"/>
      <c r="K52" s="313">
        <f t="shared" si="16"/>
        <v>1</v>
      </c>
      <c r="L52" s="1129"/>
      <c r="M52" s="313">
        <f t="shared" si="17"/>
        <v>1</v>
      </c>
      <c r="N52" s="1129"/>
      <c r="O52" s="313">
        <f t="shared" si="18"/>
        <v>1</v>
      </c>
      <c r="P52" s="1129"/>
      <c r="Q52" s="313">
        <f t="shared" si="19"/>
        <v>0</v>
      </c>
      <c r="R52" s="1125">
        <f t="shared" si="20"/>
        <v>0</v>
      </c>
      <c r="S52" s="698">
        <f t="shared" si="11"/>
        <v>0</v>
      </c>
    </row>
    <row r="53" spans="1:19">
      <c r="A53" s="491"/>
      <c r="B53" s="348"/>
      <c r="C53" s="313">
        <f t="shared" si="12"/>
        <v>1</v>
      </c>
      <c r="D53" s="1129"/>
      <c r="E53" s="313">
        <f t="shared" si="13"/>
        <v>1</v>
      </c>
      <c r="F53" s="1129"/>
      <c r="G53" s="313">
        <f t="shared" si="14"/>
        <v>0.02</v>
      </c>
      <c r="H53" s="1129"/>
      <c r="I53" s="313">
        <f t="shared" si="15"/>
        <v>1</v>
      </c>
      <c r="J53" s="1129"/>
      <c r="K53" s="313">
        <f t="shared" si="16"/>
        <v>1</v>
      </c>
      <c r="L53" s="1129"/>
      <c r="M53" s="313">
        <f t="shared" si="17"/>
        <v>1</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0.02</v>
      </c>
      <c r="H54" s="1129"/>
      <c r="I54" s="313">
        <f t="shared" si="15"/>
        <v>1</v>
      </c>
      <c r="J54" s="1129"/>
      <c r="K54" s="313">
        <f t="shared" si="16"/>
        <v>1</v>
      </c>
      <c r="L54" s="1129"/>
      <c r="M54" s="313">
        <f t="shared" si="17"/>
        <v>1</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0.02</v>
      </c>
      <c r="H55" s="1129"/>
      <c r="I55" s="313">
        <f t="shared" si="15"/>
        <v>1</v>
      </c>
      <c r="J55" s="1129"/>
      <c r="K55" s="313">
        <f t="shared" si="16"/>
        <v>1</v>
      </c>
      <c r="L55" s="1129"/>
      <c r="M55" s="313">
        <f t="shared" si="17"/>
        <v>1</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0.02</v>
      </c>
      <c r="H56" s="1129"/>
      <c r="I56" s="313">
        <f t="shared" si="15"/>
        <v>1</v>
      </c>
      <c r="J56" s="1129"/>
      <c r="K56" s="313">
        <f t="shared" si="16"/>
        <v>1</v>
      </c>
      <c r="L56" s="1129"/>
      <c r="M56" s="313">
        <f t="shared" si="17"/>
        <v>1</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0.02</v>
      </c>
      <c r="H57" s="1129"/>
      <c r="I57" s="313">
        <f t="shared" si="15"/>
        <v>1</v>
      </c>
      <c r="J57" s="1129"/>
      <c r="K57" s="313">
        <f t="shared" si="16"/>
        <v>1</v>
      </c>
      <c r="L57" s="1129"/>
      <c r="M57" s="313">
        <f t="shared" si="17"/>
        <v>1</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0.02</v>
      </c>
      <c r="H58" s="1129"/>
      <c r="I58" s="313">
        <f t="shared" si="15"/>
        <v>1</v>
      </c>
      <c r="J58" s="1129"/>
      <c r="K58" s="313">
        <f t="shared" si="16"/>
        <v>1</v>
      </c>
      <c r="L58" s="1129"/>
      <c r="M58" s="313">
        <f t="shared" si="17"/>
        <v>1</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0.02</v>
      </c>
      <c r="H59" s="1129"/>
      <c r="I59" s="313">
        <f t="shared" si="15"/>
        <v>1</v>
      </c>
      <c r="J59" s="1129"/>
      <c r="K59" s="313">
        <f t="shared" si="16"/>
        <v>1</v>
      </c>
      <c r="L59" s="1129"/>
      <c r="M59" s="313">
        <f t="shared" si="17"/>
        <v>1</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0.02</v>
      </c>
      <c r="H60" s="1129"/>
      <c r="I60" s="313">
        <f t="shared" si="15"/>
        <v>1</v>
      </c>
      <c r="J60" s="1129"/>
      <c r="K60" s="313">
        <f t="shared" si="16"/>
        <v>1</v>
      </c>
      <c r="L60" s="1129"/>
      <c r="M60" s="313">
        <f t="shared" si="17"/>
        <v>1</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0.02</v>
      </c>
      <c r="H61" s="1129"/>
      <c r="I61" s="313">
        <f t="shared" si="15"/>
        <v>1</v>
      </c>
      <c r="J61" s="1129"/>
      <c r="K61" s="313">
        <f t="shared" si="16"/>
        <v>1</v>
      </c>
      <c r="L61" s="1129"/>
      <c r="M61" s="313">
        <f t="shared" si="17"/>
        <v>1</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0.02</v>
      </c>
      <c r="H62" s="1129"/>
      <c r="I62" s="313">
        <f t="shared" si="15"/>
        <v>1</v>
      </c>
      <c r="J62" s="1129"/>
      <c r="K62" s="313">
        <f t="shared" si="16"/>
        <v>1</v>
      </c>
      <c r="L62" s="1129"/>
      <c r="M62" s="313">
        <f t="shared" si="17"/>
        <v>1</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0.02</v>
      </c>
      <c r="H63" s="1129"/>
      <c r="I63" s="313">
        <f t="shared" si="15"/>
        <v>1</v>
      </c>
      <c r="J63" s="1129"/>
      <c r="K63" s="313">
        <f t="shared" si="16"/>
        <v>1</v>
      </c>
      <c r="L63" s="1129"/>
      <c r="M63" s="313">
        <f t="shared" si="17"/>
        <v>1</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0.02</v>
      </c>
      <c r="H64" s="1129"/>
      <c r="I64" s="313">
        <f t="shared" si="15"/>
        <v>1</v>
      </c>
      <c r="J64" s="1129"/>
      <c r="K64" s="313">
        <f t="shared" si="16"/>
        <v>1</v>
      </c>
      <c r="L64" s="1129"/>
      <c r="M64" s="313">
        <f t="shared" si="17"/>
        <v>1</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0.02</v>
      </c>
      <c r="H65" s="1129"/>
      <c r="I65" s="313">
        <f t="shared" si="15"/>
        <v>1</v>
      </c>
      <c r="J65" s="1129"/>
      <c r="K65" s="313">
        <f t="shared" si="16"/>
        <v>1</v>
      </c>
      <c r="L65" s="1129"/>
      <c r="M65" s="313">
        <f t="shared" si="17"/>
        <v>1</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0.02</v>
      </c>
      <c r="H66" s="1129"/>
      <c r="I66" s="313">
        <f t="shared" si="15"/>
        <v>1</v>
      </c>
      <c r="J66" s="1129"/>
      <c r="K66" s="313">
        <f t="shared" si="16"/>
        <v>1</v>
      </c>
      <c r="L66" s="1129"/>
      <c r="M66" s="313">
        <f t="shared" si="17"/>
        <v>1</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0.02</v>
      </c>
      <c r="H67" s="1129"/>
      <c r="I67" s="313">
        <f t="shared" si="15"/>
        <v>1</v>
      </c>
      <c r="J67" s="1129"/>
      <c r="K67" s="313">
        <f t="shared" si="16"/>
        <v>1</v>
      </c>
      <c r="L67" s="1129"/>
      <c r="M67" s="313">
        <f t="shared" si="17"/>
        <v>1</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0.02</v>
      </c>
      <c r="H68" s="1129"/>
      <c r="I68" s="313">
        <f t="shared" si="15"/>
        <v>1</v>
      </c>
      <c r="J68" s="1129"/>
      <c r="K68" s="313">
        <f t="shared" si="16"/>
        <v>1</v>
      </c>
      <c r="L68" s="1129"/>
      <c r="M68" s="313">
        <f t="shared" si="17"/>
        <v>1</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0.02</v>
      </c>
      <c r="H69" s="1129"/>
      <c r="I69" s="313">
        <f t="shared" si="15"/>
        <v>1</v>
      </c>
      <c r="J69" s="1129"/>
      <c r="K69" s="313">
        <f t="shared" si="16"/>
        <v>1</v>
      </c>
      <c r="L69" s="1129"/>
      <c r="M69" s="313">
        <f t="shared" si="17"/>
        <v>1</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0.02</v>
      </c>
      <c r="H70" s="1129"/>
      <c r="I70" s="313">
        <f t="shared" si="15"/>
        <v>1</v>
      </c>
      <c r="J70" s="1129"/>
      <c r="K70" s="313">
        <f t="shared" si="16"/>
        <v>1</v>
      </c>
      <c r="L70" s="1129"/>
      <c r="M70" s="313">
        <f t="shared" si="17"/>
        <v>1</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0.02</v>
      </c>
      <c r="H71" s="1129"/>
      <c r="I71" s="313">
        <f t="shared" si="15"/>
        <v>1</v>
      </c>
      <c r="J71" s="1129"/>
      <c r="K71" s="313">
        <f t="shared" si="16"/>
        <v>1</v>
      </c>
      <c r="L71" s="1129"/>
      <c r="M71" s="313">
        <f t="shared" si="17"/>
        <v>1</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0.02</v>
      </c>
      <c r="H72" s="1129"/>
      <c r="I72" s="313">
        <f t="shared" si="15"/>
        <v>1</v>
      </c>
      <c r="J72" s="1129"/>
      <c r="K72" s="313">
        <f t="shared" si="16"/>
        <v>1</v>
      </c>
      <c r="L72" s="1129"/>
      <c r="M72" s="313">
        <f t="shared" si="17"/>
        <v>1</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0.02</v>
      </c>
      <c r="H73" s="1129"/>
      <c r="I73" s="313">
        <f t="shared" si="15"/>
        <v>1</v>
      </c>
      <c r="J73" s="1129"/>
      <c r="K73" s="313">
        <f t="shared" si="16"/>
        <v>1</v>
      </c>
      <c r="L73" s="1129"/>
      <c r="M73" s="313">
        <f t="shared" si="17"/>
        <v>1</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0.02</v>
      </c>
      <c r="H74" s="1129"/>
      <c r="I74" s="313">
        <f t="shared" si="15"/>
        <v>1</v>
      </c>
      <c r="J74" s="1129"/>
      <c r="K74" s="313">
        <f t="shared" si="16"/>
        <v>1</v>
      </c>
      <c r="L74" s="1129"/>
      <c r="M74" s="313">
        <f t="shared" si="17"/>
        <v>1</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0.02</v>
      </c>
      <c r="H75" s="1129"/>
      <c r="I75" s="313">
        <f t="shared" si="15"/>
        <v>1</v>
      </c>
      <c r="J75" s="1129"/>
      <c r="K75" s="313">
        <f t="shared" si="16"/>
        <v>1</v>
      </c>
      <c r="L75" s="1129"/>
      <c r="M75" s="313">
        <f t="shared" si="17"/>
        <v>1</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0.02</v>
      </c>
      <c r="H76" s="1129"/>
      <c r="I76" s="313">
        <f t="shared" si="15"/>
        <v>1</v>
      </c>
      <c r="J76" s="1129"/>
      <c r="K76" s="313">
        <f t="shared" si="16"/>
        <v>1</v>
      </c>
      <c r="L76" s="1129"/>
      <c r="M76" s="313">
        <f t="shared" si="17"/>
        <v>1</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0.02</v>
      </c>
      <c r="H77" s="1129"/>
      <c r="I77" s="313">
        <f t="shared" si="15"/>
        <v>1</v>
      </c>
      <c r="J77" s="1129"/>
      <c r="K77" s="313">
        <f t="shared" si="16"/>
        <v>1</v>
      </c>
      <c r="L77" s="1129"/>
      <c r="M77" s="313">
        <f t="shared" si="17"/>
        <v>1</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0.02</v>
      </c>
      <c r="H78" s="1129"/>
      <c r="I78" s="313">
        <f t="shared" si="15"/>
        <v>1</v>
      </c>
      <c r="J78" s="1129"/>
      <c r="K78" s="313">
        <f t="shared" si="16"/>
        <v>1</v>
      </c>
      <c r="L78" s="1129"/>
      <c r="M78" s="313">
        <f t="shared" si="17"/>
        <v>1</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0.02</v>
      </c>
      <c r="H79" s="1129"/>
      <c r="I79" s="313">
        <f t="shared" si="15"/>
        <v>1</v>
      </c>
      <c r="J79" s="1129"/>
      <c r="K79" s="313">
        <f t="shared" si="16"/>
        <v>1</v>
      </c>
      <c r="L79" s="1129"/>
      <c r="M79" s="313">
        <f t="shared" si="17"/>
        <v>1</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0.02</v>
      </c>
      <c r="H80" s="1129"/>
      <c r="I80" s="313">
        <f t="shared" si="15"/>
        <v>1</v>
      </c>
      <c r="J80" s="1129"/>
      <c r="K80" s="313">
        <f t="shared" si="16"/>
        <v>1</v>
      </c>
      <c r="L80" s="1129"/>
      <c r="M80" s="313">
        <f t="shared" si="17"/>
        <v>1</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0.02</v>
      </c>
      <c r="H81" s="1129"/>
      <c r="I81" s="313">
        <f t="shared" si="15"/>
        <v>1</v>
      </c>
      <c r="J81" s="1129"/>
      <c r="K81" s="313">
        <f t="shared" si="16"/>
        <v>1</v>
      </c>
      <c r="L81" s="1129"/>
      <c r="M81" s="313">
        <f t="shared" si="17"/>
        <v>1</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0.02</v>
      </c>
      <c r="H82" s="1129"/>
      <c r="I82" s="313">
        <f t="shared" si="15"/>
        <v>1</v>
      </c>
      <c r="J82" s="1129"/>
      <c r="K82" s="313">
        <f t="shared" si="16"/>
        <v>1</v>
      </c>
      <c r="L82" s="1129"/>
      <c r="M82" s="313">
        <f t="shared" si="17"/>
        <v>1</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0.02</v>
      </c>
      <c r="H83" s="1129"/>
      <c r="I83" s="313">
        <f t="shared" si="15"/>
        <v>1</v>
      </c>
      <c r="J83" s="1129"/>
      <c r="K83" s="313">
        <f t="shared" si="16"/>
        <v>1</v>
      </c>
      <c r="L83" s="1129"/>
      <c r="M83" s="313">
        <f t="shared" si="17"/>
        <v>1</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0.02</v>
      </c>
      <c r="H84" s="1129"/>
      <c r="I84" s="313">
        <f t="shared" si="15"/>
        <v>1</v>
      </c>
      <c r="J84" s="1129"/>
      <c r="K84" s="313">
        <f t="shared" si="16"/>
        <v>1</v>
      </c>
      <c r="L84" s="1129"/>
      <c r="M84" s="313">
        <f t="shared" si="17"/>
        <v>1</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0.02</v>
      </c>
      <c r="H85" s="1129"/>
      <c r="I85" s="313">
        <f t="shared" si="15"/>
        <v>1</v>
      </c>
      <c r="J85" s="1129"/>
      <c r="K85" s="313">
        <f t="shared" si="16"/>
        <v>1</v>
      </c>
      <c r="L85" s="1129"/>
      <c r="M85" s="313">
        <f t="shared" si="17"/>
        <v>1</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0.02</v>
      </c>
      <c r="H86" s="1129"/>
      <c r="I86" s="313">
        <f t="shared" si="15"/>
        <v>1</v>
      </c>
      <c r="J86" s="1129"/>
      <c r="K86" s="313">
        <f t="shared" si="16"/>
        <v>1</v>
      </c>
      <c r="L86" s="1129"/>
      <c r="M86" s="313">
        <f t="shared" si="17"/>
        <v>1</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0.02</v>
      </c>
      <c r="H87" s="1129"/>
      <c r="I87" s="313">
        <f t="shared" si="15"/>
        <v>1</v>
      </c>
      <c r="J87" s="1129"/>
      <c r="K87" s="313">
        <f t="shared" si="16"/>
        <v>1</v>
      </c>
      <c r="L87" s="1129"/>
      <c r="M87" s="313">
        <f t="shared" si="17"/>
        <v>1</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0.02</v>
      </c>
      <c r="H88" s="1129"/>
      <c r="I88" s="313">
        <f t="shared" si="15"/>
        <v>1</v>
      </c>
      <c r="J88" s="1129"/>
      <c r="K88" s="313">
        <f t="shared" si="16"/>
        <v>1</v>
      </c>
      <c r="L88" s="1129"/>
      <c r="M88" s="313">
        <f t="shared" si="17"/>
        <v>1</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0.02</v>
      </c>
      <c r="H89" s="1129"/>
      <c r="I89" s="313">
        <f t="shared" si="15"/>
        <v>1</v>
      </c>
      <c r="J89" s="1129"/>
      <c r="K89" s="313">
        <f t="shared" si="16"/>
        <v>1</v>
      </c>
      <c r="L89" s="1129"/>
      <c r="M89" s="313">
        <f t="shared" si="17"/>
        <v>1</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0.02</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0.02</v>
      </c>
      <c r="H91" s="1129"/>
      <c r="I91" s="313">
        <f t="shared" si="26"/>
        <v>1</v>
      </c>
      <c r="J91" s="1129"/>
      <c r="K91" s="313">
        <f t="shared" si="27"/>
        <v>1</v>
      </c>
      <c r="L91" s="1129"/>
      <c r="M91" s="313">
        <f t="shared" si="28"/>
        <v>1</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0.02</v>
      </c>
      <c r="H92" s="1129"/>
      <c r="I92" s="313">
        <f t="shared" si="26"/>
        <v>1</v>
      </c>
      <c r="J92" s="1129"/>
      <c r="K92" s="313">
        <f t="shared" si="27"/>
        <v>1</v>
      </c>
      <c r="L92" s="1129"/>
      <c r="M92" s="313">
        <f t="shared" si="28"/>
        <v>1</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0.02</v>
      </c>
      <c r="H93" s="1129"/>
      <c r="I93" s="313">
        <f t="shared" si="26"/>
        <v>1</v>
      </c>
      <c r="J93" s="1129"/>
      <c r="K93" s="313">
        <f t="shared" si="27"/>
        <v>1</v>
      </c>
      <c r="L93" s="1129"/>
      <c r="M93" s="313">
        <f t="shared" si="28"/>
        <v>1</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0.02</v>
      </c>
      <c r="H94" s="1129"/>
      <c r="I94" s="313">
        <f t="shared" si="26"/>
        <v>1</v>
      </c>
      <c r="J94" s="1129"/>
      <c r="K94" s="313">
        <f t="shared" si="27"/>
        <v>1</v>
      </c>
      <c r="L94" s="1129"/>
      <c r="M94" s="313">
        <f t="shared" si="28"/>
        <v>1</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0.02</v>
      </c>
      <c r="H95" s="1129"/>
      <c r="I95" s="313">
        <f t="shared" si="26"/>
        <v>1</v>
      </c>
      <c r="J95" s="1129"/>
      <c r="K95" s="313">
        <f t="shared" si="27"/>
        <v>1</v>
      </c>
      <c r="L95" s="1129"/>
      <c r="M95" s="313">
        <f t="shared" si="28"/>
        <v>1</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0.02</v>
      </c>
      <c r="H96" s="1129"/>
      <c r="I96" s="313">
        <f t="shared" si="26"/>
        <v>1</v>
      </c>
      <c r="J96" s="1129"/>
      <c r="K96" s="313">
        <f t="shared" si="27"/>
        <v>1</v>
      </c>
      <c r="L96" s="1129"/>
      <c r="M96" s="313">
        <f t="shared" si="28"/>
        <v>1</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0.02</v>
      </c>
      <c r="H97" s="1129"/>
      <c r="I97" s="313">
        <f t="shared" si="26"/>
        <v>1</v>
      </c>
      <c r="J97" s="1129"/>
      <c r="K97" s="313">
        <f t="shared" si="27"/>
        <v>1</v>
      </c>
      <c r="L97" s="1129"/>
      <c r="M97" s="313">
        <f t="shared" si="28"/>
        <v>1</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0.02</v>
      </c>
      <c r="H98" s="1129"/>
      <c r="I98" s="313">
        <f t="shared" si="26"/>
        <v>1</v>
      </c>
      <c r="J98" s="1129"/>
      <c r="K98" s="313">
        <f t="shared" si="27"/>
        <v>1</v>
      </c>
      <c r="L98" s="1129"/>
      <c r="M98" s="313">
        <f t="shared" si="28"/>
        <v>1</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0.02</v>
      </c>
      <c r="H99" s="1129"/>
      <c r="I99" s="313">
        <f t="shared" si="26"/>
        <v>1</v>
      </c>
      <c r="J99" s="1129"/>
      <c r="K99" s="313">
        <f t="shared" si="27"/>
        <v>1</v>
      </c>
      <c r="L99" s="1129"/>
      <c r="M99" s="313">
        <f t="shared" si="28"/>
        <v>1</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0.02</v>
      </c>
      <c r="H100" s="1129"/>
      <c r="I100" s="313">
        <f t="shared" si="26"/>
        <v>1</v>
      </c>
      <c r="J100" s="1129"/>
      <c r="K100" s="313">
        <f t="shared" si="27"/>
        <v>1</v>
      </c>
      <c r="L100" s="1129"/>
      <c r="M100" s="313">
        <f t="shared" si="28"/>
        <v>1</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0.02</v>
      </c>
      <c r="H101" s="1129"/>
      <c r="I101" s="313">
        <f t="shared" si="26"/>
        <v>1</v>
      </c>
      <c r="J101" s="1129"/>
      <c r="K101" s="313">
        <f t="shared" si="27"/>
        <v>1</v>
      </c>
      <c r="L101" s="1129"/>
      <c r="M101" s="313">
        <f t="shared" si="28"/>
        <v>1</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0.02</v>
      </c>
      <c r="H102" s="1129"/>
      <c r="I102" s="313">
        <f t="shared" si="26"/>
        <v>1</v>
      </c>
      <c r="J102" s="1129"/>
      <c r="K102" s="313">
        <f t="shared" si="27"/>
        <v>1</v>
      </c>
      <c r="L102" s="1129"/>
      <c r="M102" s="313">
        <f t="shared" si="28"/>
        <v>1</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0.02</v>
      </c>
      <c r="H103" s="1129"/>
      <c r="I103" s="313">
        <f t="shared" si="26"/>
        <v>1</v>
      </c>
      <c r="J103" s="1129"/>
      <c r="K103" s="313">
        <f t="shared" si="27"/>
        <v>1</v>
      </c>
      <c r="L103" s="1129"/>
      <c r="M103" s="313">
        <f t="shared" si="28"/>
        <v>1</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0.02</v>
      </c>
      <c r="H104" s="1129"/>
      <c r="I104" s="313">
        <f t="shared" si="26"/>
        <v>1</v>
      </c>
      <c r="J104" s="1129"/>
      <c r="K104" s="313">
        <f t="shared" si="27"/>
        <v>1</v>
      </c>
      <c r="L104" s="1129"/>
      <c r="M104" s="313">
        <f t="shared" si="28"/>
        <v>1</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0.02</v>
      </c>
      <c r="H105" s="1129"/>
      <c r="I105" s="313">
        <f t="shared" si="26"/>
        <v>1</v>
      </c>
      <c r="J105" s="1129"/>
      <c r="K105" s="313">
        <f t="shared" si="27"/>
        <v>1</v>
      </c>
      <c r="L105" s="1129"/>
      <c r="M105" s="313">
        <f t="shared" si="28"/>
        <v>1</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0.02</v>
      </c>
      <c r="H106" s="1129"/>
      <c r="I106" s="313">
        <f t="shared" si="26"/>
        <v>1</v>
      </c>
      <c r="J106" s="1129"/>
      <c r="K106" s="313">
        <f t="shared" si="27"/>
        <v>1</v>
      </c>
      <c r="L106" s="1129"/>
      <c r="M106" s="313">
        <f t="shared" si="28"/>
        <v>1</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0.02</v>
      </c>
      <c r="H107" s="1129"/>
      <c r="I107" s="313">
        <f t="shared" si="26"/>
        <v>1</v>
      </c>
      <c r="J107" s="1129"/>
      <c r="K107" s="313">
        <f t="shared" si="27"/>
        <v>1</v>
      </c>
      <c r="L107" s="1129"/>
      <c r="M107" s="313">
        <f t="shared" si="28"/>
        <v>1</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0.02</v>
      </c>
      <c r="H108" s="1129"/>
      <c r="I108" s="313">
        <f t="shared" si="26"/>
        <v>1</v>
      </c>
      <c r="J108" s="1129"/>
      <c r="K108" s="313">
        <f t="shared" si="27"/>
        <v>1</v>
      </c>
      <c r="L108" s="1129"/>
      <c r="M108" s="313">
        <f t="shared" si="28"/>
        <v>1</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0.02</v>
      </c>
      <c r="H109" s="1129"/>
      <c r="I109" s="313">
        <f t="shared" si="26"/>
        <v>1</v>
      </c>
      <c r="J109" s="1129"/>
      <c r="K109" s="313">
        <f t="shared" si="27"/>
        <v>1</v>
      </c>
      <c r="L109" s="1129"/>
      <c r="M109" s="313">
        <f t="shared" si="28"/>
        <v>1</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0.02</v>
      </c>
      <c r="H110" s="1129"/>
      <c r="I110" s="313">
        <f t="shared" si="26"/>
        <v>1</v>
      </c>
      <c r="J110" s="1129"/>
      <c r="K110" s="313">
        <f t="shared" si="27"/>
        <v>1</v>
      </c>
      <c r="L110" s="1129"/>
      <c r="M110" s="313">
        <f t="shared" si="28"/>
        <v>1</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0.02</v>
      </c>
      <c r="H111" s="1129"/>
      <c r="I111" s="313">
        <f t="shared" si="26"/>
        <v>1</v>
      </c>
      <c r="J111" s="1129"/>
      <c r="K111" s="313">
        <f t="shared" si="27"/>
        <v>1</v>
      </c>
      <c r="L111" s="1129"/>
      <c r="M111" s="313">
        <f t="shared" si="28"/>
        <v>1</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0.02</v>
      </c>
      <c r="H112" s="1129"/>
      <c r="I112" s="313">
        <f t="shared" si="26"/>
        <v>1</v>
      </c>
      <c r="J112" s="1129"/>
      <c r="K112" s="313">
        <f t="shared" si="27"/>
        <v>1</v>
      </c>
      <c r="L112" s="1129"/>
      <c r="M112" s="313">
        <f t="shared" si="28"/>
        <v>1</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0.02</v>
      </c>
      <c r="H113" s="1129"/>
      <c r="I113" s="313">
        <f t="shared" si="26"/>
        <v>1</v>
      </c>
      <c r="J113" s="1129"/>
      <c r="K113" s="313">
        <f t="shared" si="27"/>
        <v>1</v>
      </c>
      <c r="L113" s="1129"/>
      <c r="M113" s="313">
        <f t="shared" si="28"/>
        <v>1</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0.02</v>
      </c>
      <c r="H114" s="1129"/>
      <c r="I114" s="313">
        <f t="shared" si="26"/>
        <v>1</v>
      </c>
      <c r="J114" s="1129"/>
      <c r="K114" s="313">
        <f t="shared" si="27"/>
        <v>1</v>
      </c>
      <c r="L114" s="1129"/>
      <c r="M114" s="313">
        <f t="shared" si="28"/>
        <v>1</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0.02</v>
      </c>
      <c r="H115" s="1129"/>
      <c r="I115" s="313">
        <f t="shared" si="26"/>
        <v>1</v>
      </c>
      <c r="J115" s="1129"/>
      <c r="K115" s="313">
        <f t="shared" si="27"/>
        <v>1</v>
      </c>
      <c r="L115" s="1129"/>
      <c r="M115" s="313">
        <f t="shared" si="28"/>
        <v>1</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0.02</v>
      </c>
      <c r="H116" s="1129"/>
      <c r="I116" s="313">
        <f t="shared" si="26"/>
        <v>1</v>
      </c>
      <c r="J116" s="1129"/>
      <c r="K116" s="313">
        <f t="shared" si="27"/>
        <v>1</v>
      </c>
      <c r="L116" s="1129"/>
      <c r="M116" s="313">
        <f t="shared" si="28"/>
        <v>1</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0.02</v>
      </c>
      <c r="H117" s="1129"/>
      <c r="I117" s="313">
        <f t="shared" si="26"/>
        <v>1</v>
      </c>
      <c r="J117" s="1129"/>
      <c r="K117" s="313">
        <f t="shared" si="27"/>
        <v>1</v>
      </c>
      <c r="L117" s="1129"/>
      <c r="M117" s="313">
        <f t="shared" si="28"/>
        <v>1</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0.02</v>
      </c>
      <c r="H118" s="1129"/>
      <c r="I118" s="313">
        <f t="shared" si="26"/>
        <v>1</v>
      </c>
      <c r="J118" s="1129"/>
      <c r="K118" s="313">
        <f t="shared" si="27"/>
        <v>1</v>
      </c>
      <c r="L118" s="1129"/>
      <c r="M118" s="313">
        <f t="shared" si="28"/>
        <v>1</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0.02</v>
      </c>
      <c r="H119" s="1129"/>
      <c r="I119" s="313">
        <f t="shared" si="26"/>
        <v>1</v>
      </c>
      <c r="J119" s="1129"/>
      <c r="K119" s="313">
        <f t="shared" si="27"/>
        <v>1</v>
      </c>
      <c r="L119" s="1129"/>
      <c r="M119" s="313">
        <f t="shared" si="28"/>
        <v>1</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0.02</v>
      </c>
      <c r="H120" s="1129"/>
      <c r="I120" s="313">
        <f t="shared" si="26"/>
        <v>1</v>
      </c>
      <c r="J120" s="1129"/>
      <c r="K120" s="313">
        <f t="shared" si="27"/>
        <v>1</v>
      </c>
      <c r="L120" s="1129"/>
      <c r="M120" s="313">
        <f t="shared" si="28"/>
        <v>1</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0.02</v>
      </c>
      <c r="H121" s="1129"/>
      <c r="I121" s="313">
        <f t="shared" si="26"/>
        <v>1</v>
      </c>
      <c r="J121" s="1129"/>
      <c r="K121" s="313">
        <f t="shared" si="27"/>
        <v>1</v>
      </c>
      <c r="L121" s="1129"/>
      <c r="M121" s="313">
        <f t="shared" si="28"/>
        <v>1</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0.02</v>
      </c>
      <c r="H122" s="1129"/>
      <c r="I122" s="313">
        <f t="shared" si="26"/>
        <v>1</v>
      </c>
      <c r="J122" s="1129"/>
      <c r="K122" s="313">
        <f t="shared" si="27"/>
        <v>1</v>
      </c>
      <c r="L122" s="1129"/>
      <c r="M122" s="313">
        <f t="shared" si="28"/>
        <v>1</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0.02</v>
      </c>
      <c r="H123" s="1129"/>
      <c r="I123" s="313">
        <f t="shared" si="26"/>
        <v>1</v>
      </c>
      <c r="J123" s="1129"/>
      <c r="K123" s="313">
        <f t="shared" si="27"/>
        <v>1</v>
      </c>
      <c r="L123" s="1129"/>
      <c r="M123" s="313">
        <f t="shared" si="28"/>
        <v>1</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0.02</v>
      </c>
      <c r="H124" s="1129"/>
      <c r="I124" s="313">
        <f t="shared" si="26"/>
        <v>1</v>
      </c>
      <c r="J124" s="1129"/>
      <c r="K124" s="313">
        <f t="shared" si="27"/>
        <v>1</v>
      </c>
      <c r="L124" s="1129"/>
      <c r="M124" s="313">
        <f t="shared" si="28"/>
        <v>1</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0.02</v>
      </c>
      <c r="H125" s="1129"/>
      <c r="I125" s="313">
        <f t="shared" si="26"/>
        <v>1</v>
      </c>
      <c r="J125" s="1129"/>
      <c r="K125" s="313">
        <f t="shared" si="27"/>
        <v>1</v>
      </c>
      <c r="L125" s="1129"/>
      <c r="M125" s="313">
        <f t="shared" si="28"/>
        <v>1</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0.02</v>
      </c>
      <c r="H126" s="1129"/>
      <c r="I126" s="313">
        <f t="shared" si="26"/>
        <v>1</v>
      </c>
      <c r="J126" s="1129"/>
      <c r="K126" s="313">
        <f t="shared" si="27"/>
        <v>1</v>
      </c>
      <c r="L126" s="1129"/>
      <c r="M126" s="313">
        <f t="shared" si="28"/>
        <v>1</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0.02</v>
      </c>
      <c r="H127" s="1129"/>
      <c r="I127" s="313">
        <f t="shared" si="26"/>
        <v>1</v>
      </c>
      <c r="J127" s="1129"/>
      <c r="K127" s="313">
        <f t="shared" si="27"/>
        <v>1</v>
      </c>
      <c r="L127" s="1129"/>
      <c r="M127" s="313">
        <f t="shared" si="28"/>
        <v>1</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0.02</v>
      </c>
      <c r="H128" s="1129"/>
      <c r="I128" s="313">
        <f t="shared" si="26"/>
        <v>1</v>
      </c>
      <c r="J128" s="1129"/>
      <c r="K128" s="313">
        <f t="shared" si="27"/>
        <v>1</v>
      </c>
      <c r="L128" s="1129"/>
      <c r="M128" s="313">
        <f t="shared" si="28"/>
        <v>1</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0.02</v>
      </c>
      <c r="H129" s="1129"/>
      <c r="I129" s="313">
        <f t="shared" si="26"/>
        <v>1</v>
      </c>
      <c r="J129" s="1129"/>
      <c r="K129" s="313">
        <f t="shared" si="27"/>
        <v>1</v>
      </c>
      <c r="L129" s="1129"/>
      <c r="M129" s="313">
        <f t="shared" si="28"/>
        <v>1</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0.02</v>
      </c>
      <c r="H130" s="1129"/>
      <c r="I130" s="313">
        <f t="shared" si="26"/>
        <v>1</v>
      </c>
      <c r="J130" s="1129"/>
      <c r="K130" s="313">
        <f t="shared" si="27"/>
        <v>1</v>
      </c>
      <c r="L130" s="1129"/>
      <c r="M130" s="313">
        <f t="shared" si="28"/>
        <v>1</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0.02</v>
      </c>
      <c r="H131" s="1129"/>
      <c r="I131" s="313">
        <f t="shared" si="26"/>
        <v>1</v>
      </c>
      <c r="J131" s="1129"/>
      <c r="K131" s="313">
        <f t="shared" si="27"/>
        <v>1</v>
      </c>
      <c r="L131" s="1129"/>
      <c r="M131" s="313">
        <f t="shared" si="28"/>
        <v>1</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0.02</v>
      </c>
      <c r="H132" s="1129"/>
      <c r="I132" s="313">
        <f t="shared" si="26"/>
        <v>1</v>
      </c>
      <c r="J132" s="1129"/>
      <c r="K132" s="313">
        <f t="shared" si="27"/>
        <v>1</v>
      </c>
      <c r="L132" s="1129"/>
      <c r="M132" s="313">
        <f t="shared" si="28"/>
        <v>1</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0.02</v>
      </c>
      <c r="H133" s="1129"/>
      <c r="I133" s="313">
        <f t="shared" si="26"/>
        <v>1</v>
      </c>
      <c r="J133" s="1129"/>
      <c r="K133" s="313">
        <f t="shared" si="27"/>
        <v>1</v>
      </c>
      <c r="L133" s="1129"/>
      <c r="M133" s="313">
        <f t="shared" si="28"/>
        <v>1</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0.02</v>
      </c>
      <c r="H134" s="1129"/>
      <c r="I134" s="313">
        <f t="shared" si="26"/>
        <v>1</v>
      </c>
      <c r="J134" s="1129"/>
      <c r="K134" s="313">
        <f t="shared" si="27"/>
        <v>1</v>
      </c>
      <c r="L134" s="1129"/>
      <c r="M134" s="313">
        <f t="shared" si="28"/>
        <v>1</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0.02</v>
      </c>
      <c r="H135" s="1129"/>
      <c r="I135" s="313">
        <f t="shared" si="26"/>
        <v>1</v>
      </c>
      <c r="J135" s="1129"/>
      <c r="K135" s="313">
        <f t="shared" si="27"/>
        <v>1</v>
      </c>
      <c r="L135" s="1129"/>
      <c r="M135" s="313">
        <f t="shared" si="28"/>
        <v>1</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0.02</v>
      </c>
      <c r="H136" s="1129"/>
      <c r="I136" s="313">
        <f t="shared" si="26"/>
        <v>1</v>
      </c>
      <c r="J136" s="1129"/>
      <c r="K136" s="313">
        <f t="shared" si="27"/>
        <v>1</v>
      </c>
      <c r="L136" s="1129"/>
      <c r="M136" s="313">
        <f t="shared" si="28"/>
        <v>1</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0.02</v>
      </c>
      <c r="H137" s="1129"/>
      <c r="I137" s="313">
        <f t="shared" si="26"/>
        <v>1</v>
      </c>
      <c r="J137" s="1129"/>
      <c r="K137" s="313">
        <f t="shared" si="27"/>
        <v>1</v>
      </c>
      <c r="L137" s="1129"/>
      <c r="M137" s="313">
        <f t="shared" si="28"/>
        <v>1</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0.02</v>
      </c>
      <c r="H138" s="1129"/>
      <c r="I138" s="313">
        <f t="shared" si="26"/>
        <v>1</v>
      </c>
      <c r="J138" s="1129"/>
      <c r="K138" s="313">
        <f t="shared" si="27"/>
        <v>1</v>
      </c>
      <c r="L138" s="1129"/>
      <c r="M138" s="313">
        <f t="shared" si="28"/>
        <v>1</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0.02</v>
      </c>
      <c r="H139" s="1129"/>
      <c r="I139" s="313">
        <f t="shared" si="26"/>
        <v>1</v>
      </c>
      <c r="J139" s="1129"/>
      <c r="K139" s="313">
        <f t="shared" si="27"/>
        <v>1</v>
      </c>
      <c r="L139" s="1129"/>
      <c r="M139" s="313">
        <f t="shared" si="28"/>
        <v>1</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0.02</v>
      </c>
      <c r="H140" s="1129"/>
      <c r="I140" s="313">
        <f t="shared" si="26"/>
        <v>1</v>
      </c>
      <c r="J140" s="1129"/>
      <c r="K140" s="313">
        <f t="shared" si="27"/>
        <v>1</v>
      </c>
      <c r="L140" s="1129"/>
      <c r="M140" s="313">
        <f t="shared" si="28"/>
        <v>1</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0.02</v>
      </c>
      <c r="H141" s="1129"/>
      <c r="I141" s="313">
        <f t="shared" si="26"/>
        <v>1</v>
      </c>
      <c r="J141" s="1129"/>
      <c r="K141" s="313">
        <f t="shared" si="27"/>
        <v>1</v>
      </c>
      <c r="L141" s="1129"/>
      <c r="M141" s="313">
        <f t="shared" si="28"/>
        <v>1</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0.02</v>
      </c>
      <c r="H142" s="1129"/>
      <c r="I142" s="313">
        <f t="shared" si="26"/>
        <v>1</v>
      </c>
      <c r="J142" s="1129"/>
      <c r="K142" s="313">
        <f t="shared" si="27"/>
        <v>1</v>
      </c>
      <c r="L142" s="1129"/>
      <c r="M142" s="313">
        <f t="shared" si="28"/>
        <v>1</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0.02</v>
      </c>
      <c r="H143" s="1129"/>
      <c r="I143" s="313">
        <f t="shared" si="26"/>
        <v>1</v>
      </c>
      <c r="J143" s="1129"/>
      <c r="K143" s="313">
        <f t="shared" si="27"/>
        <v>1</v>
      </c>
      <c r="L143" s="1129"/>
      <c r="M143" s="313">
        <f t="shared" si="28"/>
        <v>1</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0.02</v>
      </c>
      <c r="H144" s="1129"/>
      <c r="I144" s="313">
        <f t="shared" si="26"/>
        <v>1</v>
      </c>
      <c r="J144" s="1129"/>
      <c r="K144" s="313">
        <f t="shared" si="27"/>
        <v>1</v>
      </c>
      <c r="L144" s="1129"/>
      <c r="M144" s="313">
        <f t="shared" si="28"/>
        <v>1</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0.02</v>
      </c>
      <c r="H145" s="1129"/>
      <c r="I145" s="313">
        <f t="shared" si="26"/>
        <v>1</v>
      </c>
      <c r="J145" s="1129"/>
      <c r="K145" s="313">
        <f t="shared" si="27"/>
        <v>1</v>
      </c>
      <c r="L145" s="1129"/>
      <c r="M145" s="313">
        <f t="shared" si="28"/>
        <v>1</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0.02</v>
      </c>
      <c r="H146" s="1129"/>
      <c r="I146" s="313">
        <f t="shared" si="26"/>
        <v>1</v>
      </c>
      <c r="J146" s="1129"/>
      <c r="K146" s="313">
        <f t="shared" si="27"/>
        <v>1</v>
      </c>
      <c r="L146" s="1129"/>
      <c r="M146" s="313">
        <f t="shared" si="28"/>
        <v>1</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0.02</v>
      </c>
      <c r="H147" s="1129"/>
      <c r="I147" s="313">
        <f t="shared" si="26"/>
        <v>1</v>
      </c>
      <c r="J147" s="1129"/>
      <c r="K147" s="313">
        <f t="shared" si="27"/>
        <v>1</v>
      </c>
      <c r="L147" s="1129"/>
      <c r="M147" s="313">
        <f t="shared" si="28"/>
        <v>1</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0.02</v>
      </c>
      <c r="H148" s="1129"/>
      <c r="I148" s="313">
        <f t="shared" si="26"/>
        <v>1</v>
      </c>
      <c r="J148" s="1129"/>
      <c r="K148" s="313">
        <f t="shared" si="27"/>
        <v>1</v>
      </c>
      <c r="L148" s="1129"/>
      <c r="M148" s="313">
        <f t="shared" si="28"/>
        <v>1</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0.02</v>
      </c>
      <c r="H149" s="1129"/>
      <c r="I149" s="313">
        <f t="shared" si="26"/>
        <v>1</v>
      </c>
      <c r="J149" s="1129"/>
      <c r="K149" s="313">
        <f t="shared" si="27"/>
        <v>1</v>
      </c>
      <c r="L149" s="1129"/>
      <c r="M149" s="313">
        <f t="shared" si="28"/>
        <v>1</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0.02</v>
      </c>
      <c r="H150" s="1129"/>
      <c r="I150" s="313">
        <f t="shared" si="26"/>
        <v>1</v>
      </c>
      <c r="J150" s="1129"/>
      <c r="K150" s="313">
        <f t="shared" si="27"/>
        <v>1</v>
      </c>
      <c r="L150" s="1129"/>
      <c r="M150" s="313">
        <f t="shared" si="28"/>
        <v>1</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0.02</v>
      </c>
      <c r="H151" s="1129"/>
      <c r="I151" s="313">
        <f t="shared" si="26"/>
        <v>1</v>
      </c>
      <c r="J151" s="1129"/>
      <c r="K151" s="313">
        <f t="shared" si="27"/>
        <v>1</v>
      </c>
      <c r="L151" s="1129"/>
      <c r="M151" s="313">
        <f t="shared" si="28"/>
        <v>1</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0.02</v>
      </c>
      <c r="H152" s="1129"/>
      <c r="I152" s="313">
        <f t="shared" si="26"/>
        <v>1</v>
      </c>
      <c r="J152" s="1129"/>
      <c r="K152" s="313">
        <f t="shared" si="27"/>
        <v>1</v>
      </c>
      <c r="L152" s="1129"/>
      <c r="M152" s="313">
        <f t="shared" si="28"/>
        <v>1</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0.02</v>
      </c>
      <c r="H153" s="1129"/>
      <c r="I153" s="313">
        <f t="shared" si="26"/>
        <v>1</v>
      </c>
      <c r="J153" s="1129"/>
      <c r="K153" s="313">
        <f t="shared" si="27"/>
        <v>1</v>
      </c>
      <c r="L153" s="1129"/>
      <c r="M153" s="313">
        <f t="shared" si="28"/>
        <v>1</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0.02</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0.02</v>
      </c>
      <c r="H155" s="1129"/>
      <c r="I155" s="313">
        <f t="shared" si="36"/>
        <v>1</v>
      </c>
      <c r="J155" s="1129"/>
      <c r="K155" s="313">
        <f t="shared" si="37"/>
        <v>1</v>
      </c>
      <c r="L155" s="1129"/>
      <c r="M155" s="313">
        <f t="shared" si="38"/>
        <v>1</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0.02</v>
      </c>
      <c r="H156" s="1129"/>
      <c r="I156" s="313">
        <f t="shared" si="36"/>
        <v>1</v>
      </c>
      <c r="J156" s="1129"/>
      <c r="K156" s="313">
        <f t="shared" si="37"/>
        <v>1</v>
      </c>
      <c r="L156" s="1129"/>
      <c r="M156" s="313">
        <f t="shared" si="38"/>
        <v>1</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0.02</v>
      </c>
      <c r="H157" s="1129"/>
      <c r="I157" s="313">
        <f t="shared" si="36"/>
        <v>1</v>
      </c>
      <c r="J157" s="1129"/>
      <c r="K157" s="313">
        <f t="shared" si="37"/>
        <v>1</v>
      </c>
      <c r="L157" s="1129"/>
      <c r="M157" s="313">
        <f t="shared" si="38"/>
        <v>1</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0.02</v>
      </c>
      <c r="H158" s="1129"/>
      <c r="I158" s="313">
        <f t="shared" si="36"/>
        <v>1</v>
      </c>
      <c r="J158" s="1129"/>
      <c r="K158" s="313">
        <f t="shared" si="37"/>
        <v>1</v>
      </c>
      <c r="L158" s="1129"/>
      <c r="M158" s="313">
        <f t="shared" si="38"/>
        <v>1</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0.02</v>
      </c>
      <c r="H159" s="1129"/>
      <c r="I159" s="313">
        <f t="shared" si="36"/>
        <v>1</v>
      </c>
      <c r="J159" s="1129"/>
      <c r="K159" s="313">
        <f t="shared" si="37"/>
        <v>1</v>
      </c>
      <c r="L159" s="1129"/>
      <c r="M159" s="313">
        <f t="shared" si="38"/>
        <v>1</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0.02</v>
      </c>
      <c r="H160" s="1129"/>
      <c r="I160" s="313">
        <f t="shared" si="36"/>
        <v>1</v>
      </c>
      <c r="J160" s="1129"/>
      <c r="K160" s="313">
        <f t="shared" si="37"/>
        <v>1</v>
      </c>
      <c r="L160" s="1129"/>
      <c r="M160" s="313">
        <f t="shared" si="38"/>
        <v>1</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0.02</v>
      </c>
      <c r="H161" s="1129"/>
      <c r="I161" s="313">
        <f t="shared" si="36"/>
        <v>1</v>
      </c>
      <c r="J161" s="1129"/>
      <c r="K161" s="313">
        <f t="shared" si="37"/>
        <v>1</v>
      </c>
      <c r="L161" s="1129"/>
      <c r="M161" s="313">
        <f t="shared" si="38"/>
        <v>1</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0.02</v>
      </c>
      <c r="H162" s="1129"/>
      <c r="I162" s="313">
        <f t="shared" si="36"/>
        <v>1</v>
      </c>
      <c r="J162" s="1129"/>
      <c r="K162" s="313">
        <f t="shared" si="37"/>
        <v>1</v>
      </c>
      <c r="L162" s="1129"/>
      <c r="M162" s="313">
        <f t="shared" si="38"/>
        <v>1</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0.02</v>
      </c>
      <c r="H163" s="1129"/>
      <c r="I163" s="313">
        <f t="shared" si="36"/>
        <v>1</v>
      </c>
      <c r="J163" s="1129"/>
      <c r="K163" s="313">
        <f t="shared" si="37"/>
        <v>1</v>
      </c>
      <c r="L163" s="1129"/>
      <c r="M163" s="313">
        <f t="shared" si="38"/>
        <v>1</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0.02</v>
      </c>
      <c r="H164" s="1129"/>
      <c r="I164" s="313">
        <f t="shared" si="36"/>
        <v>1</v>
      </c>
      <c r="J164" s="1129"/>
      <c r="K164" s="313">
        <f t="shared" si="37"/>
        <v>1</v>
      </c>
      <c r="L164" s="1129"/>
      <c r="M164" s="313">
        <f t="shared" si="38"/>
        <v>1</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0.02</v>
      </c>
      <c r="H165" s="1129"/>
      <c r="I165" s="313">
        <f t="shared" si="36"/>
        <v>1</v>
      </c>
      <c r="J165" s="1129"/>
      <c r="K165" s="313">
        <f t="shared" si="37"/>
        <v>1</v>
      </c>
      <c r="L165" s="1129"/>
      <c r="M165" s="313">
        <f t="shared" si="38"/>
        <v>1</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0.02</v>
      </c>
      <c r="H166" s="1129"/>
      <c r="I166" s="313">
        <f t="shared" si="36"/>
        <v>1</v>
      </c>
      <c r="J166" s="1129"/>
      <c r="K166" s="313">
        <f t="shared" si="37"/>
        <v>1</v>
      </c>
      <c r="L166" s="1129"/>
      <c r="M166" s="313">
        <f t="shared" si="38"/>
        <v>1</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0.02</v>
      </c>
      <c r="H167" s="1129"/>
      <c r="I167" s="313">
        <f t="shared" si="36"/>
        <v>1</v>
      </c>
      <c r="J167" s="1129"/>
      <c r="K167" s="313">
        <f t="shared" si="37"/>
        <v>1</v>
      </c>
      <c r="L167" s="1129"/>
      <c r="M167" s="313">
        <f t="shared" si="38"/>
        <v>1</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0.02</v>
      </c>
      <c r="H168" s="1129"/>
      <c r="I168" s="313">
        <f t="shared" si="36"/>
        <v>1</v>
      </c>
      <c r="J168" s="1129"/>
      <c r="K168" s="313">
        <f t="shared" si="37"/>
        <v>1</v>
      </c>
      <c r="L168" s="1129"/>
      <c r="M168" s="313">
        <f t="shared" si="38"/>
        <v>1</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0.02</v>
      </c>
      <c r="H169" s="1129"/>
      <c r="I169" s="313">
        <f t="shared" si="36"/>
        <v>1</v>
      </c>
      <c r="J169" s="1129"/>
      <c r="K169" s="313">
        <f t="shared" si="37"/>
        <v>1</v>
      </c>
      <c r="L169" s="1129"/>
      <c r="M169" s="313">
        <f t="shared" si="38"/>
        <v>1</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0.02</v>
      </c>
      <c r="H170" s="1129"/>
      <c r="I170" s="313">
        <f t="shared" si="36"/>
        <v>1</v>
      </c>
      <c r="J170" s="1129"/>
      <c r="K170" s="313">
        <f t="shared" si="37"/>
        <v>1</v>
      </c>
      <c r="L170" s="1129"/>
      <c r="M170" s="313">
        <f t="shared" si="38"/>
        <v>1</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0.02</v>
      </c>
      <c r="H171" s="1129"/>
      <c r="I171" s="313">
        <f t="shared" si="36"/>
        <v>1</v>
      </c>
      <c r="J171" s="1129"/>
      <c r="K171" s="313">
        <f t="shared" si="37"/>
        <v>1</v>
      </c>
      <c r="L171" s="1129"/>
      <c r="M171" s="313">
        <f t="shared" si="38"/>
        <v>1</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0.02</v>
      </c>
      <c r="H172" s="1129"/>
      <c r="I172" s="313">
        <f t="shared" si="36"/>
        <v>1</v>
      </c>
      <c r="J172" s="1129"/>
      <c r="K172" s="313">
        <f t="shared" si="37"/>
        <v>1</v>
      </c>
      <c r="L172" s="1129"/>
      <c r="M172" s="313">
        <f t="shared" si="38"/>
        <v>1</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0.02</v>
      </c>
      <c r="H173" s="1129"/>
      <c r="I173" s="313">
        <f t="shared" si="36"/>
        <v>1</v>
      </c>
      <c r="J173" s="1129"/>
      <c r="K173" s="313">
        <f t="shared" si="37"/>
        <v>1</v>
      </c>
      <c r="L173" s="1129"/>
      <c r="M173" s="313">
        <f t="shared" si="38"/>
        <v>1</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0.02</v>
      </c>
      <c r="H174" s="1129"/>
      <c r="I174" s="313">
        <f t="shared" si="36"/>
        <v>1</v>
      </c>
      <c r="J174" s="1129"/>
      <c r="K174" s="313">
        <f t="shared" si="37"/>
        <v>1</v>
      </c>
      <c r="L174" s="1129"/>
      <c r="M174" s="313">
        <f t="shared" si="38"/>
        <v>1</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0.02</v>
      </c>
      <c r="H175" s="1129"/>
      <c r="I175" s="313">
        <f t="shared" si="36"/>
        <v>1</v>
      </c>
      <c r="J175" s="1129"/>
      <c r="K175" s="313">
        <f t="shared" si="37"/>
        <v>1</v>
      </c>
      <c r="L175" s="1129"/>
      <c r="M175" s="313">
        <f t="shared" si="38"/>
        <v>1</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0.02</v>
      </c>
      <c r="H176" s="1129"/>
      <c r="I176" s="313">
        <f t="shared" si="36"/>
        <v>1</v>
      </c>
      <c r="J176" s="1129"/>
      <c r="K176" s="313">
        <f t="shared" si="37"/>
        <v>1</v>
      </c>
      <c r="L176" s="1129"/>
      <c r="M176" s="313">
        <f t="shared" si="38"/>
        <v>1</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0.02</v>
      </c>
      <c r="H177" s="1129"/>
      <c r="I177" s="313">
        <f t="shared" si="36"/>
        <v>1</v>
      </c>
      <c r="J177" s="1129"/>
      <c r="K177" s="313">
        <f t="shared" si="37"/>
        <v>1</v>
      </c>
      <c r="L177" s="1129"/>
      <c r="M177" s="313">
        <f t="shared" si="38"/>
        <v>1</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0.02</v>
      </c>
      <c r="H178" s="1129"/>
      <c r="I178" s="313">
        <f t="shared" si="36"/>
        <v>1</v>
      </c>
      <c r="J178" s="1129"/>
      <c r="K178" s="313">
        <f t="shared" si="37"/>
        <v>1</v>
      </c>
      <c r="L178" s="1129"/>
      <c r="M178" s="313">
        <f t="shared" si="38"/>
        <v>1</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0.02</v>
      </c>
      <c r="H179" s="1129"/>
      <c r="I179" s="313">
        <f t="shared" si="36"/>
        <v>1</v>
      </c>
      <c r="J179" s="1129"/>
      <c r="K179" s="313">
        <f t="shared" si="37"/>
        <v>1</v>
      </c>
      <c r="L179" s="1129"/>
      <c r="M179" s="313">
        <f t="shared" si="38"/>
        <v>1</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0.02</v>
      </c>
      <c r="H180" s="1129"/>
      <c r="I180" s="313">
        <f t="shared" si="36"/>
        <v>1</v>
      </c>
      <c r="J180" s="1129"/>
      <c r="K180" s="313">
        <f t="shared" si="37"/>
        <v>1</v>
      </c>
      <c r="L180" s="1129"/>
      <c r="M180" s="313">
        <f t="shared" si="38"/>
        <v>1</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0.02</v>
      </c>
      <c r="H181" s="1129"/>
      <c r="I181" s="313">
        <f t="shared" si="36"/>
        <v>1</v>
      </c>
      <c r="J181" s="1129"/>
      <c r="K181" s="313">
        <f t="shared" si="37"/>
        <v>1</v>
      </c>
      <c r="L181" s="1129"/>
      <c r="M181" s="313">
        <f t="shared" si="38"/>
        <v>1</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0.02</v>
      </c>
      <c r="H182" s="1129"/>
      <c r="I182" s="313">
        <f t="shared" si="36"/>
        <v>1</v>
      </c>
      <c r="J182" s="1129"/>
      <c r="K182" s="313">
        <f t="shared" si="37"/>
        <v>1</v>
      </c>
      <c r="L182" s="1129"/>
      <c r="M182" s="313">
        <f t="shared" si="38"/>
        <v>1</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0.02</v>
      </c>
      <c r="H183" s="1129"/>
      <c r="I183" s="313">
        <f t="shared" si="36"/>
        <v>1</v>
      </c>
      <c r="J183" s="1129"/>
      <c r="K183" s="313">
        <f t="shared" si="37"/>
        <v>1</v>
      </c>
      <c r="L183" s="1129"/>
      <c r="M183" s="313">
        <f t="shared" si="38"/>
        <v>1</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0.02</v>
      </c>
      <c r="H184" s="1129"/>
      <c r="I184" s="313">
        <f t="shared" si="36"/>
        <v>1</v>
      </c>
      <c r="J184" s="1129"/>
      <c r="K184" s="313">
        <f t="shared" si="37"/>
        <v>1</v>
      </c>
      <c r="L184" s="1129"/>
      <c r="M184" s="313">
        <f t="shared" si="38"/>
        <v>1</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0.02</v>
      </c>
      <c r="H185" s="1129"/>
      <c r="I185" s="313">
        <f t="shared" si="36"/>
        <v>1</v>
      </c>
      <c r="J185" s="1129"/>
      <c r="K185" s="313">
        <f t="shared" si="37"/>
        <v>1</v>
      </c>
      <c r="L185" s="1129"/>
      <c r="M185" s="313">
        <f t="shared" si="38"/>
        <v>1</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0.02</v>
      </c>
      <c r="H186" s="1129"/>
      <c r="I186" s="313">
        <f t="shared" si="36"/>
        <v>1</v>
      </c>
      <c r="J186" s="1129"/>
      <c r="K186" s="313">
        <f t="shared" si="37"/>
        <v>1</v>
      </c>
      <c r="L186" s="1129"/>
      <c r="M186" s="313">
        <f t="shared" si="38"/>
        <v>1</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0.02</v>
      </c>
      <c r="H187" s="1129"/>
      <c r="I187" s="313">
        <f t="shared" si="36"/>
        <v>1</v>
      </c>
      <c r="J187" s="1129"/>
      <c r="K187" s="313">
        <f t="shared" si="37"/>
        <v>1</v>
      </c>
      <c r="L187" s="1129"/>
      <c r="M187" s="313">
        <f t="shared" si="38"/>
        <v>1</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0.02</v>
      </c>
      <c r="H188" s="1129"/>
      <c r="I188" s="313">
        <f t="shared" si="36"/>
        <v>1</v>
      </c>
      <c r="J188" s="1129"/>
      <c r="K188" s="313">
        <f t="shared" si="37"/>
        <v>1</v>
      </c>
      <c r="L188" s="1129"/>
      <c r="M188" s="313">
        <f t="shared" si="38"/>
        <v>1</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0.02</v>
      </c>
      <c r="H189" s="1129"/>
      <c r="I189" s="313">
        <f t="shared" si="36"/>
        <v>1</v>
      </c>
      <c r="J189" s="1129"/>
      <c r="K189" s="313">
        <f t="shared" si="37"/>
        <v>1</v>
      </c>
      <c r="L189" s="1129"/>
      <c r="M189" s="313">
        <f t="shared" si="38"/>
        <v>1</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0.02</v>
      </c>
      <c r="H190" s="1129"/>
      <c r="I190" s="313">
        <f t="shared" si="36"/>
        <v>1</v>
      </c>
      <c r="J190" s="1129"/>
      <c r="K190" s="313">
        <f t="shared" si="37"/>
        <v>1</v>
      </c>
      <c r="L190" s="1129"/>
      <c r="M190" s="313">
        <f t="shared" si="38"/>
        <v>1</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0.02</v>
      </c>
      <c r="H191" s="1129"/>
      <c r="I191" s="313">
        <f t="shared" si="36"/>
        <v>1</v>
      </c>
      <c r="J191" s="1129"/>
      <c r="K191" s="313">
        <f t="shared" si="37"/>
        <v>1</v>
      </c>
      <c r="L191" s="1129"/>
      <c r="M191" s="313">
        <f t="shared" si="38"/>
        <v>1</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0.02</v>
      </c>
      <c r="H192" s="1129"/>
      <c r="I192" s="313">
        <f t="shared" si="36"/>
        <v>1</v>
      </c>
      <c r="J192" s="1129"/>
      <c r="K192" s="313">
        <f t="shared" si="37"/>
        <v>1</v>
      </c>
      <c r="L192" s="1129"/>
      <c r="M192" s="313">
        <f t="shared" si="38"/>
        <v>1</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0.02</v>
      </c>
      <c r="H193" s="1129"/>
      <c r="I193" s="313">
        <f t="shared" si="36"/>
        <v>1</v>
      </c>
      <c r="J193" s="1129"/>
      <c r="K193" s="313">
        <f t="shared" si="37"/>
        <v>1</v>
      </c>
      <c r="L193" s="1129"/>
      <c r="M193" s="313">
        <f t="shared" si="38"/>
        <v>1</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0.02</v>
      </c>
      <c r="H194" s="1129"/>
      <c r="I194" s="313">
        <f t="shared" si="36"/>
        <v>1</v>
      </c>
      <c r="J194" s="1129"/>
      <c r="K194" s="313">
        <f t="shared" si="37"/>
        <v>1</v>
      </c>
      <c r="L194" s="1129"/>
      <c r="M194" s="313">
        <f t="shared" si="38"/>
        <v>1</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0.02</v>
      </c>
      <c r="H195" s="1129"/>
      <c r="I195" s="313">
        <f t="shared" si="36"/>
        <v>1</v>
      </c>
      <c r="J195" s="1129"/>
      <c r="K195" s="313">
        <f t="shared" si="37"/>
        <v>1</v>
      </c>
      <c r="L195" s="1129"/>
      <c r="M195" s="313">
        <f t="shared" si="38"/>
        <v>1</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0.02</v>
      </c>
      <c r="H196" s="1129"/>
      <c r="I196" s="313">
        <f t="shared" si="36"/>
        <v>1</v>
      </c>
      <c r="J196" s="1129"/>
      <c r="K196" s="313">
        <f t="shared" si="37"/>
        <v>1</v>
      </c>
      <c r="L196" s="1129"/>
      <c r="M196" s="313">
        <f t="shared" si="38"/>
        <v>1</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0.02</v>
      </c>
      <c r="H197" s="1129"/>
      <c r="I197" s="313">
        <f t="shared" si="36"/>
        <v>1</v>
      </c>
      <c r="J197" s="1129"/>
      <c r="K197" s="313">
        <f t="shared" si="37"/>
        <v>1</v>
      </c>
      <c r="L197" s="1129"/>
      <c r="M197" s="313">
        <f t="shared" si="38"/>
        <v>1</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0.02</v>
      </c>
      <c r="H198" s="1129"/>
      <c r="I198" s="313">
        <f t="shared" si="36"/>
        <v>1</v>
      </c>
      <c r="J198" s="1129"/>
      <c r="K198" s="313">
        <f t="shared" si="37"/>
        <v>1</v>
      </c>
      <c r="L198" s="1129"/>
      <c r="M198" s="313">
        <f t="shared" si="38"/>
        <v>1</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0.02</v>
      </c>
      <c r="H199" s="1129"/>
      <c r="I199" s="313">
        <f t="shared" si="36"/>
        <v>1</v>
      </c>
      <c r="J199" s="1129"/>
      <c r="K199" s="313">
        <f t="shared" si="37"/>
        <v>1</v>
      </c>
      <c r="L199" s="1129"/>
      <c r="M199" s="313">
        <f t="shared" si="38"/>
        <v>1</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0.02</v>
      </c>
      <c r="H200" s="1129"/>
      <c r="I200" s="313">
        <f t="shared" si="36"/>
        <v>1</v>
      </c>
      <c r="J200" s="1129"/>
      <c r="K200" s="313">
        <f t="shared" si="37"/>
        <v>1</v>
      </c>
      <c r="L200" s="1129"/>
      <c r="M200" s="313">
        <f t="shared" si="38"/>
        <v>1</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0.02</v>
      </c>
      <c r="H201" s="1129"/>
      <c r="I201" s="313">
        <f t="shared" si="36"/>
        <v>1</v>
      </c>
      <c r="J201" s="1129"/>
      <c r="K201" s="313">
        <f t="shared" si="37"/>
        <v>1</v>
      </c>
      <c r="L201" s="1129"/>
      <c r="M201" s="313">
        <f t="shared" si="38"/>
        <v>1</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0.02</v>
      </c>
      <c r="H202" s="1129"/>
      <c r="I202" s="313">
        <f t="shared" si="36"/>
        <v>1</v>
      </c>
      <c r="J202" s="1129"/>
      <c r="K202" s="313">
        <f t="shared" si="37"/>
        <v>1</v>
      </c>
      <c r="L202" s="1129"/>
      <c r="M202" s="313">
        <f t="shared" si="38"/>
        <v>1</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0.02</v>
      </c>
      <c r="H203" s="1129"/>
      <c r="I203" s="313">
        <f t="shared" si="36"/>
        <v>1</v>
      </c>
      <c r="J203" s="1129"/>
      <c r="K203" s="313">
        <f t="shared" si="37"/>
        <v>1</v>
      </c>
      <c r="L203" s="1129"/>
      <c r="M203" s="313">
        <f t="shared" si="38"/>
        <v>1</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0.02</v>
      </c>
      <c r="H204" s="1129"/>
      <c r="I204" s="313">
        <f t="shared" si="36"/>
        <v>1</v>
      </c>
      <c r="J204" s="1129"/>
      <c r="K204" s="313">
        <f t="shared" si="37"/>
        <v>1</v>
      </c>
      <c r="L204" s="1129"/>
      <c r="M204" s="313">
        <f t="shared" si="38"/>
        <v>1</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0.02</v>
      </c>
      <c r="H205" s="1129"/>
      <c r="I205" s="313">
        <f t="shared" si="36"/>
        <v>1</v>
      </c>
      <c r="J205" s="1129"/>
      <c r="K205" s="313">
        <f t="shared" si="37"/>
        <v>1</v>
      </c>
      <c r="L205" s="1129"/>
      <c r="M205" s="313">
        <f t="shared" si="38"/>
        <v>1</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0.02</v>
      </c>
      <c r="H206" s="1129"/>
      <c r="I206" s="313">
        <f t="shared" si="36"/>
        <v>1</v>
      </c>
      <c r="J206" s="1129"/>
      <c r="K206" s="313">
        <f t="shared" si="37"/>
        <v>1</v>
      </c>
      <c r="L206" s="1129"/>
      <c r="M206" s="313">
        <f t="shared" si="38"/>
        <v>1</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0.02</v>
      </c>
      <c r="H207" s="1129"/>
      <c r="I207" s="313">
        <f t="shared" si="36"/>
        <v>1</v>
      </c>
      <c r="J207" s="1129"/>
      <c r="K207" s="313">
        <f t="shared" si="37"/>
        <v>1</v>
      </c>
      <c r="L207" s="1129"/>
      <c r="M207" s="313">
        <f t="shared" si="38"/>
        <v>1</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0.02</v>
      </c>
      <c r="H208" s="1129"/>
      <c r="I208" s="313">
        <f t="shared" si="36"/>
        <v>1</v>
      </c>
      <c r="J208" s="1129"/>
      <c r="K208" s="313">
        <f t="shared" si="37"/>
        <v>1</v>
      </c>
      <c r="L208" s="1129"/>
      <c r="M208" s="313">
        <f t="shared" si="38"/>
        <v>1</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0.02</v>
      </c>
      <c r="H209" s="1129"/>
      <c r="I209" s="313">
        <f t="shared" si="36"/>
        <v>1</v>
      </c>
      <c r="J209" s="1129"/>
      <c r="K209" s="313">
        <f t="shared" si="37"/>
        <v>1</v>
      </c>
      <c r="L209" s="1129"/>
      <c r="M209" s="313">
        <f t="shared" si="38"/>
        <v>1</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0.02</v>
      </c>
      <c r="H210" s="1129"/>
      <c r="I210" s="313">
        <f t="shared" si="36"/>
        <v>1</v>
      </c>
      <c r="J210" s="1129"/>
      <c r="K210" s="313">
        <f t="shared" si="37"/>
        <v>1</v>
      </c>
      <c r="L210" s="1129"/>
      <c r="M210" s="313">
        <f t="shared" si="38"/>
        <v>1</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0.02</v>
      </c>
      <c r="H211" s="1129"/>
      <c r="I211" s="313">
        <f t="shared" si="36"/>
        <v>1</v>
      </c>
      <c r="J211" s="1129"/>
      <c r="K211" s="313">
        <f t="shared" si="37"/>
        <v>1</v>
      </c>
      <c r="L211" s="1129"/>
      <c r="M211" s="313">
        <f t="shared" si="38"/>
        <v>1</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0.02</v>
      </c>
      <c r="H212" s="1129"/>
      <c r="I212" s="313">
        <f t="shared" si="36"/>
        <v>1</v>
      </c>
      <c r="J212" s="1129"/>
      <c r="K212" s="313">
        <f t="shared" si="37"/>
        <v>1</v>
      </c>
      <c r="L212" s="1129"/>
      <c r="M212" s="313">
        <f t="shared" si="38"/>
        <v>1</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0.02</v>
      </c>
      <c r="H213" s="1129"/>
      <c r="I213" s="313">
        <f t="shared" si="36"/>
        <v>1</v>
      </c>
      <c r="J213" s="1129"/>
      <c r="K213" s="313">
        <f t="shared" si="37"/>
        <v>1</v>
      </c>
      <c r="L213" s="1129"/>
      <c r="M213" s="313">
        <f t="shared" si="38"/>
        <v>1</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0.02</v>
      </c>
      <c r="H214" s="1129"/>
      <c r="I214" s="313">
        <f t="shared" si="36"/>
        <v>1</v>
      </c>
      <c r="J214" s="1129"/>
      <c r="K214" s="313">
        <f t="shared" si="37"/>
        <v>1</v>
      </c>
      <c r="L214" s="1129"/>
      <c r="M214" s="313">
        <f t="shared" si="38"/>
        <v>1</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0.02</v>
      </c>
      <c r="H215" s="1129"/>
      <c r="I215" s="313">
        <f t="shared" si="36"/>
        <v>1</v>
      </c>
      <c r="J215" s="1129"/>
      <c r="K215" s="313">
        <f t="shared" si="37"/>
        <v>1</v>
      </c>
      <c r="L215" s="1129"/>
      <c r="M215" s="313">
        <f t="shared" si="38"/>
        <v>1</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0.02</v>
      </c>
      <c r="H216" s="1129"/>
      <c r="I216" s="313">
        <f t="shared" si="36"/>
        <v>1</v>
      </c>
      <c r="J216" s="1129"/>
      <c r="K216" s="313">
        <f t="shared" si="37"/>
        <v>1</v>
      </c>
      <c r="L216" s="1129"/>
      <c r="M216" s="313">
        <f t="shared" si="38"/>
        <v>1</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0.02</v>
      </c>
      <c r="H217" s="1129"/>
      <c r="I217" s="313">
        <f t="shared" si="36"/>
        <v>1</v>
      </c>
      <c r="J217" s="1129"/>
      <c r="K217" s="313">
        <f t="shared" si="37"/>
        <v>1</v>
      </c>
      <c r="L217" s="1129"/>
      <c r="M217" s="313">
        <f t="shared" si="38"/>
        <v>1</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0.02</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0.02</v>
      </c>
      <c r="H219" s="1129"/>
      <c r="I219" s="313">
        <f t="shared" si="46"/>
        <v>1</v>
      </c>
      <c r="J219" s="1129"/>
      <c r="K219" s="313">
        <f t="shared" si="47"/>
        <v>1</v>
      </c>
      <c r="L219" s="1129"/>
      <c r="M219" s="313">
        <f t="shared" si="48"/>
        <v>1</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0.02</v>
      </c>
      <c r="H220" s="1129"/>
      <c r="I220" s="313">
        <f t="shared" si="46"/>
        <v>1</v>
      </c>
      <c r="J220" s="1129"/>
      <c r="K220" s="313">
        <f t="shared" si="47"/>
        <v>1</v>
      </c>
      <c r="L220" s="1129"/>
      <c r="M220" s="313">
        <f t="shared" si="48"/>
        <v>1</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0.02</v>
      </c>
      <c r="H221" s="1129"/>
      <c r="I221" s="313">
        <f t="shared" si="46"/>
        <v>1</v>
      </c>
      <c r="J221" s="1129"/>
      <c r="K221" s="313">
        <f t="shared" si="47"/>
        <v>1</v>
      </c>
      <c r="L221" s="1129"/>
      <c r="M221" s="313">
        <f t="shared" si="48"/>
        <v>1</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0.02</v>
      </c>
      <c r="H222" s="1129"/>
      <c r="I222" s="313">
        <f t="shared" si="46"/>
        <v>1</v>
      </c>
      <c r="J222" s="1129"/>
      <c r="K222" s="313">
        <f t="shared" si="47"/>
        <v>1</v>
      </c>
      <c r="L222" s="1129"/>
      <c r="M222" s="313">
        <f t="shared" si="48"/>
        <v>1</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0.02</v>
      </c>
      <c r="H223" s="1129"/>
      <c r="I223" s="313">
        <f t="shared" si="46"/>
        <v>1</v>
      </c>
      <c r="J223" s="1129"/>
      <c r="K223" s="313">
        <f t="shared" si="47"/>
        <v>1</v>
      </c>
      <c r="L223" s="1129"/>
      <c r="M223" s="313">
        <f t="shared" si="48"/>
        <v>1</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0.02</v>
      </c>
      <c r="H224" s="1129"/>
      <c r="I224" s="313">
        <f t="shared" si="46"/>
        <v>1</v>
      </c>
      <c r="J224" s="1129"/>
      <c r="K224" s="313">
        <f t="shared" si="47"/>
        <v>1</v>
      </c>
      <c r="L224" s="1129"/>
      <c r="M224" s="313">
        <f t="shared" si="48"/>
        <v>1</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0.02</v>
      </c>
      <c r="H225" s="1129"/>
      <c r="I225" s="313">
        <f t="shared" si="46"/>
        <v>1</v>
      </c>
      <c r="J225" s="1129"/>
      <c r="K225" s="313">
        <f t="shared" si="47"/>
        <v>1</v>
      </c>
      <c r="L225" s="1129"/>
      <c r="M225" s="313">
        <f t="shared" si="48"/>
        <v>1</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0.02</v>
      </c>
      <c r="H226" s="1129"/>
      <c r="I226" s="313">
        <f t="shared" si="46"/>
        <v>1</v>
      </c>
      <c r="J226" s="1129"/>
      <c r="K226" s="313">
        <f t="shared" si="47"/>
        <v>1</v>
      </c>
      <c r="L226" s="1129"/>
      <c r="M226" s="313">
        <f t="shared" si="48"/>
        <v>1</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0.02</v>
      </c>
      <c r="H227" s="1129"/>
      <c r="I227" s="313">
        <f t="shared" si="46"/>
        <v>1</v>
      </c>
      <c r="J227" s="1129"/>
      <c r="K227" s="313">
        <f t="shared" si="47"/>
        <v>1</v>
      </c>
      <c r="L227" s="1129"/>
      <c r="M227" s="313">
        <f t="shared" si="48"/>
        <v>1</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0.02</v>
      </c>
      <c r="H228" s="1129"/>
      <c r="I228" s="313">
        <f t="shared" si="46"/>
        <v>1</v>
      </c>
      <c r="J228" s="1129"/>
      <c r="K228" s="313">
        <f t="shared" si="47"/>
        <v>1</v>
      </c>
      <c r="L228" s="1129"/>
      <c r="M228" s="313">
        <f t="shared" si="48"/>
        <v>1</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0.02</v>
      </c>
      <c r="H229" s="1129"/>
      <c r="I229" s="313">
        <f t="shared" si="46"/>
        <v>1</v>
      </c>
      <c r="J229" s="1129"/>
      <c r="K229" s="313">
        <f t="shared" si="47"/>
        <v>1</v>
      </c>
      <c r="L229" s="1129"/>
      <c r="M229" s="313">
        <f t="shared" si="48"/>
        <v>1</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0.02</v>
      </c>
      <c r="H230" s="1129"/>
      <c r="I230" s="313">
        <f t="shared" si="46"/>
        <v>1</v>
      </c>
      <c r="J230" s="1129"/>
      <c r="K230" s="313">
        <f t="shared" si="47"/>
        <v>1</v>
      </c>
      <c r="L230" s="1129"/>
      <c r="M230" s="313">
        <f t="shared" si="48"/>
        <v>1</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0.02</v>
      </c>
      <c r="H231" s="1129"/>
      <c r="I231" s="313">
        <f t="shared" si="46"/>
        <v>1</v>
      </c>
      <c r="J231" s="1129"/>
      <c r="K231" s="313">
        <f t="shared" si="47"/>
        <v>1</v>
      </c>
      <c r="L231" s="1129"/>
      <c r="M231" s="313">
        <f t="shared" si="48"/>
        <v>1</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0.02</v>
      </c>
      <c r="H232" s="1129"/>
      <c r="I232" s="313">
        <f t="shared" si="46"/>
        <v>1</v>
      </c>
      <c r="J232" s="1129"/>
      <c r="K232" s="313">
        <f t="shared" si="47"/>
        <v>1</v>
      </c>
      <c r="L232" s="1129"/>
      <c r="M232" s="313">
        <f t="shared" si="48"/>
        <v>1</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0.02</v>
      </c>
      <c r="H233" s="1129"/>
      <c r="I233" s="313">
        <f t="shared" si="46"/>
        <v>1</v>
      </c>
      <c r="J233" s="1129"/>
      <c r="K233" s="313">
        <f t="shared" si="47"/>
        <v>1</v>
      </c>
      <c r="L233" s="1129"/>
      <c r="M233" s="313">
        <f t="shared" si="48"/>
        <v>1</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0.02</v>
      </c>
      <c r="H234" s="1129"/>
      <c r="I234" s="313">
        <f t="shared" si="46"/>
        <v>1</v>
      </c>
      <c r="J234" s="1129"/>
      <c r="K234" s="313">
        <f t="shared" si="47"/>
        <v>1</v>
      </c>
      <c r="L234" s="1129"/>
      <c r="M234" s="313">
        <f t="shared" si="48"/>
        <v>1</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0.02</v>
      </c>
      <c r="H235" s="1129"/>
      <c r="I235" s="313">
        <f t="shared" si="46"/>
        <v>1</v>
      </c>
      <c r="J235" s="1129"/>
      <c r="K235" s="313">
        <f t="shared" si="47"/>
        <v>1</v>
      </c>
      <c r="L235" s="1129"/>
      <c r="M235" s="313">
        <f t="shared" si="48"/>
        <v>1</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0.02</v>
      </c>
      <c r="H236" s="1129"/>
      <c r="I236" s="313">
        <f t="shared" si="46"/>
        <v>1</v>
      </c>
      <c r="J236" s="1129"/>
      <c r="K236" s="313">
        <f t="shared" si="47"/>
        <v>1</v>
      </c>
      <c r="L236" s="1129"/>
      <c r="M236" s="313">
        <f t="shared" si="48"/>
        <v>1</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0.02</v>
      </c>
      <c r="H237" s="1129"/>
      <c r="I237" s="313">
        <f t="shared" si="46"/>
        <v>1</v>
      </c>
      <c r="J237" s="1129"/>
      <c r="K237" s="313">
        <f t="shared" si="47"/>
        <v>1</v>
      </c>
      <c r="L237" s="1129"/>
      <c r="M237" s="313">
        <f t="shared" si="48"/>
        <v>1</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0.02</v>
      </c>
      <c r="H238" s="1129"/>
      <c r="I238" s="313">
        <f t="shared" si="46"/>
        <v>1</v>
      </c>
      <c r="J238" s="1129"/>
      <c r="K238" s="313">
        <f t="shared" si="47"/>
        <v>1</v>
      </c>
      <c r="L238" s="1129"/>
      <c r="M238" s="313">
        <f t="shared" si="48"/>
        <v>1</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0.02</v>
      </c>
      <c r="H239" s="1129"/>
      <c r="I239" s="313">
        <f t="shared" si="46"/>
        <v>1</v>
      </c>
      <c r="J239" s="1129"/>
      <c r="K239" s="313">
        <f t="shared" si="47"/>
        <v>1</v>
      </c>
      <c r="L239" s="1129"/>
      <c r="M239" s="313">
        <f t="shared" si="48"/>
        <v>1</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0.02</v>
      </c>
      <c r="H240" s="1129"/>
      <c r="I240" s="313">
        <f t="shared" si="46"/>
        <v>1</v>
      </c>
      <c r="J240" s="1129"/>
      <c r="K240" s="313">
        <f t="shared" si="47"/>
        <v>1</v>
      </c>
      <c r="L240" s="1129"/>
      <c r="M240" s="313">
        <f t="shared" si="48"/>
        <v>1</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0.02</v>
      </c>
      <c r="H241" s="1129"/>
      <c r="I241" s="313">
        <f t="shared" si="46"/>
        <v>1</v>
      </c>
      <c r="J241" s="1129"/>
      <c r="K241" s="313">
        <f t="shared" si="47"/>
        <v>1</v>
      </c>
      <c r="L241" s="1129"/>
      <c r="M241" s="313">
        <f t="shared" si="48"/>
        <v>1</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0.02</v>
      </c>
      <c r="H242" s="1129"/>
      <c r="I242" s="313">
        <f t="shared" si="46"/>
        <v>1</v>
      </c>
      <c r="J242" s="1129"/>
      <c r="K242" s="313">
        <f t="shared" si="47"/>
        <v>1</v>
      </c>
      <c r="L242" s="1129"/>
      <c r="M242" s="313">
        <f t="shared" si="48"/>
        <v>1</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0.02</v>
      </c>
      <c r="H243" s="1129"/>
      <c r="I243" s="313">
        <f t="shared" si="46"/>
        <v>1</v>
      </c>
      <c r="J243" s="1129"/>
      <c r="K243" s="313">
        <f t="shared" si="47"/>
        <v>1</v>
      </c>
      <c r="L243" s="1129"/>
      <c r="M243" s="313">
        <f t="shared" si="48"/>
        <v>1</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0.02</v>
      </c>
      <c r="H244" s="1129"/>
      <c r="I244" s="313">
        <f t="shared" si="46"/>
        <v>1</v>
      </c>
      <c r="J244" s="1129"/>
      <c r="K244" s="313">
        <f t="shared" si="47"/>
        <v>1</v>
      </c>
      <c r="L244" s="1129"/>
      <c r="M244" s="313">
        <f t="shared" si="48"/>
        <v>1</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0.02</v>
      </c>
      <c r="H245" s="1129"/>
      <c r="I245" s="313">
        <f t="shared" si="46"/>
        <v>1</v>
      </c>
      <c r="J245" s="1129"/>
      <c r="K245" s="313">
        <f t="shared" si="47"/>
        <v>1</v>
      </c>
      <c r="L245" s="1129"/>
      <c r="M245" s="313">
        <f t="shared" si="48"/>
        <v>1</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0.02</v>
      </c>
      <c r="H246" s="1129"/>
      <c r="I246" s="313">
        <f t="shared" si="46"/>
        <v>1</v>
      </c>
      <c r="J246" s="1129"/>
      <c r="K246" s="313">
        <f t="shared" si="47"/>
        <v>1</v>
      </c>
      <c r="L246" s="1129"/>
      <c r="M246" s="313">
        <f t="shared" si="48"/>
        <v>1</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0.02</v>
      </c>
      <c r="H247" s="1129"/>
      <c r="I247" s="313">
        <f t="shared" si="46"/>
        <v>1</v>
      </c>
      <c r="J247" s="1129"/>
      <c r="K247" s="313">
        <f t="shared" si="47"/>
        <v>1</v>
      </c>
      <c r="L247" s="1129"/>
      <c r="M247" s="313">
        <f t="shared" si="48"/>
        <v>1</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0.02</v>
      </c>
      <c r="H248" s="1129"/>
      <c r="I248" s="313">
        <f t="shared" si="46"/>
        <v>1</v>
      </c>
      <c r="J248" s="1129"/>
      <c r="K248" s="313">
        <f t="shared" si="47"/>
        <v>1</v>
      </c>
      <c r="L248" s="1129"/>
      <c r="M248" s="313">
        <f t="shared" si="48"/>
        <v>1</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0.02</v>
      </c>
      <c r="H249" s="1129"/>
      <c r="I249" s="313">
        <f t="shared" si="46"/>
        <v>1</v>
      </c>
      <c r="J249" s="1129"/>
      <c r="K249" s="313">
        <f t="shared" si="47"/>
        <v>1</v>
      </c>
      <c r="L249" s="1129"/>
      <c r="M249" s="313">
        <f t="shared" si="48"/>
        <v>1</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0.02</v>
      </c>
      <c r="H250" s="1129"/>
      <c r="I250" s="313">
        <f t="shared" si="46"/>
        <v>1</v>
      </c>
      <c r="J250" s="1129"/>
      <c r="K250" s="313">
        <f t="shared" si="47"/>
        <v>1</v>
      </c>
      <c r="L250" s="1129"/>
      <c r="M250" s="313">
        <f t="shared" si="48"/>
        <v>1</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0.02</v>
      </c>
      <c r="H251" s="1129"/>
      <c r="I251" s="313">
        <f t="shared" si="46"/>
        <v>1</v>
      </c>
      <c r="J251" s="1129"/>
      <c r="K251" s="313">
        <f t="shared" si="47"/>
        <v>1</v>
      </c>
      <c r="L251" s="1129"/>
      <c r="M251" s="313">
        <f t="shared" si="48"/>
        <v>1</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0.02</v>
      </c>
      <c r="H252" s="1129"/>
      <c r="I252" s="313">
        <f t="shared" si="46"/>
        <v>1</v>
      </c>
      <c r="J252" s="1129"/>
      <c r="K252" s="313">
        <f t="shared" si="47"/>
        <v>1</v>
      </c>
      <c r="L252" s="1129"/>
      <c r="M252" s="313">
        <f t="shared" si="48"/>
        <v>1</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0.02</v>
      </c>
      <c r="H253" s="1129"/>
      <c r="I253" s="313">
        <f t="shared" si="46"/>
        <v>1</v>
      </c>
      <c r="J253" s="1129"/>
      <c r="K253" s="313">
        <f t="shared" si="47"/>
        <v>1</v>
      </c>
      <c r="L253" s="1129"/>
      <c r="M253" s="313">
        <f t="shared" si="48"/>
        <v>1</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0.02</v>
      </c>
      <c r="H254" s="1129"/>
      <c r="I254" s="313">
        <f t="shared" si="46"/>
        <v>1</v>
      </c>
      <c r="J254" s="1129"/>
      <c r="K254" s="313">
        <f t="shared" si="47"/>
        <v>1</v>
      </c>
      <c r="L254" s="1129"/>
      <c r="M254" s="313">
        <f t="shared" si="48"/>
        <v>1</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0.02</v>
      </c>
      <c r="H255" s="1129"/>
      <c r="I255" s="313">
        <f t="shared" si="46"/>
        <v>1</v>
      </c>
      <c r="J255" s="1129"/>
      <c r="K255" s="313">
        <f t="shared" si="47"/>
        <v>1</v>
      </c>
      <c r="L255" s="1129"/>
      <c r="M255" s="313">
        <f t="shared" si="48"/>
        <v>1</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0.02</v>
      </c>
      <c r="H256" s="1129"/>
      <c r="I256" s="313">
        <f t="shared" si="46"/>
        <v>1</v>
      </c>
      <c r="J256" s="1129"/>
      <c r="K256" s="313">
        <f t="shared" si="47"/>
        <v>1</v>
      </c>
      <c r="L256" s="1129"/>
      <c r="M256" s="313">
        <f t="shared" si="48"/>
        <v>1</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0.02</v>
      </c>
      <c r="H257" s="1129"/>
      <c r="I257" s="313">
        <f t="shared" si="46"/>
        <v>1</v>
      </c>
      <c r="J257" s="1129"/>
      <c r="K257" s="313">
        <f t="shared" si="47"/>
        <v>1</v>
      </c>
      <c r="L257" s="1129"/>
      <c r="M257" s="313">
        <f t="shared" si="48"/>
        <v>1</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0.02</v>
      </c>
      <c r="H258" s="1129"/>
      <c r="I258" s="313">
        <f t="shared" si="46"/>
        <v>1</v>
      </c>
      <c r="J258" s="1129"/>
      <c r="K258" s="313">
        <f t="shared" si="47"/>
        <v>1</v>
      </c>
      <c r="L258" s="1129"/>
      <c r="M258" s="313">
        <f t="shared" si="48"/>
        <v>1</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0.02</v>
      </c>
      <c r="H259" s="1129"/>
      <c r="I259" s="313">
        <f t="shared" si="46"/>
        <v>1</v>
      </c>
      <c r="J259" s="1129"/>
      <c r="K259" s="313">
        <f t="shared" si="47"/>
        <v>1</v>
      </c>
      <c r="L259" s="1129"/>
      <c r="M259" s="313">
        <f t="shared" si="48"/>
        <v>1</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0.02</v>
      </c>
      <c r="H260" s="1129"/>
      <c r="I260" s="313">
        <f t="shared" si="46"/>
        <v>1</v>
      </c>
      <c r="J260" s="1129"/>
      <c r="K260" s="313">
        <f t="shared" si="47"/>
        <v>1</v>
      </c>
      <c r="L260" s="1129"/>
      <c r="M260" s="313">
        <f t="shared" si="48"/>
        <v>1</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0.02</v>
      </c>
      <c r="H261" s="1129"/>
      <c r="I261" s="313">
        <f t="shared" si="46"/>
        <v>1</v>
      </c>
      <c r="J261" s="1129"/>
      <c r="K261" s="313">
        <f t="shared" si="47"/>
        <v>1</v>
      </c>
      <c r="L261" s="1129"/>
      <c r="M261" s="313">
        <f t="shared" si="48"/>
        <v>1</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0.02</v>
      </c>
      <c r="H262" s="1129"/>
      <c r="I262" s="313">
        <f t="shared" si="46"/>
        <v>1</v>
      </c>
      <c r="J262" s="1129"/>
      <c r="K262" s="313">
        <f t="shared" si="47"/>
        <v>1</v>
      </c>
      <c r="L262" s="1129"/>
      <c r="M262" s="313">
        <f t="shared" si="48"/>
        <v>1</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0.02</v>
      </c>
      <c r="H263" s="1129"/>
      <c r="I263" s="313">
        <f t="shared" si="46"/>
        <v>1</v>
      </c>
      <c r="J263" s="1129"/>
      <c r="K263" s="313">
        <f t="shared" si="47"/>
        <v>1</v>
      </c>
      <c r="L263" s="1129"/>
      <c r="M263" s="313">
        <f t="shared" si="48"/>
        <v>1</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0.02</v>
      </c>
      <c r="H264" s="1129"/>
      <c r="I264" s="313">
        <f t="shared" si="46"/>
        <v>1</v>
      </c>
      <c r="J264" s="1129"/>
      <c r="K264" s="313">
        <f t="shared" si="47"/>
        <v>1</v>
      </c>
      <c r="L264" s="1129"/>
      <c r="M264" s="313">
        <f t="shared" si="48"/>
        <v>1</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0.02</v>
      </c>
      <c r="H265" s="1129"/>
      <c r="I265" s="313">
        <f t="shared" si="46"/>
        <v>1</v>
      </c>
      <c r="J265" s="1129"/>
      <c r="K265" s="313">
        <f t="shared" si="47"/>
        <v>1</v>
      </c>
      <c r="L265" s="1129"/>
      <c r="M265" s="313">
        <f t="shared" si="48"/>
        <v>1</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0.02</v>
      </c>
      <c r="H266" s="1129"/>
      <c r="I266" s="313">
        <f t="shared" si="46"/>
        <v>1</v>
      </c>
      <c r="J266" s="1129"/>
      <c r="K266" s="313">
        <f t="shared" si="47"/>
        <v>1</v>
      </c>
      <c r="L266" s="1129"/>
      <c r="M266" s="313">
        <f t="shared" si="48"/>
        <v>1</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0.02</v>
      </c>
      <c r="H267" s="1129"/>
      <c r="I267" s="313">
        <f t="shared" si="46"/>
        <v>1</v>
      </c>
      <c r="J267" s="1129"/>
      <c r="K267" s="313">
        <f t="shared" si="47"/>
        <v>1</v>
      </c>
      <c r="L267" s="1129"/>
      <c r="M267" s="313">
        <f t="shared" si="48"/>
        <v>1</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0.02</v>
      </c>
      <c r="H268" s="1129"/>
      <c r="I268" s="313">
        <f t="shared" si="46"/>
        <v>1</v>
      </c>
      <c r="J268" s="1129"/>
      <c r="K268" s="313">
        <f t="shared" si="47"/>
        <v>1</v>
      </c>
      <c r="L268" s="1129"/>
      <c r="M268" s="313">
        <f t="shared" si="48"/>
        <v>1</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0.02</v>
      </c>
      <c r="H269" s="1129"/>
      <c r="I269" s="313">
        <f t="shared" si="46"/>
        <v>1</v>
      </c>
      <c r="J269" s="1129"/>
      <c r="K269" s="313">
        <f t="shared" si="47"/>
        <v>1</v>
      </c>
      <c r="L269" s="1129"/>
      <c r="M269" s="313">
        <f t="shared" si="48"/>
        <v>1</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0.02</v>
      </c>
      <c r="H270" s="1129"/>
      <c r="I270" s="313">
        <f t="shared" si="46"/>
        <v>1</v>
      </c>
      <c r="J270" s="1129"/>
      <c r="K270" s="313">
        <f t="shared" si="47"/>
        <v>1</v>
      </c>
      <c r="L270" s="1129"/>
      <c r="M270" s="313">
        <f t="shared" si="48"/>
        <v>1</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0.02</v>
      </c>
      <c r="H271" s="1129"/>
      <c r="I271" s="313">
        <f t="shared" si="46"/>
        <v>1</v>
      </c>
      <c r="J271" s="1129"/>
      <c r="K271" s="313">
        <f t="shared" si="47"/>
        <v>1</v>
      </c>
      <c r="L271" s="1129"/>
      <c r="M271" s="313">
        <f t="shared" si="48"/>
        <v>1</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0.02</v>
      </c>
      <c r="H272" s="1129"/>
      <c r="I272" s="313">
        <f t="shared" si="46"/>
        <v>1</v>
      </c>
      <c r="J272" s="1129"/>
      <c r="K272" s="313">
        <f t="shared" si="47"/>
        <v>1</v>
      </c>
      <c r="L272" s="1129"/>
      <c r="M272" s="313">
        <f t="shared" si="48"/>
        <v>1</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0.02</v>
      </c>
      <c r="H273" s="1129"/>
      <c r="I273" s="313">
        <f t="shared" si="46"/>
        <v>1</v>
      </c>
      <c r="J273" s="1129"/>
      <c r="K273" s="313">
        <f t="shared" si="47"/>
        <v>1</v>
      </c>
      <c r="L273" s="1129"/>
      <c r="M273" s="313">
        <f t="shared" si="48"/>
        <v>1</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0.02</v>
      </c>
      <c r="H274" s="1129"/>
      <c r="I274" s="313">
        <f t="shared" si="46"/>
        <v>1</v>
      </c>
      <c r="J274" s="1129"/>
      <c r="K274" s="313">
        <f t="shared" si="47"/>
        <v>1</v>
      </c>
      <c r="L274" s="1129"/>
      <c r="M274" s="313">
        <f t="shared" si="48"/>
        <v>1</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0.02</v>
      </c>
      <c r="H275" s="1129"/>
      <c r="I275" s="313">
        <f t="shared" si="46"/>
        <v>1</v>
      </c>
      <c r="J275" s="1129"/>
      <c r="K275" s="313">
        <f t="shared" si="47"/>
        <v>1</v>
      </c>
      <c r="L275" s="1129"/>
      <c r="M275" s="313">
        <f t="shared" si="48"/>
        <v>1</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0.02</v>
      </c>
      <c r="H276" s="1129"/>
      <c r="I276" s="313">
        <f t="shared" si="46"/>
        <v>1</v>
      </c>
      <c r="J276" s="1129"/>
      <c r="K276" s="313">
        <f t="shared" si="47"/>
        <v>1</v>
      </c>
      <c r="L276" s="1129"/>
      <c r="M276" s="313">
        <f t="shared" si="48"/>
        <v>1</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0.02</v>
      </c>
      <c r="H277" s="1129"/>
      <c r="I277" s="313">
        <f t="shared" si="46"/>
        <v>1</v>
      </c>
      <c r="J277" s="1129"/>
      <c r="K277" s="313">
        <f t="shared" si="47"/>
        <v>1</v>
      </c>
      <c r="L277" s="1129"/>
      <c r="M277" s="313">
        <f t="shared" si="48"/>
        <v>1</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0.02</v>
      </c>
      <c r="H278" s="1129"/>
      <c r="I278" s="313">
        <f t="shared" si="46"/>
        <v>1</v>
      </c>
      <c r="J278" s="1129"/>
      <c r="K278" s="313">
        <f t="shared" si="47"/>
        <v>1</v>
      </c>
      <c r="L278" s="1129"/>
      <c r="M278" s="313">
        <f t="shared" si="48"/>
        <v>1</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0.02</v>
      </c>
      <c r="H279" s="1129"/>
      <c r="I279" s="313">
        <f t="shared" si="46"/>
        <v>1</v>
      </c>
      <c r="J279" s="1129"/>
      <c r="K279" s="313">
        <f t="shared" si="47"/>
        <v>1</v>
      </c>
      <c r="L279" s="1129"/>
      <c r="M279" s="313">
        <f t="shared" si="48"/>
        <v>1</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0.02</v>
      </c>
      <c r="H280" s="1129"/>
      <c r="I280" s="313">
        <f t="shared" si="46"/>
        <v>1</v>
      </c>
      <c r="J280" s="1129"/>
      <c r="K280" s="313">
        <f t="shared" si="47"/>
        <v>1</v>
      </c>
      <c r="L280" s="1129"/>
      <c r="M280" s="313">
        <f t="shared" si="48"/>
        <v>1</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0.02</v>
      </c>
      <c r="H281" s="1129"/>
      <c r="I281" s="313">
        <f t="shared" si="46"/>
        <v>1</v>
      </c>
      <c r="J281" s="1129"/>
      <c r="K281" s="313">
        <f t="shared" si="47"/>
        <v>1</v>
      </c>
      <c r="L281" s="1129"/>
      <c r="M281" s="313">
        <f t="shared" si="48"/>
        <v>1</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0.02</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0.02</v>
      </c>
      <c r="H283" s="1129"/>
      <c r="I283" s="313">
        <f t="shared" si="56"/>
        <v>1</v>
      </c>
      <c r="J283" s="1129"/>
      <c r="K283" s="313">
        <f t="shared" si="57"/>
        <v>1</v>
      </c>
      <c r="L283" s="1129"/>
      <c r="M283" s="313">
        <f t="shared" si="58"/>
        <v>1</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0.02</v>
      </c>
      <c r="H284" s="1129"/>
      <c r="I284" s="313">
        <f t="shared" si="56"/>
        <v>1</v>
      </c>
      <c r="J284" s="1129"/>
      <c r="K284" s="313">
        <f t="shared" si="57"/>
        <v>1</v>
      </c>
      <c r="L284" s="1129"/>
      <c r="M284" s="313">
        <f t="shared" si="58"/>
        <v>1</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0.02</v>
      </c>
      <c r="H285" s="1129"/>
      <c r="I285" s="313">
        <f t="shared" si="56"/>
        <v>1</v>
      </c>
      <c r="J285" s="1129"/>
      <c r="K285" s="313">
        <f t="shared" si="57"/>
        <v>1</v>
      </c>
      <c r="L285" s="1129"/>
      <c r="M285" s="313">
        <f t="shared" si="58"/>
        <v>1</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0.02</v>
      </c>
      <c r="H286" s="1129"/>
      <c r="I286" s="313">
        <f t="shared" si="56"/>
        <v>1</v>
      </c>
      <c r="J286" s="1129"/>
      <c r="K286" s="313">
        <f t="shared" si="57"/>
        <v>1</v>
      </c>
      <c r="L286" s="1129"/>
      <c r="M286" s="313">
        <f t="shared" si="58"/>
        <v>1</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0.02</v>
      </c>
      <c r="H287" s="1129"/>
      <c r="I287" s="313">
        <f t="shared" si="56"/>
        <v>1</v>
      </c>
      <c r="J287" s="1129"/>
      <c r="K287" s="313">
        <f t="shared" si="57"/>
        <v>1</v>
      </c>
      <c r="L287" s="1129"/>
      <c r="M287" s="313">
        <f t="shared" si="58"/>
        <v>1</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0.02</v>
      </c>
      <c r="H288" s="1129"/>
      <c r="I288" s="313">
        <f t="shared" si="56"/>
        <v>1</v>
      </c>
      <c r="J288" s="1129"/>
      <c r="K288" s="313">
        <f t="shared" si="57"/>
        <v>1</v>
      </c>
      <c r="L288" s="1129"/>
      <c r="M288" s="313">
        <f t="shared" si="58"/>
        <v>1</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0.02</v>
      </c>
      <c r="H289" s="1129"/>
      <c r="I289" s="313">
        <f t="shared" si="56"/>
        <v>1</v>
      </c>
      <c r="J289" s="1129"/>
      <c r="K289" s="313">
        <f t="shared" si="57"/>
        <v>1</v>
      </c>
      <c r="L289" s="1129"/>
      <c r="M289" s="313">
        <f t="shared" si="58"/>
        <v>1</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0.02</v>
      </c>
      <c r="H290" s="1129"/>
      <c r="I290" s="313">
        <f t="shared" si="56"/>
        <v>1</v>
      </c>
      <c r="J290" s="1129"/>
      <c r="K290" s="313">
        <f t="shared" si="57"/>
        <v>1</v>
      </c>
      <c r="L290" s="1129"/>
      <c r="M290" s="313">
        <f t="shared" si="58"/>
        <v>1</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0.02</v>
      </c>
      <c r="H291" s="1129"/>
      <c r="I291" s="313">
        <f t="shared" si="56"/>
        <v>1</v>
      </c>
      <c r="J291" s="1129"/>
      <c r="K291" s="313">
        <f t="shared" si="57"/>
        <v>1</v>
      </c>
      <c r="L291" s="1129"/>
      <c r="M291" s="313">
        <f t="shared" si="58"/>
        <v>1</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0.02</v>
      </c>
      <c r="H292" s="1129"/>
      <c r="I292" s="313">
        <f t="shared" si="56"/>
        <v>1</v>
      </c>
      <c r="J292" s="1129"/>
      <c r="K292" s="313">
        <f t="shared" si="57"/>
        <v>1</v>
      </c>
      <c r="L292" s="1129"/>
      <c r="M292" s="313">
        <f t="shared" si="58"/>
        <v>1</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0.02</v>
      </c>
      <c r="H293" s="1129"/>
      <c r="I293" s="313">
        <f t="shared" si="56"/>
        <v>1</v>
      </c>
      <c r="J293" s="1129"/>
      <c r="K293" s="313">
        <f t="shared" si="57"/>
        <v>1</v>
      </c>
      <c r="L293" s="1129"/>
      <c r="M293" s="313">
        <f t="shared" si="58"/>
        <v>1</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0.02</v>
      </c>
      <c r="H294" s="1129"/>
      <c r="I294" s="313">
        <f t="shared" si="56"/>
        <v>1</v>
      </c>
      <c r="J294" s="1129"/>
      <c r="K294" s="313">
        <f t="shared" si="57"/>
        <v>1</v>
      </c>
      <c r="L294" s="1129"/>
      <c r="M294" s="313">
        <f t="shared" si="58"/>
        <v>1</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0.02</v>
      </c>
      <c r="H295" s="1129"/>
      <c r="I295" s="313">
        <f t="shared" si="56"/>
        <v>1</v>
      </c>
      <c r="J295" s="1129"/>
      <c r="K295" s="313">
        <f t="shared" si="57"/>
        <v>1</v>
      </c>
      <c r="L295" s="1129"/>
      <c r="M295" s="313">
        <f t="shared" si="58"/>
        <v>1</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0.02</v>
      </c>
      <c r="H296" s="1129"/>
      <c r="I296" s="313">
        <f t="shared" si="56"/>
        <v>1</v>
      </c>
      <c r="J296" s="1129"/>
      <c r="K296" s="313">
        <f t="shared" si="57"/>
        <v>1</v>
      </c>
      <c r="L296" s="1129"/>
      <c r="M296" s="313">
        <f t="shared" si="58"/>
        <v>1</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0.02</v>
      </c>
      <c r="H297" s="1129"/>
      <c r="I297" s="313">
        <f t="shared" si="56"/>
        <v>1</v>
      </c>
      <c r="J297" s="1129"/>
      <c r="K297" s="313">
        <f t="shared" si="57"/>
        <v>1</v>
      </c>
      <c r="L297" s="1129"/>
      <c r="M297" s="313">
        <f t="shared" si="58"/>
        <v>1</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0.02</v>
      </c>
      <c r="H298" s="1129"/>
      <c r="I298" s="313">
        <f t="shared" si="56"/>
        <v>1</v>
      </c>
      <c r="J298" s="1129"/>
      <c r="K298" s="313">
        <f t="shared" si="57"/>
        <v>1</v>
      </c>
      <c r="L298" s="1129"/>
      <c r="M298" s="313">
        <f t="shared" si="58"/>
        <v>1</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0.02</v>
      </c>
      <c r="H299" s="1129"/>
      <c r="I299" s="313">
        <f t="shared" si="56"/>
        <v>1</v>
      </c>
      <c r="J299" s="1129"/>
      <c r="K299" s="313">
        <f t="shared" si="57"/>
        <v>1</v>
      </c>
      <c r="L299" s="1129"/>
      <c r="M299" s="313">
        <f t="shared" si="58"/>
        <v>1</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0.02</v>
      </c>
      <c r="H300" s="1129"/>
      <c r="I300" s="313">
        <f t="shared" si="56"/>
        <v>1</v>
      </c>
      <c r="J300" s="1129"/>
      <c r="K300" s="313">
        <f t="shared" si="57"/>
        <v>1</v>
      </c>
      <c r="L300" s="1129"/>
      <c r="M300" s="313">
        <f t="shared" si="58"/>
        <v>1</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0.02</v>
      </c>
      <c r="H301" s="1129"/>
      <c r="I301" s="313">
        <f t="shared" si="56"/>
        <v>1</v>
      </c>
      <c r="J301" s="1129"/>
      <c r="K301" s="313">
        <f t="shared" si="57"/>
        <v>1</v>
      </c>
      <c r="L301" s="1129"/>
      <c r="M301" s="313">
        <f t="shared" si="58"/>
        <v>1</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0.02</v>
      </c>
      <c r="H302" s="1129"/>
      <c r="I302" s="313">
        <f t="shared" si="56"/>
        <v>1</v>
      </c>
      <c r="J302" s="1129"/>
      <c r="K302" s="313">
        <f t="shared" si="57"/>
        <v>1</v>
      </c>
      <c r="L302" s="1129"/>
      <c r="M302" s="313">
        <f t="shared" si="58"/>
        <v>1</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0.02</v>
      </c>
      <c r="H303" s="1129"/>
      <c r="I303" s="313">
        <f t="shared" si="56"/>
        <v>1</v>
      </c>
      <c r="J303" s="1129"/>
      <c r="K303" s="313">
        <f t="shared" si="57"/>
        <v>1</v>
      </c>
      <c r="L303" s="1129"/>
      <c r="M303" s="313">
        <f t="shared" si="58"/>
        <v>1</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0.02</v>
      </c>
      <c r="H304" s="1129"/>
      <c r="I304" s="313">
        <f t="shared" si="56"/>
        <v>1</v>
      </c>
      <c r="J304" s="1129"/>
      <c r="K304" s="313">
        <f t="shared" si="57"/>
        <v>1</v>
      </c>
      <c r="L304" s="1129"/>
      <c r="M304" s="313">
        <f t="shared" si="58"/>
        <v>1</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0.02</v>
      </c>
      <c r="H305" s="1129"/>
      <c r="I305" s="313">
        <f t="shared" si="56"/>
        <v>1</v>
      </c>
      <c r="J305" s="1129"/>
      <c r="K305" s="313">
        <f t="shared" si="57"/>
        <v>1</v>
      </c>
      <c r="L305" s="1129"/>
      <c r="M305" s="313">
        <f t="shared" si="58"/>
        <v>1</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0.02</v>
      </c>
      <c r="H306" s="1129"/>
      <c r="I306" s="313">
        <f t="shared" si="56"/>
        <v>1</v>
      </c>
      <c r="J306" s="1129"/>
      <c r="K306" s="313">
        <f t="shared" si="57"/>
        <v>1</v>
      </c>
      <c r="L306" s="1129"/>
      <c r="M306" s="313">
        <f t="shared" si="58"/>
        <v>1</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0.02</v>
      </c>
      <c r="H307" s="1129"/>
      <c r="I307" s="313">
        <f t="shared" si="56"/>
        <v>1</v>
      </c>
      <c r="J307" s="1129"/>
      <c r="K307" s="313">
        <f t="shared" si="57"/>
        <v>1</v>
      </c>
      <c r="L307" s="1129"/>
      <c r="M307" s="313">
        <f t="shared" si="58"/>
        <v>1</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0.02</v>
      </c>
      <c r="H308" s="1129"/>
      <c r="I308" s="313">
        <f t="shared" si="56"/>
        <v>1</v>
      </c>
      <c r="J308" s="1129"/>
      <c r="K308" s="313">
        <f t="shared" si="57"/>
        <v>1</v>
      </c>
      <c r="L308" s="1129"/>
      <c r="M308" s="313">
        <f t="shared" si="58"/>
        <v>1</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0.02</v>
      </c>
      <c r="H309" s="1129"/>
      <c r="I309" s="313">
        <f t="shared" si="56"/>
        <v>1</v>
      </c>
      <c r="J309" s="1129"/>
      <c r="K309" s="313">
        <f t="shared" si="57"/>
        <v>1</v>
      </c>
      <c r="L309" s="1129"/>
      <c r="M309" s="313">
        <f t="shared" si="58"/>
        <v>1</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0.02</v>
      </c>
      <c r="H310" s="1129"/>
      <c r="I310" s="313">
        <f t="shared" si="56"/>
        <v>1</v>
      </c>
      <c r="J310" s="1129"/>
      <c r="K310" s="313">
        <f t="shared" si="57"/>
        <v>1</v>
      </c>
      <c r="L310" s="1129"/>
      <c r="M310" s="313">
        <f t="shared" si="58"/>
        <v>1</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0.02</v>
      </c>
      <c r="H311" s="1129"/>
      <c r="I311" s="313">
        <f t="shared" si="56"/>
        <v>1</v>
      </c>
      <c r="J311" s="1129"/>
      <c r="K311" s="313">
        <f t="shared" si="57"/>
        <v>1</v>
      </c>
      <c r="L311" s="1129"/>
      <c r="M311" s="313">
        <f t="shared" si="58"/>
        <v>1</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0.02</v>
      </c>
      <c r="H312" s="1129"/>
      <c r="I312" s="313">
        <f t="shared" si="56"/>
        <v>1</v>
      </c>
      <c r="J312" s="1129"/>
      <c r="K312" s="313">
        <f t="shared" si="57"/>
        <v>1</v>
      </c>
      <c r="L312" s="1129"/>
      <c r="M312" s="313">
        <f t="shared" si="58"/>
        <v>1</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0.02</v>
      </c>
      <c r="H313" s="1129"/>
      <c r="I313" s="313">
        <f t="shared" si="56"/>
        <v>1</v>
      </c>
      <c r="J313" s="1129"/>
      <c r="K313" s="313">
        <f t="shared" si="57"/>
        <v>1</v>
      </c>
      <c r="L313" s="1129"/>
      <c r="M313" s="313">
        <f t="shared" si="58"/>
        <v>1</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0.02</v>
      </c>
      <c r="H314" s="1129"/>
      <c r="I314" s="313">
        <f t="shared" si="56"/>
        <v>1</v>
      </c>
      <c r="J314" s="1129"/>
      <c r="K314" s="313">
        <f t="shared" si="57"/>
        <v>1</v>
      </c>
      <c r="L314" s="1129"/>
      <c r="M314" s="313">
        <f t="shared" si="58"/>
        <v>1</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0.02</v>
      </c>
      <c r="H315" s="1129"/>
      <c r="I315" s="313">
        <f t="shared" si="56"/>
        <v>1</v>
      </c>
      <c r="J315" s="1129"/>
      <c r="K315" s="313">
        <f t="shared" si="57"/>
        <v>1</v>
      </c>
      <c r="L315" s="1129"/>
      <c r="M315" s="313">
        <f t="shared" si="58"/>
        <v>1</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0.02</v>
      </c>
      <c r="H316" s="1129"/>
      <c r="I316" s="313">
        <f t="shared" si="56"/>
        <v>1</v>
      </c>
      <c r="J316" s="1129"/>
      <c r="K316" s="313">
        <f t="shared" si="57"/>
        <v>1</v>
      </c>
      <c r="L316" s="1129"/>
      <c r="M316" s="313">
        <f t="shared" si="58"/>
        <v>1</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0.02</v>
      </c>
      <c r="H317" s="1129"/>
      <c r="I317" s="313">
        <f t="shared" si="56"/>
        <v>1</v>
      </c>
      <c r="J317" s="1129"/>
      <c r="K317" s="313">
        <f t="shared" si="57"/>
        <v>1</v>
      </c>
      <c r="L317" s="1129"/>
      <c r="M317" s="313">
        <f t="shared" si="58"/>
        <v>1</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0.02</v>
      </c>
      <c r="H318" s="1129"/>
      <c r="I318" s="313">
        <f t="shared" si="56"/>
        <v>1</v>
      </c>
      <c r="J318" s="1129"/>
      <c r="K318" s="313">
        <f t="shared" si="57"/>
        <v>1</v>
      </c>
      <c r="L318" s="1129"/>
      <c r="M318" s="313">
        <f t="shared" si="58"/>
        <v>1</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0.02</v>
      </c>
      <c r="H319" s="1129"/>
      <c r="I319" s="313">
        <f t="shared" si="56"/>
        <v>1</v>
      </c>
      <c r="J319" s="1129"/>
      <c r="K319" s="313">
        <f t="shared" si="57"/>
        <v>1</v>
      </c>
      <c r="L319" s="1129"/>
      <c r="M319" s="313">
        <f t="shared" si="58"/>
        <v>1</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0.02</v>
      </c>
      <c r="H320" s="1129"/>
      <c r="I320" s="313">
        <f t="shared" si="56"/>
        <v>1</v>
      </c>
      <c r="J320" s="1129"/>
      <c r="K320" s="313">
        <f t="shared" si="57"/>
        <v>1</v>
      </c>
      <c r="L320" s="1129"/>
      <c r="M320" s="313">
        <f t="shared" si="58"/>
        <v>1</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0.02</v>
      </c>
      <c r="H321" s="1129"/>
      <c r="I321" s="313">
        <f t="shared" si="56"/>
        <v>1</v>
      </c>
      <c r="J321" s="1129"/>
      <c r="K321" s="313">
        <f t="shared" si="57"/>
        <v>1</v>
      </c>
      <c r="L321" s="1129"/>
      <c r="M321" s="313">
        <f t="shared" si="58"/>
        <v>1</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0.02</v>
      </c>
      <c r="H322" s="1129"/>
      <c r="I322" s="313">
        <f t="shared" si="56"/>
        <v>1</v>
      </c>
      <c r="J322" s="1129"/>
      <c r="K322" s="313">
        <f t="shared" si="57"/>
        <v>1</v>
      </c>
      <c r="L322" s="1129"/>
      <c r="M322" s="313">
        <f t="shared" si="58"/>
        <v>1</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0.02</v>
      </c>
      <c r="H323" s="1129"/>
      <c r="I323" s="313">
        <f t="shared" si="56"/>
        <v>1</v>
      </c>
      <c r="J323" s="1129"/>
      <c r="K323" s="313">
        <f t="shared" si="57"/>
        <v>1</v>
      </c>
      <c r="L323" s="1129"/>
      <c r="M323" s="313">
        <f t="shared" si="58"/>
        <v>1</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0.02</v>
      </c>
      <c r="H324" s="1129"/>
      <c r="I324" s="313">
        <f t="shared" si="56"/>
        <v>1</v>
      </c>
      <c r="J324" s="1129"/>
      <c r="K324" s="313">
        <f t="shared" si="57"/>
        <v>1</v>
      </c>
      <c r="L324" s="1129"/>
      <c r="M324" s="313">
        <f t="shared" si="58"/>
        <v>1</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0.02</v>
      </c>
      <c r="H325" s="1129"/>
      <c r="I325" s="313">
        <f t="shared" si="56"/>
        <v>1</v>
      </c>
      <c r="J325" s="1129"/>
      <c r="K325" s="313">
        <f t="shared" si="57"/>
        <v>1</v>
      </c>
      <c r="L325" s="1129"/>
      <c r="M325" s="313">
        <f t="shared" si="58"/>
        <v>1</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0.02</v>
      </c>
      <c r="H326" s="1129"/>
      <c r="I326" s="313">
        <f t="shared" si="56"/>
        <v>1</v>
      </c>
      <c r="J326" s="1129"/>
      <c r="K326" s="313">
        <f t="shared" si="57"/>
        <v>1</v>
      </c>
      <c r="L326" s="1129"/>
      <c r="M326" s="313">
        <f t="shared" si="58"/>
        <v>1</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0.02</v>
      </c>
      <c r="H327" s="1129"/>
      <c r="I327" s="313">
        <f t="shared" si="56"/>
        <v>1</v>
      </c>
      <c r="J327" s="1129"/>
      <c r="K327" s="313">
        <f t="shared" si="57"/>
        <v>1</v>
      </c>
      <c r="L327" s="1129"/>
      <c r="M327" s="313">
        <f t="shared" si="58"/>
        <v>1</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0.02</v>
      </c>
      <c r="H328" s="1129"/>
      <c r="I328" s="313">
        <f t="shared" si="56"/>
        <v>1</v>
      </c>
      <c r="J328" s="1129"/>
      <c r="K328" s="313">
        <f t="shared" si="57"/>
        <v>1</v>
      </c>
      <c r="L328" s="1129"/>
      <c r="M328" s="313">
        <f t="shared" si="58"/>
        <v>1</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0.02</v>
      </c>
      <c r="H329" s="1129"/>
      <c r="I329" s="313">
        <f t="shared" si="56"/>
        <v>1</v>
      </c>
      <c r="J329" s="1129"/>
      <c r="K329" s="313">
        <f t="shared" si="57"/>
        <v>1</v>
      </c>
      <c r="L329" s="1129"/>
      <c r="M329" s="313">
        <f t="shared" si="58"/>
        <v>1</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0.02</v>
      </c>
      <c r="H330" s="1129"/>
      <c r="I330" s="313">
        <f t="shared" si="56"/>
        <v>1</v>
      </c>
      <c r="J330" s="1129"/>
      <c r="K330" s="313">
        <f t="shared" si="57"/>
        <v>1</v>
      </c>
      <c r="L330" s="1129"/>
      <c r="M330" s="313">
        <f t="shared" si="58"/>
        <v>1</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0.02</v>
      </c>
      <c r="H331" s="1129"/>
      <c r="I331" s="313">
        <f t="shared" si="56"/>
        <v>1</v>
      </c>
      <c r="J331" s="1129"/>
      <c r="K331" s="313">
        <f t="shared" si="57"/>
        <v>1</v>
      </c>
      <c r="L331" s="1129"/>
      <c r="M331" s="313">
        <f t="shared" si="58"/>
        <v>1</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0.02</v>
      </c>
      <c r="H332" s="1129"/>
      <c r="I332" s="313">
        <f t="shared" si="56"/>
        <v>1</v>
      </c>
      <c r="J332" s="1129"/>
      <c r="K332" s="313">
        <f t="shared" si="57"/>
        <v>1</v>
      </c>
      <c r="L332" s="1129"/>
      <c r="M332" s="313">
        <f t="shared" si="58"/>
        <v>1</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0.02</v>
      </c>
      <c r="H333" s="1129"/>
      <c r="I333" s="313">
        <f t="shared" si="56"/>
        <v>1</v>
      </c>
      <c r="J333" s="1129"/>
      <c r="K333" s="313">
        <f t="shared" si="57"/>
        <v>1</v>
      </c>
      <c r="L333" s="1129"/>
      <c r="M333" s="313">
        <f t="shared" si="58"/>
        <v>1</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0.02</v>
      </c>
      <c r="H334" s="1129"/>
      <c r="I334" s="313">
        <f t="shared" si="56"/>
        <v>1</v>
      </c>
      <c r="J334" s="1129"/>
      <c r="K334" s="313">
        <f t="shared" si="57"/>
        <v>1</v>
      </c>
      <c r="L334" s="1129"/>
      <c r="M334" s="313">
        <f t="shared" si="58"/>
        <v>1</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0.02</v>
      </c>
      <c r="H335" s="1129"/>
      <c r="I335" s="313">
        <f t="shared" si="56"/>
        <v>1</v>
      </c>
      <c r="J335" s="1129"/>
      <c r="K335" s="313">
        <f t="shared" si="57"/>
        <v>1</v>
      </c>
      <c r="L335" s="1129"/>
      <c r="M335" s="313">
        <f t="shared" si="58"/>
        <v>1</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0.02</v>
      </c>
      <c r="H336" s="1129"/>
      <c r="I336" s="313">
        <f t="shared" si="56"/>
        <v>1</v>
      </c>
      <c r="J336" s="1129"/>
      <c r="K336" s="313">
        <f t="shared" si="57"/>
        <v>1</v>
      </c>
      <c r="L336" s="1129"/>
      <c r="M336" s="313">
        <f t="shared" si="58"/>
        <v>1</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0.02</v>
      </c>
      <c r="H337" s="1129"/>
      <c r="I337" s="313">
        <f t="shared" si="56"/>
        <v>1</v>
      </c>
      <c r="J337" s="1129"/>
      <c r="K337" s="313">
        <f t="shared" si="57"/>
        <v>1</v>
      </c>
      <c r="L337" s="1129"/>
      <c r="M337" s="313">
        <f t="shared" si="58"/>
        <v>1</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0.02</v>
      </c>
      <c r="H338" s="1129"/>
      <c r="I338" s="313">
        <f t="shared" si="56"/>
        <v>1</v>
      </c>
      <c r="J338" s="1129"/>
      <c r="K338" s="313">
        <f t="shared" si="57"/>
        <v>1</v>
      </c>
      <c r="L338" s="1129"/>
      <c r="M338" s="313">
        <f t="shared" si="58"/>
        <v>1</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0.02</v>
      </c>
      <c r="H339" s="1129"/>
      <c r="I339" s="313">
        <f t="shared" si="56"/>
        <v>1</v>
      </c>
      <c r="J339" s="1129"/>
      <c r="K339" s="313">
        <f t="shared" si="57"/>
        <v>1</v>
      </c>
      <c r="L339" s="1129"/>
      <c r="M339" s="313">
        <f t="shared" si="58"/>
        <v>1</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0.02</v>
      </c>
      <c r="H340" s="1129"/>
      <c r="I340" s="313">
        <f t="shared" si="56"/>
        <v>1</v>
      </c>
      <c r="J340" s="1129"/>
      <c r="K340" s="313">
        <f t="shared" si="57"/>
        <v>1</v>
      </c>
      <c r="L340" s="1129"/>
      <c r="M340" s="313">
        <f t="shared" si="58"/>
        <v>1</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0.02</v>
      </c>
      <c r="H341" s="1129"/>
      <c r="I341" s="313">
        <f t="shared" si="56"/>
        <v>1</v>
      </c>
      <c r="J341" s="1129"/>
      <c r="K341" s="313">
        <f t="shared" si="57"/>
        <v>1</v>
      </c>
      <c r="L341" s="1129"/>
      <c r="M341" s="313">
        <f t="shared" si="58"/>
        <v>1</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0.02</v>
      </c>
      <c r="H342" s="1129"/>
      <c r="I342" s="313">
        <f t="shared" si="56"/>
        <v>1</v>
      </c>
      <c r="J342" s="1129"/>
      <c r="K342" s="313">
        <f t="shared" si="57"/>
        <v>1</v>
      </c>
      <c r="L342" s="1129"/>
      <c r="M342" s="313">
        <f t="shared" si="58"/>
        <v>1</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0.02</v>
      </c>
      <c r="H343" s="1129"/>
      <c r="I343" s="313">
        <f t="shared" si="56"/>
        <v>1</v>
      </c>
      <c r="J343" s="1129"/>
      <c r="K343" s="313">
        <f t="shared" si="57"/>
        <v>1</v>
      </c>
      <c r="L343" s="1129"/>
      <c r="M343" s="313">
        <f t="shared" si="58"/>
        <v>1</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0.02</v>
      </c>
      <c r="H344" s="1129"/>
      <c r="I344" s="313">
        <f t="shared" si="56"/>
        <v>1</v>
      </c>
      <c r="J344" s="1129"/>
      <c r="K344" s="313">
        <f t="shared" si="57"/>
        <v>1</v>
      </c>
      <c r="L344" s="1129"/>
      <c r="M344" s="313">
        <f t="shared" si="58"/>
        <v>1</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0.02</v>
      </c>
      <c r="H345" s="1129"/>
      <c r="I345" s="313">
        <f t="shared" si="56"/>
        <v>1</v>
      </c>
      <c r="J345" s="1129"/>
      <c r="K345" s="313">
        <f t="shared" si="57"/>
        <v>1</v>
      </c>
      <c r="L345" s="1129"/>
      <c r="M345" s="313">
        <f t="shared" si="58"/>
        <v>1</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0.02</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0.02</v>
      </c>
      <c r="H347" s="1129"/>
      <c r="I347" s="313">
        <f t="shared" si="67"/>
        <v>1</v>
      </c>
      <c r="J347" s="1129"/>
      <c r="K347" s="313">
        <f t="shared" si="68"/>
        <v>1</v>
      </c>
      <c r="L347" s="1129"/>
      <c r="M347" s="313">
        <f t="shared" si="69"/>
        <v>1</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0.02</v>
      </c>
      <c r="H348" s="1129"/>
      <c r="I348" s="313">
        <f t="shared" si="67"/>
        <v>1</v>
      </c>
      <c r="J348" s="1129"/>
      <c r="K348" s="313">
        <f t="shared" si="68"/>
        <v>1</v>
      </c>
      <c r="L348" s="1129"/>
      <c r="M348" s="313">
        <f t="shared" si="69"/>
        <v>1</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0.02</v>
      </c>
      <c r="H349" s="1129"/>
      <c r="I349" s="313">
        <f t="shared" si="67"/>
        <v>1</v>
      </c>
      <c r="J349" s="1129"/>
      <c r="K349" s="313">
        <f t="shared" si="68"/>
        <v>1</v>
      </c>
      <c r="L349" s="1129"/>
      <c r="M349" s="313">
        <f t="shared" si="69"/>
        <v>1</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0.02</v>
      </c>
      <c r="H350" s="1129"/>
      <c r="I350" s="313">
        <f t="shared" si="67"/>
        <v>1</v>
      </c>
      <c r="J350" s="1129"/>
      <c r="K350" s="313">
        <f t="shared" si="68"/>
        <v>1</v>
      </c>
      <c r="L350" s="1129"/>
      <c r="M350" s="313">
        <f t="shared" si="69"/>
        <v>1</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0.02</v>
      </c>
      <c r="H351" s="1129"/>
      <c r="I351" s="313">
        <f t="shared" si="67"/>
        <v>1</v>
      </c>
      <c r="J351" s="1129"/>
      <c r="K351" s="313">
        <f t="shared" si="68"/>
        <v>1</v>
      </c>
      <c r="L351" s="1129"/>
      <c r="M351" s="313">
        <f t="shared" si="69"/>
        <v>1</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0.02</v>
      </c>
      <c r="H352" s="1129"/>
      <c r="I352" s="313">
        <f t="shared" si="67"/>
        <v>1</v>
      </c>
      <c r="J352" s="1129"/>
      <c r="K352" s="313">
        <f t="shared" si="68"/>
        <v>1</v>
      </c>
      <c r="L352" s="1129"/>
      <c r="M352" s="313">
        <f t="shared" si="69"/>
        <v>1</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0.02</v>
      </c>
      <c r="H353" s="1129"/>
      <c r="I353" s="313">
        <f t="shared" si="67"/>
        <v>1</v>
      </c>
      <c r="J353" s="1129"/>
      <c r="K353" s="313">
        <f t="shared" si="68"/>
        <v>1</v>
      </c>
      <c r="L353" s="1129"/>
      <c r="M353" s="313">
        <f t="shared" si="69"/>
        <v>1</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0.02</v>
      </c>
      <c r="H354" s="1129"/>
      <c r="I354" s="313">
        <f t="shared" si="67"/>
        <v>1</v>
      </c>
      <c r="J354" s="1129"/>
      <c r="K354" s="313">
        <f t="shared" si="68"/>
        <v>1</v>
      </c>
      <c r="L354" s="1129"/>
      <c r="M354" s="313">
        <f t="shared" si="69"/>
        <v>1</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0.02</v>
      </c>
      <c r="H355" s="1129"/>
      <c r="I355" s="313">
        <f t="shared" si="67"/>
        <v>1</v>
      </c>
      <c r="J355" s="1129"/>
      <c r="K355" s="313">
        <f t="shared" si="68"/>
        <v>1</v>
      </c>
      <c r="L355" s="1129"/>
      <c r="M355" s="313">
        <f t="shared" si="69"/>
        <v>1</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0.02</v>
      </c>
      <c r="H356" s="1129"/>
      <c r="I356" s="313">
        <f t="shared" si="67"/>
        <v>1</v>
      </c>
      <c r="J356" s="1129"/>
      <c r="K356" s="313">
        <f t="shared" si="68"/>
        <v>1</v>
      </c>
      <c r="L356" s="1129"/>
      <c r="M356" s="313">
        <f t="shared" si="69"/>
        <v>1</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0.02</v>
      </c>
      <c r="H357" s="1129"/>
      <c r="I357" s="313">
        <f t="shared" si="67"/>
        <v>1</v>
      </c>
      <c r="J357" s="1129"/>
      <c r="K357" s="313">
        <f t="shared" si="68"/>
        <v>1</v>
      </c>
      <c r="L357" s="1129"/>
      <c r="M357" s="313">
        <f t="shared" si="69"/>
        <v>1</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0.02</v>
      </c>
      <c r="H358" s="1129"/>
      <c r="I358" s="313">
        <f t="shared" si="67"/>
        <v>1</v>
      </c>
      <c r="J358" s="1129"/>
      <c r="K358" s="313">
        <f t="shared" si="68"/>
        <v>1</v>
      </c>
      <c r="L358" s="1129"/>
      <c r="M358" s="313">
        <f t="shared" si="69"/>
        <v>1</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0.02</v>
      </c>
      <c r="H359" s="1129"/>
      <c r="I359" s="313">
        <f t="shared" si="67"/>
        <v>1</v>
      </c>
      <c r="J359" s="1129"/>
      <c r="K359" s="313">
        <f t="shared" si="68"/>
        <v>1</v>
      </c>
      <c r="L359" s="1129"/>
      <c r="M359" s="313">
        <f t="shared" si="69"/>
        <v>1</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0.02</v>
      </c>
      <c r="H360" s="1129"/>
      <c r="I360" s="313">
        <f t="shared" si="67"/>
        <v>1</v>
      </c>
      <c r="J360" s="1129"/>
      <c r="K360" s="313">
        <f t="shared" si="68"/>
        <v>1</v>
      </c>
      <c r="L360" s="1129"/>
      <c r="M360" s="313">
        <f t="shared" si="69"/>
        <v>1</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0.02</v>
      </c>
      <c r="H361" s="1129"/>
      <c r="I361" s="313">
        <f t="shared" si="67"/>
        <v>1</v>
      </c>
      <c r="J361" s="1129"/>
      <c r="K361" s="313">
        <f t="shared" si="68"/>
        <v>1</v>
      </c>
      <c r="L361" s="1129"/>
      <c r="M361" s="313">
        <f t="shared" si="69"/>
        <v>1</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0.02</v>
      </c>
      <c r="H362" s="1129"/>
      <c r="I362" s="313">
        <f t="shared" si="67"/>
        <v>1</v>
      </c>
      <c r="J362" s="1129"/>
      <c r="K362" s="313">
        <f t="shared" si="68"/>
        <v>1</v>
      </c>
      <c r="L362" s="1129"/>
      <c r="M362" s="313">
        <f t="shared" si="69"/>
        <v>1</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0.02</v>
      </c>
      <c r="H363" s="1129"/>
      <c r="I363" s="313">
        <f t="shared" si="67"/>
        <v>1</v>
      </c>
      <c r="J363" s="1129"/>
      <c r="K363" s="313">
        <f t="shared" si="68"/>
        <v>1</v>
      </c>
      <c r="L363" s="1129"/>
      <c r="M363" s="313">
        <f t="shared" si="69"/>
        <v>1</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0.02</v>
      </c>
      <c r="H364" s="1129"/>
      <c r="I364" s="313">
        <f t="shared" si="67"/>
        <v>1</v>
      </c>
      <c r="J364" s="1129"/>
      <c r="K364" s="313">
        <f t="shared" si="68"/>
        <v>1</v>
      </c>
      <c r="L364" s="1129"/>
      <c r="M364" s="313">
        <f t="shared" si="69"/>
        <v>1</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0.02</v>
      </c>
      <c r="H365" s="1129"/>
      <c r="I365" s="313">
        <f t="shared" si="67"/>
        <v>1</v>
      </c>
      <c r="J365" s="1129"/>
      <c r="K365" s="313">
        <f t="shared" si="68"/>
        <v>1</v>
      </c>
      <c r="L365" s="1129"/>
      <c r="M365" s="313">
        <f t="shared" si="69"/>
        <v>1</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0.02</v>
      </c>
      <c r="H366" s="1129"/>
      <c r="I366" s="313">
        <f t="shared" si="67"/>
        <v>1</v>
      </c>
      <c r="J366" s="1129"/>
      <c r="K366" s="313">
        <f t="shared" si="68"/>
        <v>1</v>
      </c>
      <c r="L366" s="1129"/>
      <c r="M366" s="313">
        <f t="shared" si="69"/>
        <v>1</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0.02</v>
      </c>
      <c r="H367" s="1129"/>
      <c r="I367" s="313">
        <f t="shared" si="67"/>
        <v>1</v>
      </c>
      <c r="J367" s="1129"/>
      <c r="K367" s="313">
        <f t="shared" si="68"/>
        <v>1</v>
      </c>
      <c r="L367" s="1129"/>
      <c r="M367" s="313">
        <f t="shared" si="69"/>
        <v>1</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0.02</v>
      </c>
      <c r="H368" s="1129"/>
      <c r="I368" s="313">
        <f t="shared" si="67"/>
        <v>1</v>
      </c>
      <c r="J368" s="1129"/>
      <c r="K368" s="313">
        <f t="shared" si="68"/>
        <v>1</v>
      </c>
      <c r="L368" s="1129"/>
      <c r="M368" s="313">
        <f t="shared" si="69"/>
        <v>1</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0.02</v>
      </c>
      <c r="H369" s="1129"/>
      <c r="I369" s="313">
        <f t="shared" si="67"/>
        <v>1</v>
      </c>
      <c r="J369" s="1129"/>
      <c r="K369" s="313">
        <f t="shared" si="68"/>
        <v>1</v>
      </c>
      <c r="L369" s="1129"/>
      <c r="M369" s="313">
        <f t="shared" si="69"/>
        <v>1</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0.02</v>
      </c>
      <c r="H370" s="1129"/>
      <c r="I370" s="313">
        <f t="shared" si="67"/>
        <v>1</v>
      </c>
      <c r="J370" s="1129"/>
      <c r="K370" s="313">
        <f t="shared" si="68"/>
        <v>1</v>
      </c>
      <c r="L370" s="1129"/>
      <c r="M370" s="313">
        <f t="shared" si="69"/>
        <v>1</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0.02</v>
      </c>
      <c r="H371" s="1129"/>
      <c r="I371" s="313">
        <f t="shared" si="67"/>
        <v>1</v>
      </c>
      <c r="J371" s="1129"/>
      <c r="K371" s="313">
        <f t="shared" si="68"/>
        <v>1</v>
      </c>
      <c r="L371" s="1129"/>
      <c r="M371" s="313">
        <f t="shared" si="69"/>
        <v>1</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0.02</v>
      </c>
      <c r="H372" s="1129"/>
      <c r="I372" s="313">
        <f t="shared" si="67"/>
        <v>1</v>
      </c>
      <c r="J372" s="1129"/>
      <c r="K372" s="313">
        <f t="shared" si="68"/>
        <v>1</v>
      </c>
      <c r="L372" s="1129"/>
      <c r="M372" s="313">
        <f t="shared" si="69"/>
        <v>1</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0.02</v>
      </c>
      <c r="H373" s="1129"/>
      <c r="I373" s="313">
        <f t="shared" si="67"/>
        <v>1</v>
      </c>
      <c r="J373" s="1129"/>
      <c r="K373" s="313">
        <f t="shared" si="68"/>
        <v>1</v>
      </c>
      <c r="L373" s="1129"/>
      <c r="M373" s="313">
        <f t="shared" si="69"/>
        <v>1</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0.02</v>
      </c>
      <c r="H374" s="1129"/>
      <c r="I374" s="313">
        <f t="shared" si="67"/>
        <v>1</v>
      </c>
      <c r="J374" s="1129"/>
      <c r="K374" s="313">
        <f t="shared" si="68"/>
        <v>1</v>
      </c>
      <c r="L374" s="1129"/>
      <c r="M374" s="313">
        <f t="shared" si="69"/>
        <v>1</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0.02</v>
      </c>
      <c r="H375" s="1129"/>
      <c r="I375" s="313">
        <f t="shared" si="67"/>
        <v>1</v>
      </c>
      <c r="J375" s="1129"/>
      <c r="K375" s="313">
        <f t="shared" si="68"/>
        <v>1</v>
      </c>
      <c r="L375" s="1129"/>
      <c r="M375" s="313">
        <f t="shared" si="69"/>
        <v>1</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0.02</v>
      </c>
      <c r="H376" s="1129"/>
      <c r="I376" s="313">
        <f t="shared" si="67"/>
        <v>1</v>
      </c>
      <c r="J376" s="1129"/>
      <c r="K376" s="313">
        <f t="shared" si="68"/>
        <v>1</v>
      </c>
      <c r="L376" s="1129"/>
      <c r="M376" s="313">
        <f t="shared" si="69"/>
        <v>1</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0.02</v>
      </c>
      <c r="H377" s="1129"/>
      <c r="I377" s="313">
        <f t="shared" si="67"/>
        <v>1</v>
      </c>
      <c r="J377" s="1129"/>
      <c r="K377" s="313">
        <f t="shared" si="68"/>
        <v>1</v>
      </c>
      <c r="L377" s="1129"/>
      <c r="M377" s="313">
        <f t="shared" si="69"/>
        <v>1</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0.02</v>
      </c>
      <c r="H378" s="1129"/>
      <c r="I378" s="313">
        <f t="shared" si="67"/>
        <v>1</v>
      </c>
      <c r="J378" s="1129"/>
      <c r="K378" s="313">
        <f t="shared" si="68"/>
        <v>1</v>
      </c>
      <c r="L378" s="1129"/>
      <c r="M378" s="313">
        <f t="shared" si="69"/>
        <v>1</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0.02</v>
      </c>
      <c r="H379" s="1129"/>
      <c r="I379" s="313">
        <f t="shared" si="67"/>
        <v>1</v>
      </c>
      <c r="J379" s="1129"/>
      <c r="K379" s="313">
        <f t="shared" si="68"/>
        <v>1</v>
      </c>
      <c r="L379" s="1129"/>
      <c r="M379" s="313">
        <f t="shared" si="69"/>
        <v>1</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0.02</v>
      </c>
      <c r="H380" s="1129"/>
      <c r="I380" s="313">
        <f t="shared" si="67"/>
        <v>1</v>
      </c>
      <c r="J380" s="1129"/>
      <c r="K380" s="313">
        <f t="shared" si="68"/>
        <v>1</v>
      </c>
      <c r="L380" s="1129"/>
      <c r="M380" s="313">
        <f t="shared" si="69"/>
        <v>1</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0.02</v>
      </c>
      <c r="H381" s="1129"/>
      <c r="I381" s="313">
        <f t="shared" si="67"/>
        <v>1</v>
      </c>
      <c r="J381" s="1129"/>
      <c r="K381" s="313">
        <f t="shared" si="68"/>
        <v>1</v>
      </c>
      <c r="L381" s="1129"/>
      <c r="M381" s="313">
        <f t="shared" si="69"/>
        <v>1</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0.02</v>
      </c>
      <c r="H382" s="1129"/>
      <c r="I382" s="313">
        <f t="shared" si="67"/>
        <v>1</v>
      </c>
      <c r="J382" s="1129"/>
      <c r="K382" s="313">
        <f t="shared" si="68"/>
        <v>1</v>
      </c>
      <c r="L382" s="1129"/>
      <c r="M382" s="313">
        <f t="shared" si="69"/>
        <v>1</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0.02</v>
      </c>
      <c r="H383" s="1129"/>
      <c r="I383" s="313">
        <f t="shared" si="67"/>
        <v>1</v>
      </c>
      <c r="J383" s="1129"/>
      <c r="K383" s="313">
        <f t="shared" si="68"/>
        <v>1</v>
      </c>
      <c r="L383" s="1129"/>
      <c r="M383" s="313">
        <f t="shared" si="69"/>
        <v>1</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0.02</v>
      </c>
      <c r="H384" s="1129"/>
      <c r="I384" s="313">
        <f t="shared" si="67"/>
        <v>1</v>
      </c>
      <c r="J384" s="1129"/>
      <c r="K384" s="313">
        <f t="shared" si="68"/>
        <v>1</v>
      </c>
      <c r="L384" s="1129"/>
      <c r="M384" s="313">
        <f t="shared" si="69"/>
        <v>1</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0.02</v>
      </c>
      <c r="H385" s="1129"/>
      <c r="I385" s="313">
        <f t="shared" si="67"/>
        <v>1</v>
      </c>
      <c r="J385" s="1129"/>
      <c r="K385" s="313">
        <f t="shared" si="68"/>
        <v>1</v>
      </c>
      <c r="L385" s="1129"/>
      <c r="M385" s="313">
        <f t="shared" si="69"/>
        <v>1</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0.02</v>
      </c>
      <c r="H386" s="1129"/>
      <c r="I386" s="313">
        <f t="shared" si="67"/>
        <v>1</v>
      </c>
      <c r="J386" s="1129"/>
      <c r="K386" s="313">
        <f t="shared" si="68"/>
        <v>1</v>
      </c>
      <c r="L386" s="1129"/>
      <c r="M386" s="313">
        <f t="shared" si="69"/>
        <v>1</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0.02</v>
      </c>
      <c r="H387" s="1129"/>
      <c r="I387" s="313">
        <f t="shared" si="67"/>
        <v>1</v>
      </c>
      <c r="J387" s="1129"/>
      <c r="K387" s="313">
        <f t="shared" si="68"/>
        <v>1</v>
      </c>
      <c r="L387" s="1129"/>
      <c r="M387" s="313">
        <f t="shared" si="69"/>
        <v>1</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0.02</v>
      </c>
      <c r="H388" s="1129"/>
      <c r="I388" s="313">
        <f t="shared" si="67"/>
        <v>1</v>
      </c>
      <c r="J388" s="1129"/>
      <c r="K388" s="313">
        <f t="shared" si="68"/>
        <v>1</v>
      </c>
      <c r="L388" s="1129"/>
      <c r="M388" s="313">
        <f t="shared" si="69"/>
        <v>1</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0.02</v>
      </c>
      <c r="H389" s="1129"/>
      <c r="I389" s="313">
        <f t="shared" si="67"/>
        <v>1</v>
      </c>
      <c r="J389" s="1129"/>
      <c r="K389" s="313">
        <f t="shared" si="68"/>
        <v>1</v>
      </c>
      <c r="L389" s="1129"/>
      <c r="M389" s="313">
        <f t="shared" si="69"/>
        <v>1</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0.02</v>
      </c>
      <c r="H390" s="1129"/>
      <c r="I390" s="313">
        <f t="shared" si="67"/>
        <v>1</v>
      </c>
      <c r="J390" s="1129"/>
      <c r="K390" s="313">
        <f t="shared" si="68"/>
        <v>1</v>
      </c>
      <c r="L390" s="1129"/>
      <c r="M390" s="313">
        <f t="shared" si="69"/>
        <v>1</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0.02</v>
      </c>
      <c r="H391" s="1129"/>
      <c r="I391" s="313">
        <f t="shared" si="67"/>
        <v>1</v>
      </c>
      <c r="J391" s="1129"/>
      <c r="K391" s="313">
        <f t="shared" si="68"/>
        <v>1</v>
      </c>
      <c r="L391" s="1129"/>
      <c r="M391" s="313">
        <f t="shared" si="69"/>
        <v>1</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0.02</v>
      </c>
      <c r="H392" s="1129"/>
      <c r="I392" s="313">
        <f t="shared" si="67"/>
        <v>1</v>
      </c>
      <c r="J392" s="1129"/>
      <c r="K392" s="313">
        <f t="shared" si="68"/>
        <v>1</v>
      </c>
      <c r="L392" s="1129"/>
      <c r="M392" s="313">
        <f t="shared" si="69"/>
        <v>1</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0.02</v>
      </c>
      <c r="H393" s="1129"/>
      <c r="I393" s="313">
        <f t="shared" si="67"/>
        <v>1</v>
      </c>
      <c r="J393" s="1129"/>
      <c r="K393" s="313">
        <f t="shared" si="68"/>
        <v>1</v>
      </c>
      <c r="L393" s="1129"/>
      <c r="M393" s="313">
        <f t="shared" si="69"/>
        <v>1</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0.02</v>
      </c>
      <c r="H394" s="1129"/>
      <c r="I394" s="313">
        <f t="shared" si="67"/>
        <v>1</v>
      </c>
      <c r="J394" s="1129"/>
      <c r="K394" s="313">
        <f t="shared" si="68"/>
        <v>1</v>
      </c>
      <c r="L394" s="1129"/>
      <c r="M394" s="313">
        <f t="shared" si="69"/>
        <v>1</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0.02</v>
      </c>
      <c r="H395" s="1129"/>
      <c r="I395" s="313">
        <f t="shared" si="67"/>
        <v>1</v>
      </c>
      <c r="J395" s="1129"/>
      <c r="K395" s="313">
        <f t="shared" si="68"/>
        <v>1</v>
      </c>
      <c r="L395" s="1129"/>
      <c r="M395" s="313">
        <f t="shared" si="69"/>
        <v>1</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0.02</v>
      </c>
      <c r="H396" s="1129"/>
      <c r="I396" s="313">
        <f t="shared" si="67"/>
        <v>1</v>
      </c>
      <c r="J396" s="1129"/>
      <c r="K396" s="313">
        <f t="shared" si="68"/>
        <v>1</v>
      </c>
      <c r="L396" s="1129"/>
      <c r="M396" s="313">
        <f t="shared" si="69"/>
        <v>1</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0.02</v>
      </c>
      <c r="H397" s="1129"/>
      <c r="I397" s="313">
        <f t="shared" si="67"/>
        <v>1</v>
      </c>
      <c r="J397" s="1129"/>
      <c r="K397" s="313">
        <f t="shared" si="68"/>
        <v>1</v>
      </c>
      <c r="L397" s="1129"/>
      <c r="M397" s="313">
        <f t="shared" si="69"/>
        <v>1</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0.02</v>
      </c>
      <c r="H398" s="1129"/>
      <c r="I398" s="313">
        <f t="shared" si="67"/>
        <v>1</v>
      </c>
      <c r="J398" s="1129"/>
      <c r="K398" s="313">
        <f t="shared" si="68"/>
        <v>1</v>
      </c>
      <c r="L398" s="1129"/>
      <c r="M398" s="313">
        <f t="shared" si="69"/>
        <v>1</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0.02</v>
      </c>
      <c r="H399" s="1129"/>
      <c r="I399" s="313">
        <f t="shared" si="67"/>
        <v>1</v>
      </c>
      <c r="J399" s="1129"/>
      <c r="K399" s="313">
        <f t="shared" si="68"/>
        <v>1</v>
      </c>
      <c r="L399" s="1129"/>
      <c r="M399" s="313">
        <f t="shared" si="69"/>
        <v>1</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0.02</v>
      </c>
      <c r="H400" s="1129"/>
      <c r="I400" s="313">
        <f t="shared" si="67"/>
        <v>1</v>
      </c>
      <c r="J400" s="1129"/>
      <c r="K400" s="313">
        <f t="shared" si="68"/>
        <v>1</v>
      </c>
      <c r="L400" s="1129"/>
      <c r="M400" s="313">
        <f t="shared" si="69"/>
        <v>1</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0.02</v>
      </c>
      <c r="H401" s="1129"/>
      <c r="I401" s="313">
        <f t="shared" si="67"/>
        <v>1</v>
      </c>
      <c r="J401" s="1129"/>
      <c r="K401" s="313">
        <f t="shared" si="68"/>
        <v>1</v>
      </c>
      <c r="L401" s="1129"/>
      <c r="M401" s="313">
        <f t="shared" si="69"/>
        <v>1</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0.02</v>
      </c>
      <c r="H402" s="1129"/>
      <c r="I402" s="313">
        <f t="shared" si="67"/>
        <v>1</v>
      </c>
      <c r="J402" s="1129"/>
      <c r="K402" s="313">
        <f t="shared" si="68"/>
        <v>1</v>
      </c>
      <c r="L402" s="1129"/>
      <c r="M402" s="313">
        <f t="shared" si="69"/>
        <v>1</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0.02</v>
      </c>
      <c r="H403" s="1129"/>
      <c r="I403" s="313">
        <f t="shared" si="67"/>
        <v>1</v>
      </c>
      <c r="J403" s="1129"/>
      <c r="K403" s="313">
        <f t="shared" si="68"/>
        <v>1</v>
      </c>
      <c r="L403" s="1129"/>
      <c r="M403" s="313">
        <f t="shared" si="69"/>
        <v>1</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0.02</v>
      </c>
      <c r="H404" s="1129"/>
      <c r="I404" s="313">
        <f t="shared" si="67"/>
        <v>1</v>
      </c>
      <c r="J404" s="1129"/>
      <c r="K404" s="313">
        <f t="shared" si="68"/>
        <v>1</v>
      </c>
      <c r="L404" s="1129"/>
      <c r="M404" s="313">
        <f t="shared" si="69"/>
        <v>1</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0.02</v>
      </c>
      <c r="H405" s="1129"/>
      <c r="I405" s="313">
        <f t="shared" si="67"/>
        <v>1</v>
      </c>
      <c r="J405" s="1129"/>
      <c r="K405" s="313">
        <f t="shared" si="68"/>
        <v>1</v>
      </c>
      <c r="L405" s="1129"/>
      <c r="M405" s="313">
        <f t="shared" si="69"/>
        <v>1</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0.02</v>
      </c>
      <c r="H406" s="1129"/>
      <c r="I406" s="313">
        <f t="shared" si="67"/>
        <v>1</v>
      </c>
      <c r="J406" s="1129"/>
      <c r="K406" s="313">
        <f t="shared" si="68"/>
        <v>1</v>
      </c>
      <c r="L406" s="1129"/>
      <c r="M406" s="313">
        <f t="shared" si="69"/>
        <v>1</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0.02</v>
      </c>
      <c r="H407" s="1129"/>
      <c r="I407" s="313">
        <f t="shared" si="67"/>
        <v>1</v>
      </c>
      <c r="J407" s="1129"/>
      <c r="K407" s="313">
        <f t="shared" si="68"/>
        <v>1</v>
      </c>
      <c r="L407" s="1129"/>
      <c r="M407" s="313">
        <f t="shared" si="69"/>
        <v>1</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0.02</v>
      </c>
      <c r="H408" s="1129"/>
      <c r="I408" s="313">
        <f t="shared" si="67"/>
        <v>1</v>
      </c>
      <c r="J408" s="1129"/>
      <c r="K408" s="313">
        <f t="shared" si="68"/>
        <v>1</v>
      </c>
      <c r="L408" s="1129"/>
      <c r="M408" s="313">
        <f t="shared" si="69"/>
        <v>1</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0.02</v>
      </c>
      <c r="H409" s="1129"/>
      <c r="I409" s="313">
        <f t="shared" si="67"/>
        <v>1</v>
      </c>
      <c r="J409" s="1129"/>
      <c r="K409" s="313">
        <f t="shared" si="68"/>
        <v>1</v>
      </c>
      <c r="L409" s="1129"/>
      <c r="M409" s="313">
        <f t="shared" si="69"/>
        <v>1</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0.02</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0.02</v>
      </c>
      <c r="H411" s="1129"/>
      <c r="I411" s="313">
        <f t="shared" si="77"/>
        <v>1</v>
      </c>
      <c r="J411" s="1129"/>
      <c r="K411" s="313">
        <f t="shared" si="78"/>
        <v>1</v>
      </c>
      <c r="L411" s="1129"/>
      <c r="M411" s="313">
        <f t="shared" si="79"/>
        <v>1</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0.02</v>
      </c>
      <c r="H412" s="1129"/>
      <c r="I412" s="313">
        <f t="shared" si="77"/>
        <v>1</v>
      </c>
      <c r="J412" s="1129"/>
      <c r="K412" s="313">
        <f t="shared" si="78"/>
        <v>1</v>
      </c>
      <c r="L412" s="1129"/>
      <c r="M412" s="313">
        <f t="shared" si="79"/>
        <v>1</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0.02</v>
      </c>
      <c r="H413" s="1129"/>
      <c r="I413" s="313">
        <f t="shared" si="77"/>
        <v>1</v>
      </c>
      <c r="J413" s="1129"/>
      <c r="K413" s="313">
        <f t="shared" si="78"/>
        <v>1</v>
      </c>
      <c r="L413" s="1129"/>
      <c r="M413" s="313">
        <f t="shared" si="79"/>
        <v>1</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0.02</v>
      </c>
      <c r="H414" s="1129"/>
      <c r="I414" s="313">
        <f t="shared" si="77"/>
        <v>1</v>
      </c>
      <c r="J414" s="1129"/>
      <c r="K414" s="313">
        <f t="shared" si="78"/>
        <v>1</v>
      </c>
      <c r="L414" s="1129"/>
      <c r="M414" s="313">
        <f t="shared" si="79"/>
        <v>1</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0.02</v>
      </c>
      <c r="H415" s="1129"/>
      <c r="I415" s="313">
        <f t="shared" si="77"/>
        <v>1</v>
      </c>
      <c r="J415" s="1129"/>
      <c r="K415" s="313">
        <f t="shared" si="78"/>
        <v>1</v>
      </c>
      <c r="L415" s="1129"/>
      <c r="M415" s="313">
        <f t="shared" si="79"/>
        <v>1</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0.02</v>
      </c>
      <c r="H416" s="1129"/>
      <c r="I416" s="313">
        <f t="shared" si="77"/>
        <v>1</v>
      </c>
      <c r="J416" s="1129"/>
      <c r="K416" s="313">
        <f t="shared" si="78"/>
        <v>1</v>
      </c>
      <c r="L416" s="1129"/>
      <c r="M416" s="313">
        <f t="shared" si="79"/>
        <v>1</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0.02</v>
      </c>
      <c r="H417" s="1129"/>
      <c r="I417" s="313">
        <f t="shared" si="77"/>
        <v>1</v>
      </c>
      <c r="J417" s="1129"/>
      <c r="K417" s="313">
        <f t="shared" si="78"/>
        <v>1</v>
      </c>
      <c r="L417" s="1129"/>
      <c r="M417" s="313">
        <f t="shared" si="79"/>
        <v>1</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0.02</v>
      </c>
      <c r="H418" s="1129"/>
      <c r="I418" s="313">
        <f t="shared" si="77"/>
        <v>1</v>
      </c>
      <c r="J418" s="1129"/>
      <c r="K418" s="313">
        <f t="shared" si="78"/>
        <v>1</v>
      </c>
      <c r="L418" s="1129"/>
      <c r="M418" s="313">
        <f t="shared" si="79"/>
        <v>1</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0.02</v>
      </c>
      <c r="H419" s="1129"/>
      <c r="I419" s="313">
        <f t="shared" si="77"/>
        <v>1</v>
      </c>
      <c r="J419" s="1129"/>
      <c r="K419" s="313">
        <f t="shared" si="78"/>
        <v>1</v>
      </c>
      <c r="L419" s="1129"/>
      <c r="M419" s="313">
        <f t="shared" si="79"/>
        <v>1</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0.02</v>
      </c>
      <c r="H420" s="1129"/>
      <c r="I420" s="313">
        <f t="shared" si="77"/>
        <v>1</v>
      </c>
      <c r="J420" s="1129"/>
      <c r="K420" s="313">
        <f t="shared" si="78"/>
        <v>1</v>
      </c>
      <c r="L420" s="1129"/>
      <c r="M420" s="313">
        <f t="shared" si="79"/>
        <v>1</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0.02</v>
      </c>
      <c r="H421" s="1129"/>
      <c r="I421" s="313">
        <f t="shared" si="77"/>
        <v>1</v>
      </c>
      <c r="J421" s="1129"/>
      <c r="K421" s="313">
        <f t="shared" si="78"/>
        <v>1</v>
      </c>
      <c r="L421" s="1129"/>
      <c r="M421" s="313">
        <f t="shared" si="79"/>
        <v>1</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0.02</v>
      </c>
      <c r="H422" s="1129"/>
      <c r="I422" s="313">
        <f t="shared" si="77"/>
        <v>1</v>
      </c>
      <c r="J422" s="1129"/>
      <c r="K422" s="313">
        <f t="shared" si="78"/>
        <v>1</v>
      </c>
      <c r="L422" s="1129"/>
      <c r="M422" s="313">
        <f t="shared" si="79"/>
        <v>1</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0.02</v>
      </c>
      <c r="H423" s="1129"/>
      <c r="I423" s="313">
        <f t="shared" si="77"/>
        <v>1</v>
      </c>
      <c r="J423" s="1129"/>
      <c r="K423" s="313">
        <f t="shared" si="78"/>
        <v>1</v>
      </c>
      <c r="L423" s="1129"/>
      <c r="M423" s="313">
        <f t="shared" si="79"/>
        <v>1</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0.02</v>
      </c>
      <c r="H424" s="1129"/>
      <c r="I424" s="313">
        <f t="shared" si="77"/>
        <v>1</v>
      </c>
      <c r="J424" s="1129"/>
      <c r="K424" s="313">
        <f t="shared" si="78"/>
        <v>1</v>
      </c>
      <c r="L424" s="1129"/>
      <c r="M424" s="313">
        <f t="shared" si="79"/>
        <v>1</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0.02</v>
      </c>
      <c r="H425" s="1129"/>
      <c r="I425" s="313">
        <f t="shared" si="77"/>
        <v>1</v>
      </c>
      <c r="J425" s="1129"/>
      <c r="K425" s="313">
        <f t="shared" si="78"/>
        <v>1</v>
      </c>
      <c r="L425" s="1129"/>
      <c r="M425" s="313">
        <f t="shared" si="79"/>
        <v>1</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0.02</v>
      </c>
      <c r="H426" s="1129"/>
      <c r="I426" s="313">
        <f t="shared" si="77"/>
        <v>1</v>
      </c>
      <c r="J426" s="1129"/>
      <c r="K426" s="313">
        <f t="shared" si="78"/>
        <v>1</v>
      </c>
      <c r="L426" s="1129"/>
      <c r="M426" s="313">
        <f t="shared" si="79"/>
        <v>1</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0.02</v>
      </c>
      <c r="H427" s="1129"/>
      <c r="I427" s="313">
        <f t="shared" si="77"/>
        <v>1</v>
      </c>
      <c r="J427" s="1129"/>
      <c r="K427" s="313">
        <f t="shared" si="78"/>
        <v>1</v>
      </c>
      <c r="L427" s="1129"/>
      <c r="M427" s="313">
        <f t="shared" si="79"/>
        <v>1</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0.02</v>
      </c>
      <c r="H428" s="1129"/>
      <c r="I428" s="313">
        <f t="shared" si="77"/>
        <v>1</v>
      </c>
      <c r="J428" s="1129"/>
      <c r="K428" s="313">
        <f t="shared" si="78"/>
        <v>1</v>
      </c>
      <c r="L428" s="1129"/>
      <c r="M428" s="313">
        <f t="shared" si="79"/>
        <v>1</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0.02</v>
      </c>
      <c r="H429" s="1129"/>
      <c r="I429" s="313">
        <f t="shared" si="77"/>
        <v>1</v>
      </c>
      <c r="J429" s="1129"/>
      <c r="K429" s="313">
        <f t="shared" si="78"/>
        <v>1</v>
      </c>
      <c r="L429" s="1129"/>
      <c r="M429" s="313">
        <f t="shared" si="79"/>
        <v>1</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0.02</v>
      </c>
      <c r="H430" s="1129"/>
      <c r="I430" s="313">
        <f t="shared" si="77"/>
        <v>1</v>
      </c>
      <c r="J430" s="1129"/>
      <c r="K430" s="313">
        <f t="shared" si="78"/>
        <v>1</v>
      </c>
      <c r="L430" s="1129"/>
      <c r="M430" s="313">
        <f t="shared" si="79"/>
        <v>1</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0.02</v>
      </c>
      <c r="H431" s="1129"/>
      <c r="I431" s="313">
        <f t="shared" si="77"/>
        <v>1</v>
      </c>
      <c r="J431" s="1129"/>
      <c r="K431" s="313">
        <f t="shared" si="78"/>
        <v>1</v>
      </c>
      <c r="L431" s="1129"/>
      <c r="M431" s="313">
        <f t="shared" si="79"/>
        <v>1</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0.02</v>
      </c>
      <c r="H432" s="1129"/>
      <c r="I432" s="313">
        <f t="shared" si="77"/>
        <v>1</v>
      </c>
      <c r="J432" s="1129"/>
      <c r="K432" s="313">
        <f t="shared" si="78"/>
        <v>1</v>
      </c>
      <c r="L432" s="1129"/>
      <c r="M432" s="313">
        <f t="shared" si="79"/>
        <v>1</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0.02</v>
      </c>
      <c r="H433" s="1129"/>
      <c r="I433" s="313">
        <f t="shared" si="77"/>
        <v>1</v>
      </c>
      <c r="J433" s="1129"/>
      <c r="K433" s="313">
        <f t="shared" si="78"/>
        <v>1</v>
      </c>
      <c r="L433" s="1129"/>
      <c r="M433" s="313">
        <f t="shared" si="79"/>
        <v>1</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0.02</v>
      </c>
      <c r="H434" s="1129"/>
      <c r="I434" s="313">
        <f t="shared" si="77"/>
        <v>1</v>
      </c>
      <c r="J434" s="1129"/>
      <c r="K434" s="313">
        <f t="shared" si="78"/>
        <v>1</v>
      </c>
      <c r="L434" s="1129"/>
      <c r="M434" s="313">
        <f t="shared" si="79"/>
        <v>1</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0.02</v>
      </c>
      <c r="H435" s="1129"/>
      <c r="I435" s="313">
        <f t="shared" si="77"/>
        <v>1</v>
      </c>
      <c r="J435" s="1129"/>
      <c r="K435" s="313">
        <f t="shared" si="78"/>
        <v>1</v>
      </c>
      <c r="L435" s="1129"/>
      <c r="M435" s="313">
        <f t="shared" si="79"/>
        <v>1</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0.02</v>
      </c>
      <c r="H436" s="1129"/>
      <c r="I436" s="313">
        <f t="shared" si="77"/>
        <v>1</v>
      </c>
      <c r="J436" s="1129"/>
      <c r="K436" s="313">
        <f t="shared" si="78"/>
        <v>1</v>
      </c>
      <c r="L436" s="1129"/>
      <c r="M436" s="313">
        <f t="shared" si="79"/>
        <v>1</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0.02</v>
      </c>
      <c r="H437" s="1129"/>
      <c r="I437" s="313">
        <f t="shared" si="77"/>
        <v>1</v>
      </c>
      <c r="J437" s="1129"/>
      <c r="K437" s="313">
        <f t="shared" si="78"/>
        <v>1</v>
      </c>
      <c r="L437" s="1129"/>
      <c r="M437" s="313">
        <f t="shared" si="79"/>
        <v>1</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0.02</v>
      </c>
      <c r="H438" s="1129"/>
      <c r="I438" s="313">
        <f t="shared" si="77"/>
        <v>1</v>
      </c>
      <c r="J438" s="1129"/>
      <c r="K438" s="313">
        <f t="shared" si="78"/>
        <v>1</v>
      </c>
      <c r="L438" s="1129"/>
      <c r="M438" s="313">
        <f t="shared" si="79"/>
        <v>1</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0.02</v>
      </c>
      <c r="H439" s="1129"/>
      <c r="I439" s="313">
        <f t="shared" si="77"/>
        <v>1</v>
      </c>
      <c r="J439" s="1129"/>
      <c r="K439" s="313">
        <f t="shared" si="78"/>
        <v>1</v>
      </c>
      <c r="L439" s="1129"/>
      <c r="M439" s="313">
        <f t="shared" si="79"/>
        <v>1</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0.02</v>
      </c>
      <c r="H440" s="1129"/>
      <c r="I440" s="313">
        <f t="shared" si="77"/>
        <v>1</v>
      </c>
      <c r="J440" s="1129"/>
      <c r="K440" s="313">
        <f t="shared" si="78"/>
        <v>1</v>
      </c>
      <c r="L440" s="1129"/>
      <c r="M440" s="313">
        <f t="shared" si="79"/>
        <v>1</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0.02</v>
      </c>
      <c r="H441" s="1129"/>
      <c r="I441" s="313">
        <f t="shared" si="77"/>
        <v>1</v>
      </c>
      <c r="J441" s="1129"/>
      <c r="K441" s="313">
        <f t="shared" si="78"/>
        <v>1</v>
      </c>
      <c r="L441" s="1129"/>
      <c r="M441" s="313">
        <f t="shared" si="79"/>
        <v>1</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0.02</v>
      </c>
      <c r="H442" s="1129"/>
      <c r="I442" s="313">
        <f t="shared" si="77"/>
        <v>1</v>
      </c>
      <c r="J442" s="1129"/>
      <c r="K442" s="313">
        <f t="shared" si="78"/>
        <v>1</v>
      </c>
      <c r="L442" s="1129"/>
      <c r="M442" s="313">
        <f t="shared" si="79"/>
        <v>1</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0.02</v>
      </c>
      <c r="H443" s="1129"/>
      <c r="I443" s="313">
        <f t="shared" si="77"/>
        <v>1</v>
      </c>
      <c r="J443" s="1129"/>
      <c r="K443" s="313">
        <f t="shared" si="78"/>
        <v>1</v>
      </c>
      <c r="L443" s="1129"/>
      <c r="M443" s="313">
        <f t="shared" si="79"/>
        <v>1</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0.02</v>
      </c>
      <c r="H444" s="1129"/>
      <c r="I444" s="313">
        <f t="shared" si="77"/>
        <v>1</v>
      </c>
      <c r="J444" s="1129"/>
      <c r="K444" s="313">
        <f t="shared" si="78"/>
        <v>1</v>
      </c>
      <c r="L444" s="1129"/>
      <c r="M444" s="313">
        <f t="shared" si="79"/>
        <v>1</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0.02</v>
      </c>
      <c r="H445" s="1129"/>
      <c r="I445" s="313">
        <f t="shared" si="77"/>
        <v>1</v>
      </c>
      <c r="J445" s="1129"/>
      <c r="K445" s="313">
        <f t="shared" si="78"/>
        <v>1</v>
      </c>
      <c r="L445" s="1129"/>
      <c r="M445" s="313">
        <f t="shared" si="79"/>
        <v>1</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0.02</v>
      </c>
      <c r="H446" s="1129"/>
      <c r="I446" s="313">
        <f t="shared" si="77"/>
        <v>1</v>
      </c>
      <c r="J446" s="1129"/>
      <c r="K446" s="313">
        <f t="shared" si="78"/>
        <v>1</v>
      </c>
      <c r="L446" s="1129"/>
      <c r="M446" s="313">
        <f t="shared" si="79"/>
        <v>1</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0.02</v>
      </c>
      <c r="H447" s="1129"/>
      <c r="I447" s="313">
        <f t="shared" si="77"/>
        <v>1</v>
      </c>
      <c r="J447" s="1129"/>
      <c r="K447" s="313">
        <f t="shared" si="78"/>
        <v>1</v>
      </c>
      <c r="L447" s="1129"/>
      <c r="M447" s="313">
        <f t="shared" si="79"/>
        <v>1</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0.02</v>
      </c>
      <c r="H448" s="1129"/>
      <c r="I448" s="313">
        <f t="shared" si="77"/>
        <v>1</v>
      </c>
      <c r="J448" s="1129"/>
      <c r="K448" s="313">
        <f t="shared" si="78"/>
        <v>1</v>
      </c>
      <c r="L448" s="1129"/>
      <c r="M448" s="313">
        <f t="shared" si="79"/>
        <v>1</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0.02</v>
      </c>
      <c r="H449" s="1129"/>
      <c r="I449" s="313">
        <f t="shared" si="77"/>
        <v>1</v>
      </c>
      <c r="J449" s="1129"/>
      <c r="K449" s="313">
        <f t="shared" si="78"/>
        <v>1</v>
      </c>
      <c r="L449" s="1129"/>
      <c r="M449" s="313">
        <f t="shared" si="79"/>
        <v>1</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0.02</v>
      </c>
      <c r="H450" s="1129"/>
      <c r="I450" s="313">
        <f t="shared" si="77"/>
        <v>1</v>
      </c>
      <c r="J450" s="1129"/>
      <c r="K450" s="313">
        <f t="shared" si="78"/>
        <v>1</v>
      </c>
      <c r="L450" s="1129"/>
      <c r="M450" s="313">
        <f t="shared" si="79"/>
        <v>1</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0.02</v>
      </c>
      <c r="H451" s="1129"/>
      <c r="I451" s="313">
        <f t="shared" si="77"/>
        <v>1</v>
      </c>
      <c r="J451" s="1129"/>
      <c r="K451" s="313">
        <f t="shared" si="78"/>
        <v>1</v>
      </c>
      <c r="L451" s="1129"/>
      <c r="M451" s="313">
        <f t="shared" si="79"/>
        <v>1</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0.02</v>
      </c>
      <c r="H452" s="1129"/>
      <c r="I452" s="313">
        <f t="shared" si="77"/>
        <v>1</v>
      </c>
      <c r="J452" s="1129"/>
      <c r="K452" s="313">
        <f t="shared" si="78"/>
        <v>1</v>
      </c>
      <c r="L452" s="1129"/>
      <c r="M452" s="313">
        <f t="shared" si="79"/>
        <v>1</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0.02</v>
      </c>
      <c r="H453" s="1129"/>
      <c r="I453" s="313">
        <f t="shared" si="77"/>
        <v>1</v>
      </c>
      <c r="J453" s="1129"/>
      <c r="K453" s="313">
        <f t="shared" si="78"/>
        <v>1</v>
      </c>
      <c r="L453" s="1129"/>
      <c r="M453" s="313">
        <f t="shared" si="79"/>
        <v>1</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0.02</v>
      </c>
      <c r="H454" s="1129"/>
      <c r="I454" s="313">
        <f t="shared" si="77"/>
        <v>1</v>
      </c>
      <c r="J454" s="1129"/>
      <c r="K454" s="313">
        <f t="shared" si="78"/>
        <v>1</v>
      </c>
      <c r="L454" s="1129"/>
      <c r="M454" s="313">
        <f t="shared" si="79"/>
        <v>1</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0.02</v>
      </c>
      <c r="H455" s="1129"/>
      <c r="I455" s="313">
        <f t="shared" si="77"/>
        <v>1</v>
      </c>
      <c r="J455" s="1129"/>
      <c r="K455" s="313">
        <f t="shared" si="78"/>
        <v>1</v>
      </c>
      <c r="L455" s="1129"/>
      <c r="M455" s="313">
        <f t="shared" si="79"/>
        <v>1</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0.02</v>
      </c>
      <c r="H456" s="1129"/>
      <c r="I456" s="313">
        <f t="shared" si="77"/>
        <v>1</v>
      </c>
      <c r="J456" s="1129"/>
      <c r="K456" s="313">
        <f t="shared" si="78"/>
        <v>1</v>
      </c>
      <c r="L456" s="1129"/>
      <c r="M456" s="313">
        <f t="shared" si="79"/>
        <v>1</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0.02</v>
      </c>
      <c r="H457" s="1129"/>
      <c r="I457" s="313">
        <f t="shared" si="77"/>
        <v>1</v>
      </c>
      <c r="J457" s="1129"/>
      <c r="K457" s="313">
        <f t="shared" si="78"/>
        <v>1</v>
      </c>
      <c r="L457" s="1129"/>
      <c r="M457" s="313">
        <f t="shared" si="79"/>
        <v>1</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0.02</v>
      </c>
      <c r="H458" s="1129"/>
      <c r="I458" s="313">
        <f t="shared" si="77"/>
        <v>1</v>
      </c>
      <c r="J458" s="1129"/>
      <c r="K458" s="313">
        <f t="shared" si="78"/>
        <v>1</v>
      </c>
      <c r="L458" s="1129"/>
      <c r="M458" s="313">
        <f t="shared" si="79"/>
        <v>1</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0.02</v>
      </c>
      <c r="H459" s="1129"/>
      <c r="I459" s="313">
        <f t="shared" si="77"/>
        <v>1</v>
      </c>
      <c r="J459" s="1129"/>
      <c r="K459" s="313">
        <f t="shared" si="78"/>
        <v>1</v>
      </c>
      <c r="L459" s="1129"/>
      <c r="M459" s="313">
        <f t="shared" si="79"/>
        <v>1</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0.02</v>
      </c>
      <c r="H460" s="1129"/>
      <c r="I460" s="313">
        <f t="shared" si="77"/>
        <v>1</v>
      </c>
      <c r="J460" s="1129"/>
      <c r="K460" s="313">
        <f t="shared" si="78"/>
        <v>1</v>
      </c>
      <c r="L460" s="1129"/>
      <c r="M460" s="313">
        <f t="shared" si="79"/>
        <v>1</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0.02</v>
      </c>
      <c r="H461" s="1129"/>
      <c r="I461" s="313">
        <f t="shared" si="77"/>
        <v>1</v>
      </c>
      <c r="J461" s="1129"/>
      <c r="K461" s="313">
        <f t="shared" si="78"/>
        <v>1</v>
      </c>
      <c r="L461" s="1129"/>
      <c r="M461" s="313">
        <f t="shared" si="79"/>
        <v>1</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0.02</v>
      </c>
      <c r="H462" s="1129"/>
      <c r="I462" s="313">
        <f t="shared" si="77"/>
        <v>1</v>
      </c>
      <c r="J462" s="1129"/>
      <c r="K462" s="313">
        <f t="shared" si="78"/>
        <v>1</v>
      </c>
      <c r="L462" s="1129"/>
      <c r="M462" s="313">
        <f t="shared" si="79"/>
        <v>1</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0.02</v>
      </c>
      <c r="H463" s="1129"/>
      <c r="I463" s="313">
        <f t="shared" si="77"/>
        <v>1</v>
      </c>
      <c r="J463" s="1129"/>
      <c r="K463" s="313">
        <f t="shared" si="78"/>
        <v>1</v>
      </c>
      <c r="L463" s="1129"/>
      <c r="M463" s="313">
        <f t="shared" si="79"/>
        <v>1</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0.02</v>
      </c>
      <c r="H464" s="1129"/>
      <c r="I464" s="313">
        <f t="shared" si="77"/>
        <v>1</v>
      </c>
      <c r="J464" s="1129"/>
      <c r="K464" s="313">
        <f t="shared" si="78"/>
        <v>1</v>
      </c>
      <c r="L464" s="1129"/>
      <c r="M464" s="313">
        <f t="shared" si="79"/>
        <v>1</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0.02</v>
      </c>
      <c r="H465" s="1129"/>
      <c r="I465" s="313">
        <f t="shared" si="77"/>
        <v>1</v>
      </c>
      <c r="J465" s="1129"/>
      <c r="K465" s="313">
        <f t="shared" si="78"/>
        <v>1</v>
      </c>
      <c r="L465" s="1129"/>
      <c r="M465" s="313">
        <f t="shared" si="79"/>
        <v>1</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0.02</v>
      </c>
      <c r="H466" s="1129"/>
      <c r="I466" s="313">
        <f t="shared" si="77"/>
        <v>1</v>
      </c>
      <c r="J466" s="1129"/>
      <c r="K466" s="313">
        <f t="shared" si="78"/>
        <v>1</v>
      </c>
      <c r="L466" s="1129"/>
      <c r="M466" s="313">
        <f t="shared" si="79"/>
        <v>1</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0.02</v>
      </c>
      <c r="H467" s="1129"/>
      <c r="I467" s="313">
        <f t="shared" si="77"/>
        <v>1</v>
      </c>
      <c r="J467" s="1129"/>
      <c r="K467" s="313">
        <f t="shared" si="78"/>
        <v>1</v>
      </c>
      <c r="L467" s="1129"/>
      <c r="M467" s="313">
        <f t="shared" si="79"/>
        <v>1</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0.02</v>
      </c>
      <c r="H468" s="1129"/>
      <c r="I468" s="313">
        <f t="shared" si="77"/>
        <v>1</v>
      </c>
      <c r="J468" s="1129"/>
      <c r="K468" s="313">
        <f t="shared" si="78"/>
        <v>1</v>
      </c>
      <c r="L468" s="1129"/>
      <c r="M468" s="313">
        <f t="shared" si="79"/>
        <v>1</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0.02</v>
      </c>
      <c r="H469" s="1129"/>
      <c r="I469" s="313">
        <f t="shared" si="77"/>
        <v>1</v>
      </c>
      <c r="J469" s="1129"/>
      <c r="K469" s="313">
        <f t="shared" si="78"/>
        <v>1</v>
      </c>
      <c r="L469" s="1129"/>
      <c r="M469" s="313">
        <f t="shared" si="79"/>
        <v>1</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0.02</v>
      </c>
      <c r="H470" s="1129"/>
      <c r="I470" s="313">
        <f t="shared" si="77"/>
        <v>1</v>
      </c>
      <c r="J470" s="1129"/>
      <c r="K470" s="313">
        <f t="shared" si="78"/>
        <v>1</v>
      </c>
      <c r="L470" s="1129"/>
      <c r="M470" s="313">
        <f t="shared" si="79"/>
        <v>1</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0.02</v>
      </c>
      <c r="H471" s="1129"/>
      <c r="I471" s="313">
        <f t="shared" si="77"/>
        <v>1</v>
      </c>
      <c r="J471" s="1129"/>
      <c r="K471" s="313">
        <f t="shared" si="78"/>
        <v>1</v>
      </c>
      <c r="L471" s="1129"/>
      <c r="M471" s="313">
        <f t="shared" si="79"/>
        <v>1</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0.02</v>
      </c>
      <c r="H472" s="1129"/>
      <c r="I472" s="313">
        <f t="shared" si="77"/>
        <v>1</v>
      </c>
      <c r="J472" s="1129"/>
      <c r="K472" s="313">
        <f t="shared" si="78"/>
        <v>1</v>
      </c>
      <c r="L472" s="1129"/>
      <c r="M472" s="313">
        <f t="shared" si="79"/>
        <v>1</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0.02</v>
      </c>
      <c r="H473" s="1129"/>
      <c r="I473" s="313">
        <f t="shared" si="77"/>
        <v>1</v>
      </c>
      <c r="J473" s="1129"/>
      <c r="K473" s="313">
        <f t="shared" si="78"/>
        <v>1</v>
      </c>
      <c r="L473" s="1129"/>
      <c r="M473" s="313">
        <f t="shared" si="79"/>
        <v>1</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0.02</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0.02</v>
      </c>
      <c r="H475" s="1129"/>
      <c r="I475" s="313">
        <f t="shared" si="88"/>
        <v>1</v>
      </c>
      <c r="J475" s="1129"/>
      <c r="K475" s="313">
        <f t="shared" si="89"/>
        <v>1</v>
      </c>
      <c r="L475" s="1129"/>
      <c r="M475" s="313">
        <f t="shared" si="90"/>
        <v>1</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0.02</v>
      </c>
      <c r="H476" s="1129"/>
      <c r="I476" s="313">
        <f t="shared" si="88"/>
        <v>1</v>
      </c>
      <c r="J476" s="1129"/>
      <c r="K476" s="313">
        <f t="shared" si="89"/>
        <v>1</v>
      </c>
      <c r="L476" s="1129"/>
      <c r="M476" s="313">
        <f t="shared" si="90"/>
        <v>1</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0.02</v>
      </c>
      <c r="H477" s="1129"/>
      <c r="I477" s="313">
        <f t="shared" si="88"/>
        <v>1</v>
      </c>
      <c r="J477" s="1129"/>
      <c r="K477" s="313">
        <f t="shared" si="89"/>
        <v>1</v>
      </c>
      <c r="L477" s="1129"/>
      <c r="M477" s="313">
        <f t="shared" si="90"/>
        <v>1</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0.02</v>
      </c>
      <c r="H478" s="1129"/>
      <c r="I478" s="313">
        <f t="shared" si="88"/>
        <v>1</v>
      </c>
      <c r="J478" s="1129"/>
      <c r="K478" s="313">
        <f t="shared" si="89"/>
        <v>1</v>
      </c>
      <c r="L478" s="1129"/>
      <c r="M478" s="313">
        <f t="shared" si="90"/>
        <v>1</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0.02</v>
      </c>
      <c r="H479" s="1129"/>
      <c r="I479" s="313">
        <f t="shared" si="88"/>
        <v>1</v>
      </c>
      <c r="J479" s="1129"/>
      <c r="K479" s="313">
        <f t="shared" si="89"/>
        <v>1</v>
      </c>
      <c r="L479" s="1129"/>
      <c r="M479" s="313">
        <f t="shared" si="90"/>
        <v>1</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0.02</v>
      </c>
      <c r="H480" s="1129"/>
      <c r="I480" s="313">
        <f t="shared" si="88"/>
        <v>1</v>
      </c>
      <c r="J480" s="1129"/>
      <c r="K480" s="313">
        <f t="shared" si="89"/>
        <v>1</v>
      </c>
      <c r="L480" s="1129"/>
      <c r="M480" s="313">
        <f t="shared" si="90"/>
        <v>1</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0.02</v>
      </c>
      <c r="H481" s="1129"/>
      <c r="I481" s="313">
        <f t="shared" si="88"/>
        <v>1</v>
      </c>
      <c r="J481" s="1129"/>
      <c r="K481" s="313">
        <f t="shared" si="89"/>
        <v>1</v>
      </c>
      <c r="L481" s="1129"/>
      <c r="M481" s="313">
        <f t="shared" si="90"/>
        <v>1</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0.02</v>
      </c>
      <c r="H482" s="1129"/>
      <c r="I482" s="313">
        <f t="shared" si="88"/>
        <v>1</v>
      </c>
      <c r="J482" s="1129"/>
      <c r="K482" s="313">
        <f t="shared" si="89"/>
        <v>1</v>
      </c>
      <c r="L482" s="1129"/>
      <c r="M482" s="313">
        <f t="shared" si="90"/>
        <v>1</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0.02</v>
      </c>
      <c r="H483" s="1129"/>
      <c r="I483" s="313">
        <f t="shared" si="88"/>
        <v>1</v>
      </c>
      <c r="J483" s="1129"/>
      <c r="K483" s="313">
        <f t="shared" si="89"/>
        <v>1</v>
      </c>
      <c r="L483" s="1129"/>
      <c r="M483" s="313">
        <f t="shared" si="90"/>
        <v>1</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0.02</v>
      </c>
      <c r="H484" s="1129"/>
      <c r="I484" s="313">
        <f t="shared" si="88"/>
        <v>1</v>
      </c>
      <c r="J484" s="1129"/>
      <c r="K484" s="313">
        <f t="shared" si="89"/>
        <v>1</v>
      </c>
      <c r="L484" s="1129"/>
      <c r="M484" s="313">
        <f t="shared" si="90"/>
        <v>1</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0.02</v>
      </c>
      <c r="H485" s="1129"/>
      <c r="I485" s="313">
        <f t="shared" si="88"/>
        <v>1</v>
      </c>
      <c r="J485" s="1129"/>
      <c r="K485" s="313">
        <f t="shared" si="89"/>
        <v>1</v>
      </c>
      <c r="L485" s="1129"/>
      <c r="M485" s="313">
        <f t="shared" si="90"/>
        <v>1</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0.02</v>
      </c>
      <c r="H486" s="1129"/>
      <c r="I486" s="313">
        <f t="shared" si="88"/>
        <v>1</v>
      </c>
      <c r="J486" s="1129"/>
      <c r="K486" s="313">
        <f t="shared" si="89"/>
        <v>1</v>
      </c>
      <c r="L486" s="1129"/>
      <c r="M486" s="313">
        <f t="shared" si="90"/>
        <v>1</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0.02</v>
      </c>
      <c r="H487" s="1129"/>
      <c r="I487" s="313">
        <f t="shared" si="88"/>
        <v>1</v>
      </c>
      <c r="J487" s="1129"/>
      <c r="K487" s="313">
        <f t="shared" si="89"/>
        <v>1</v>
      </c>
      <c r="L487" s="1129"/>
      <c r="M487" s="313">
        <f t="shared" si="90"/>
        <v>1</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0.02</v>
      </c>
      <c r="H488" s="1129"/>
      <c r="I488" s="313">
        <f t="shared" si="88"/>
        <v>1</v>
      </c>
      <c r="J488" s="1129"/>
      <c r="K488" s="313">
        <f t="shared" si="89"/>
        <v>1</v>
      </c>
      <c r="L488" s="1129"/>
      <c r="M488" s="313">
        <f t="shared" si="90"/>
        <v>1</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0.02</v>
      </c>
      <c r="H489" s="1129"/>
      <c r="I489" s="313">
        <f t="shared" si="88"/>
        <v>1</v>
      </c>
      <c r="J489" s="1129"/>
      <c r="K489" s="313">
        <f t="shared" si="89"/>
        <v>1</v>
      </c>
      <c r="L489" s="1129"/>
      <c r="M489" s="313">
        <f t="shared" si="90"/>
        <v>1</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0.02</v>
      </c>
      <c r="H490" s="1129"/>
      <c r="I490" s="313">
        <f t="shared" si="88"/>
        <v>1</v>
      </c>
      <c r="J490" s="1129"/>
      <c r="K490" s="313">
        <f t="shared" si="89"/>
        <v>1</v>
      </c>
      <c r="L490" s="1129"/>
      <c r="M490" s="313">
        <f t="shared" si="90"/>
        <v>1</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0.02</v>
      </c>
      <c r="H491" s="1129"/>
      <c r="I491" s="313">
        <f t="shared" si="88"/>
        <v>1</v>
      </c>
      <c r="J491" s="1129"/>
      <c r="K491" s="313">
        <f t="shared" si="89"/>
        <v>1</v>
      </c>
      <c r="L491" s="1129"/>
      <c r="M491" s="313">
        <f t="shared" si="90"/>
        <v>1</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0.02</v>
      </c>
      <c r="H492" s="1129"/>
      <c r="I492" s="313">
        <f t="shared" si="88"/>
        <v>1</v>
      </c>
      <c r="J492" s="1129"/>
      <c r="K492" s="313">
        <f t="shared" si="89"/>
        <v>1</v>
      </c>
      <c r="L492" s="1129"/>
      <c r="M492" s="313">
        <f t="shared" si="90"/>
        <v>1</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0.02</v>
      </c>
      <c r="H493" s="1129"/>
      <c r="I493" s="313">
        <f t="shared" si="88"/>
        <v>1</v>
      </c>
      <c r="J493" s="1129"/>
      <c r="K493" s="313">
        <f t="shared" si="89"/>
        <v>1</v>
      </c>
      <c r="L493" s="1129"/>
      <c r="M493" s="313">
        <f t="shared" si="90"/>
        <v>1</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0.02</v>
      </c>
      <c r="H494" s="1129"/>
      <c r="I494" s="313">
        <f t="shared" si="88"/>
        <v>1</v>
      </c>
      <c r="J494" s="1129"/>
      <c r="K494" s="313">
        <f t="shared" si="89"/>
        <v>1</v>
      </c>
      <c r="L494" s="1129"/>
      <c r="M494" s="313">
        <f t="shared" si="90"/>
        <v>1</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0.02</v>
      </c>
      <c r="H495" s="1129"/>
      <c r="I495" s="313">
        <f t="shared" si="88"/>
        <v>1</v>
      </c>
      <c r="J495" s="1129"/>
      <c r="K495" s="313">
        <f t="shared" si="89"/>
        <v>1</v>
      </c>
      <c r="L495" s="1129"/>
      <c r="M495" s="313">
        <f t="shared" si="90"/>
        <v>1</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0.02</v>
      </c>
      <c r="H496" s="1129"/>
      <c r="I496" s="313">
        <f t="shared" si="88"/>
        <v>1</v>
      </c>
      <c r="J496" s="1129"/>
      <c r="K496" s="313">
        <f t="shared" si="89"/>
        <v>1</v>
      </c>
      <c r="L496" s="1129"/>
      <c r="M496" s="313">
        <f t="shared" si="90"/>
        <v>1</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0.02</v>
      </c>
      <c r="H497" s="1129"/>
      <c r="I497" s="313">
        <f t="shared" si="88"/>
        <v>1</v>
      </c>
      <c r="J497" s="1129"/>
      <c r="K497" s="313">
        <f t="shared" si="89"/>
        <v>1</v>
      </c>
      <c r="L497" s="1129"/>
      <c r="M497" s="313">
        <f t="shared" si="90"/>
        <v>1</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0.02</v>
      </c>
      <c r="H498" s="1129"/>
      <c r="I498" s="313">
        <f t="shared" si="88"/>
        <v>1</v>
      </c>
      <c r="J498" s="1129"/>
      <c r="K498" s="313">
        <f t="shared" si="89"/>
        <v>1</v>
      </c>
      <c r="L498" s="1129"/>
      <c r="M498" s="313">
        <f t="shared" si="90"/>
        <v>1</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0.02</v>
      </c>
      <c r="H499" s="1129"/>
      <c r="I499" s="313">
        <f t="shared" si="88"/>
        <v>1</v>
      </c>
      <c r="J499" s="1129"/>
      <c r="K499" s="313">
        <f t="shared" si="89"/>
        <v>1</v>
      </c>
      <c r="L499" s="1129"/>
      <c r="M499" s="313">
        <f t="shared" si="90"/>
        <v>1</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0.02</v>
      </c>
      <c r="H500" s="1129"/>
      <c r="I500" s="313">
        <f t="shared" si="88"/>
        <v>1</v>
      </c>
      <c r="J500" s="1129"/>
      <c r="K500" s="313">
        <f t="shared" si="89"/>
        <v>1</v>
      </c>
      <c r="L500" s="1129"/>
      <c r="M500" s="313">
        <f t="shared" si="90"/>
        <v>1</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0.02</v>
      </c>
      <c r="H501" s="1129"/>
      <c r="I501" s="313">
        <f t="shared" si="88"/>
        <v>1</v>
      </c>
      <c r="J501" s="1129"/>
      <c r="K501" s="313">
        <f t="shared" si="89"/>
        <v>1</v>
      </c>
      <c r="L501" s="1129"/>
      <c r="M501" s="313">
        <f t="shared" si="90"/>
        <v>1</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0.02</v>
      </c>
      <c r="H502" s="1129"/>
      <c r="I502" s="313">
        <f t="shared" si="88"/>
        <v>1</v>
      </c>
      <c r="J502" s="1129"/>
      <c r="K502" s="313">
        <f t="shared" si="89"/>
        <v>1</v>
      </c>
      <c r="L502" s="1129"/>
      <c r="M502" s="313">
        <f t="shared" si="90"/>
        <v>1</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0.02</v>
      </c>
      <c r="H503" s="1129"/>
      <c r="I503" s="313">
        <f t="shared" si="88"/>
        <v>1</v>
      </c>
      <c r="J503" s="1129"/>
      <c r="K503" s="313">
        <f t="shared" si="89"/>
        <v>1</v>
      </c>
      <c r="L503" s="1129"/>
      <c r="M503" s="313">
        <f t="shared" si="90"/>
        <v>1</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0.02</v>
      </c>
      <c r="H504" s="1129"/>
      <c r="I504" s="313">
        <f t="shared" si="88"/>
        <v>1</v>
      </c>
      <c r="J504" s="1129"/>
      <c r="K504" s="313">
        <f t="shared" si="89"/>
        <v>1</v>
      </c>
      <c r="L504" s="1129"/>
      <c r="M504" s="313">
        <f t="shared" si="90"/>
        <v>1</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0.02</v>
      </c>
      <c r="H505" s="1129"/>
      <c r="I505" s="313">
        <f t="shared" si="88"/>
        <v>1</v>
      </c>
      <c r="J505" s="1129"/>
      <c r="K505" s="313">
        <f t="shared" si="89"/>
        <v>1</v>
      </c>
      <c r="L505" s="1129"/>
      <c r="M505" s="313">
        <f t="shared" si="90"/>
        <v>1</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0.02</v>
      </c>
      <c r="H506" s="1129"/>
      <c r="I506" s="313">
        <f t="shared" si="88"/>
        <v>1</v>
      </c>
      <c r="J506" s="1129"/>
      <c r="K506" s="313">
        <f t="shared" si="89"/>
        <v>1</v>
      </c>
      <c r="L506" s="1129"/>
      <c r="M506" s="313">
        <f t="shared" si="90"/>
        <v>1</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0.02</v>
      </c>
      <c r="H507" s="1129"/>
      <c r="I507" s="313">
        <f t="shared" si="88"/>
        <v>1</v>
      </c>
      <c r="J507" s="1129"/>
      <c r="K507" s="313">
        <f t="shared" si="89"/>
        <v>1</v>
      </c>
      <c r="L507" s="1129"/>
      <c r="M507" s="313">
        <f t="shared" si="90"/>
        <v>1</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0.02</v>
      </c>
      <c r="H508" s="1129"/>
      <c r="I508" s="313">
        <f t="shared" si="88"/>
        <v>1</v>
      </c>
      <c r="J508" s="1129"/>
      <c r="K508" s="313">
        <f t="shared" si="89"/>
        <v>1</v>
      </c>
      <c r="L508" s="1129"/>
      <c r="M508" s="313">
        <f t="shared" si="90"/>
        <v>1</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0.02</v>
      </c>
      <c r="H509" s="1129"/>
      <c r="I509" s="313">
        <f t="shared" si="88"/>
        <v>1</v>
      </c>
      <c r="J509" s="1129"/>
      <c r="K509" s="313">
        <f t="shared" si="89"/>
        <v>1</v>
      </c>
      <c r="L509" s="1129"/>
      <c r="M509" s="313">
        <f t="shared" si="90"/>
        <v>1</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0.02</v>
      </c>
      <c r="H510" s="1129"/>
      <c r="I510" s="313">
        <f t="shared" si="88"/>
        <v>1</v>
      </c>
      <c r="J510" s="1129"/>
      <c r="K510" s="313">
        <f t="shared" si="89"/>
        <v>1</v>
      </c>
      <c r="L510" s="1129"/>
      <c r="M510" s="313">
        <f t="shared" si="90"/>
        <v>1</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0.02</v>
      </c>
      <c r="H511" s="1129"/>
      <c r="I511" s="313">
        <f t="shared" si="88"/>
        <v>1</v>
      </c>
      <c r="J511" s="1129"/>
      <c r="K511" s="313">
        <f t="shared" si="89"/>
        <v>1</v>
      </c>
      <c r="L511" s="1129"/>
      <c r="M511" s="313">
        <f t="shared" si="90"/>
        <v>1</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0.02</v>
      </c>
      <c r="H512" s="1129"/>
      <c r="I512" s="313">
        <f t="shared" si="88"/>
        <v>1</v>
      </c>
      <c r="J512" s="1129"/>
      <c r="K512" s="313">
        <f t="shared" si="89"/>
        <v>1</v>
      </c>
      <c r="L512" s="1129"/>
      <c r="M512" s="313">
        <f t="shared" si="90"/>
        <v>1</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0.02</v>
      </c>
      <c r="H513" s="1129"/>
      <c r="I513" s="313">
        <f t="shared" si="88"/>
        <v>1</v>
      </c>
      <c r="J513" s="1129"/>
      <c r="K513" s="313">
        <f t="shared" si="89"/>
        <v>1</v>
      </c>
      <c r="L513" s="1129"/>
      <c r="M513" s="313">
        <f t="shared" si="90"/>
        <v>1</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0.02</v>
      </c>
      <c r="H514" s="1129"/>
      <c r="I514" s="313">
        <f t="shared" si="88"/>
        <v>1</v>
      </c>
      <c r="J514" s="1129"/>
      <c r="K514" s="313">
        <f t="shared" si="89"/>
        <v>1</v>
      </c>
      <c r="L514" s="1129"/>
      <c r="M514" s="313">
        <f t="shared" si="90"/>
        <v>1</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0.02</v>
      </c>
      <c r="H515" s="1129"/>
      <c r="I515" s="313">
        <f t="shared" si="88"/>
        <v>1</v>
      </c>
      <c r="J515" s="1129"/>
      <c r="K515" s="313">
        <f t="shared" si="89"/>
        <v>1</v>
      </c>
      <c r="L515" s="1129"/>
      <c r="M515" s="313">
        <f t="shared" si="90"/>
        <v>1</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0.02</v>
      </c>
      <c r="H516" s="1129"/>
      <c r="I516" s="313">
        <f t="shared" si="88"/>
        <v>1</v>
      </c>
      <c r="J516" s="1129"/>
      <c r="K516" s="313">
        <f t="shared" si="89"/>
        <v>1</v>
      </c>
      <c r="L516" s="1129"/>
      <c r="M516" s="313">
        <f t="shared" si="90"/>
        <v>1</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0.02</v>
      </c>
      <c r="H517" s="1129"/>
      <c r="I517" s="313">
        <f t="shared" si="88"/>
        <v>1</v>
      </c>
      <c r="J517" s="1129"/>
      <c r="K517" s="313">
        <f t="shared" si="89"/>
        <v>1</v>
      </c>
      <c r="L517" s="1129"/>
      <c r="M517" s="313">
        <f t="shared" si="90"/>
        <v>1</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0.02</v>
      </c>
      <c r="H518" s="1129"/>
      <c r="I518" s="313">
        <f t="shared" si="88"/>
        <v>1</v>
      </c>
      <c r="J518" s="1129"/>
      <c r="K518" s="313">
        <f t="shared" si="89"/>
        <v>1</v>
      </c>
      <c r="L518" s="1129"/>
      <c r="M518" s="313">
        <f t="shared" si="90"/>
        <v>1</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0.02</v>
      </c>
      <c r="H519" s="1129"/>
      <c r="I519" s="313">
        <f t="shared" si="88"/>
        <v>1</v>
      </c>
      <c r="J519" s="1129"/>
      <c r="K519" s="313">
        <f t="shared" si="89"/>
        <v>1</v>
      </c>
      <c r="L519" s="1129"/>
      <c r="M519" s="313">
        <f t="shared" si="90"/>
        <v>1</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0.02</v>
      </c>
      <c r="H520" s="1129"/>
      <c r="I520" s="313">
        <f t="shared" si="88"/>
        <v>1</v>
      </c>
      <c r="J520" s="1129"/>
      <c r="K520" s="313">
        <f t="shared" si="89"/>
        <v>1</v>
      </c>
      <c r="L520" s="1129"/>
      <c r="M520" s="313">
        <f t="shared" si="90"/>
        <v>1</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0.02</v>
      </c>
      <c r="H521" s="1129"/>
      <c r="I521" s="313">
        <f t="shared" si="88"/>
        <v>1</v>
      </c>
      <c r="J521" s="1129"/>
      <c r="K521" s="313">
        <f t="shared" si="89"/>
        <v>1</v>
      </c>
      <c r="L521" s="1129"/>
      <c r="M521" s="313">
        <f t="shared" si="90"/>
        <v>1</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0.02</v>
      </c>
      <c r="H522" s="1129"/>
      <c r="I522" s="313">
        <f t="shared" si="88"/>
        <v>1</v>
      </c>
      <c r="J522" s="1129"/>
      <c r="K522" s="313">
        <f t="shared" si="89"/>
        <v>1</v>
      </c>
      <c r="L522" s="1129"/>
      <c r="M522" s="313">
        <f t="shared" si="90"/>
        <v>1</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0.02</v>
      </c>
      <c r="H523" s="1129"/>
      <c r="I523" s="313">
        <f t="shared" si="88"/>
        <v>1</v>
      </c>
      <c r="J523" s="1129"/>
      <c r="K523" s="313">
        <f t="shared" si="89"/>
        <v>1</v>
      </c>
      <c r="L523" s="1129"/>
      <c r="M523" s="313">
        <f t="shared" si="90"/>
        <v>1</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0.02</v>
      </c>
      <c r="H524" s="1129"/>
      <c r="I524" s="313">
        <f t="shared" si="88"/>
        <v>1</v>
      </c>
      <c r="J524" s="1129"/>
      <c r="K524" s="313">
        <f t="shared" si="89"/>
        <v>1</v>
      </c>
      <c r="L524" s="1129"/>
      <c r="M524" s="313">
        <f t="shared" si="90"/>
        <v>1</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29392</v>
      </c>
      <c r="C2" s="85" t="s">
        <v>869</v>
      </c>
      <c r="D2" s="575"/>
      <c r="E2" s="575"/>
      <c r="F2" s="575"/>
      <c r="G2" s="575"/>
    </row>
    <row r="3" spans="1:7" s="576" customFormat="1" ht="18" customHeight="1" thickBot="1">
      <c r="A3" s="579" t="s">
        <v>821</v>
      </c>
      <c r="B3" s="580">
        <f ca="1">ROUND(B2*10000/'数据-汇总表'!E3,0)</f>
        <v>140028</v>
      </c>
      <c r="C3" s="85" t="s">
        <v>870</v>
      </c>
      <c r="D3" s="575"/>
      <c r="E3" s="575"/>
      <c r="F3" s="575"/>
      <c r="G3" s="575"/>
    </row>
    <row r="4" spans="1:7" s="584" customFormat="1" ht="15.75">
      <c r="A4" s="581" t="s">
        <v>822</v>
      </c>
      <c r="B4" s="582"/>
      <c r="C4" s="582"/>
      <c r="D4" s="582"/>
      <c r="E4" s="582"/>
      <c r="F4" s="582"/>
      <c r="G4" s="583"/>
    </row>
    <row r="5" spans="1:7" s="590" customFormat="1" ht="13.5" customHeight="1">
      <c r="A5" s="631" t="s">
        <v>2505</v>
      </c>
      <c r="B5" s="586" t="s">
        <v>823</v>
      </c>
      <c r="C5" s="587">
        <f>C6+C7+C8</f>
        <v>20000</v>
      </c>
      <c r="D5" s="587" t="s">
        <v>824</v>
      </c>
      <c r="E5" s="588" t="s">
        <v>825</v>
      </c>
      <c r="F5" s="588" t="s">
        <v>826</v>
      </c>
      <c r="G5" s="589"/>
    </row>
    <row r="6" spans="1:7" s="590" customFormat="1" ht="13.5" customHeight="1">
      <c r="A6" s="1801" t="s">
        <v>1918</v>
      </c>
      <c r="B6" s="591" t="s">
        <v>827</v>
      </c>
      <c r="C6" s="592">
        <v>20000</v>
      </c>
      <c r="D6" s="593"/>
      <c r="E6" s="594"/>
      <c r="F6" s="594"/>
      <c r="G6" s="595"/>
    </row>
    <row r="7" spans="1:7" s="590" customFormat="1" ht="13.5" customHeight="1">
      <c r="A7" s="1801" t="s">
        <v>1919</v>
      </c>
      <c r="B7" s="591" t="s">
        <v>347</v>
      </c>
      <c r="C7" s="596">
        <f>ROUND(C6*F7,0)</f>
        <v>0</v>
      </c>
      <c r="D7" s="596"/>
      <c r="E7" s="594"/>
      <c r="F7" s="597">
        <f>'数据-取费表'!B48+'数据-取费表'!B49</f>
        <v>0</v>
      </c>
      <c r="G7" s="595"/>
    </row>
    <row r="8" spans="1:7" s="599" customFormat="1">
      <c r="A8" s="1801" t="s">
        <v>1920</v>
      </c>
      <c r="B8" s="591" t="s">
        <v>828</v>
      </c>
      <c r="C8" s="596" t="str">
        <f>IF(G8="已包含在土地购买价格中","0",'数据-取费表'!B29)</f>
        <v>0</v>
      </c>
      <c r="D8" s="598"/>
      <c r="E8" s="596"/>
      <c r="F8" s="597"/>
      <c r="G8" s="84" t="s">
        <v>2683</v>
      </c>
    </row>
    <row r="9" spans="1:7" s="590" customFormat="1" ht="13.5" customHeight="1">
      <c r="A9" s="1802" t="s">
        <v>1927</v>
      </c>
      <c r="B9" s="600" t="s">
        <v>829</v>
      </c>
      <c r="C9" s="601">
        <f>ROUND(D9*E9/10000,0)</f>
        <v>0</v>
      </c>
      <c r="D9" s="1906">
        <f>'数据-汇总表'!E5</f>
        <v>0</v>
      </c>
      <c r="E9" s="601">
        <f>'数据-取费表'!B27</f>
        <v>190</v>
      </c>
      <c r="F9" s="597"/>
      <c r="G9" s="602"/>
    </row>
    <row r="10" spans="1:7" s="590" customFormat="1" ht="13.5" customHeight="1">
      <c r="A10" s="1802" t="s">
        <v>1928</v>
      </c>
      <c r="B10" s="600" t="s">
        <v>830</v>
      </c>
      <c r="C10" s="601">
        <f>ROUND(D10*E10/10000,0)</f>
        <v>42</v>
      </c>
      <c r="D10" s="1906">
        <f>'数据-汇总表'!E6</f>
        <v>2099.0100000000002</v>
      </c>
      <c r="E10" s="601">
        <f>'数据-取费表'!B28</f>
        <v>200</v>
      </c>
      <c r="F10" s="597"/>
      <c r="G10" s="602"/>
    </row>
    <row r="11" spans="1:7" s="590" customFormat="1" ht="13.5" hidden="1" customHeight="1">
      <c r="A11" s="603" t="s">
        <v>42</v>
      </c>
      <c r="B11" s="591" t="s">
        <v>831</v>
      </c>
      <c r="C11" s="587"/>
      <c r="D11" s="1908"/>
      <c r="E11" s="594"/>
      <c r="F11" s="594"/>
      <c r="G11" s="595"/>
    </row>
    <row r="12" spans="1:7" s="590" customFormat="1" ht="13.5" hidden="1" customHeight="1">
      <c r="A12" s="603" t="s">
        <v>43</v>
      </c>
      <c r="B12" s="591" t="s">
        <v>832</v>
      </c>
      <c r="C12" s="587">
        <v>0</v>
      </c>
      <c r="D12" s="1908"/>
      <c r="E12" s="604"/>
      <c r="F12" s="597">
        <v>3.0499999999999999E-2</v>
      </c>
      <c r="G12" s="595"/>
    </row>
    <row r="13" spans="1:7" s="590" customFormat="1" ht="13.5" hidden="1" customHeight="1">
      <c r="A13" s="603" t="s">
        <v>44</v>
      </c>
      <c r="B13" s="591" t="s">
        <v>833</v>
      </c>
      <c r="C13" s="587"/>
      <c r="D13" s="1908"/>
      <c r="E13" s="594"/>
      <c r="F13" s="594"/>
      <c r="G13" s="595"/>
    </row>
    <row r="14" spans="1:7" s="590" customFormat="1" ht="13.5" hidden="1" customHeight="1">
      <c r="A14" s="603" t="s">
        <v>45</v>
      </c>
      <c r="B14" s="591" t="s">
        <v>828</v>
      </c>
      <c r="C14" s="587"/>
      <c r="D14" s="1908"/>
      <c r="E14" s="594"/>
      <c r="F14" s="594"/>
      <c r="G14" s="595" t="s">
        <v>834</v>
      </c>
    </row>
    <row r="15" spans="1:7" s="590" customFormat="1" ht="13.5" hidden="1" customHeight="1">
      <c r="A15" s="603" t="s">
        <v>46</v>
      </c>
      <c r="B15" s="591" t="s">
        <v>835</v>
      </c>
      <c r="C15" s="596"/>
      <c r="D15" s="1908"/>
      <c r="E15" s="594"/>
      <c r="F15" s="594"/>
      <c r="G15" s="595" t="s">
        <v>836</v>
      </c>
    </row>
    <row r="16" spans="1:7"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f>IF(G19="已包含在土地取得成本中","0",ROUND(D19*E19/10000,0))</f>
        <v>42</v>
      </c>
      <c r="D19" s="1910">
        <f>'数据-汇总表'!E3</f>
        <v>2099.0100000000002</v>
      </c>
      <c r="E19" s="587">
        <f>'数据-取费表'!B31</f>
        <v>200</v>
      </c>
      <c r="F19" s="607"/>
      <c r="G19" s="84" t="s">
        <v>2528</v>
      </c>
    </row>
    <row r="20" spans="1:7" s="590" customFormat="1" ht="13.5" customHeight="1">
      <c r="A20" s="1800" t="s">
        <v>2508</v>
      </c>
      <c r="B20" s="586" t="s">
        <v>840</v>
      </c>
      <c r="C20" s="608">
        <f>ROUND((C5+C19)*F20,0)</f>
        <v>401</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f ca="1">ROUND(SUM(C23:C25),0)</f>
        <v>1968</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1921</v>
      </c>
      <c r="B23" s="591" t="s">
        <v>2512</v>
      </c>
      <c r="C23" s="2697">
        <f ca="1">ROUND(IF('数据-取费表'!B22&lt;=1,C5*F22*'数据-取费表'!B23,C5*(POWER((1+F22),'数据-取费表'!B23)-1)),0)</f>
        <v>1945</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4</v>
      </c>
      <c r="D24" s="614"/>
      <c r="E24" s="614"/>
      <c r="F24" s="615"/>
      <c r="G24" s="616" t="s">
        <v>845</v>
      </c>
    </row>
    <row r="25" spans="1:7" s="590" customFormat="1" ht="24">
      <c r="A25" s="1803" t="s">
        <v>1920</v>
      </c>
      <c r="B25" s="591" t="s">
        <v>2509</v>
      </c>
      <c r="C25" s="2697">
        <f ca="1">ROUND(IF('数据-取费表'!B22&lt;=1,C20*F22*'数据-取费表'!B23/2,C20*(POWER((1+F22),'数据-取费表'!B23/2)-1)),0)</f>
        <v>19</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f>C28</f>
        <v>4089</v>
      </c>
      <c r="D27" s="611">
        <f>C29</f>
        <v>4.0000000000000001E-3</v>
      </c>
      <c r="E27" s="612" t="s">
        <v>862</v>
      </c>
      <c r="F27" s="622">
        <f>'数据-取费表'!Q16</f>
        <v>0.2</v>
      </c>
      <c r="G27" s="623" t="s">
        <v>2520</v>
      </c>
    </row>
    <row r="28" spans="1:7" s="590" customFormat="1" ht="13.5" customHeight="1">
      <c r="A28" s="1803" t="s">
        <v>1921</v>
      </c>
      <c r="B28" s="624" t="s">
        <v>2513</v>
      </c>
      <c r="C28" s="625">
        <f>ROUND((C5+C19+C20)*F27*'数据-取费表'!B21/'数据-取费表'!B20,0)</f>
        <v>4089</v>
      </c>
      <c r="D28" s="611"/>
      <c r="E28" s="612"/>
      <c r="F28" s="622"/>
      <c r="G28" s="623"/>
    </row>
    <row r="29" spans="1:7" s="590" customFormat="1" ht="13.5" customHeight="1">
      <c r="A29" s="1803" t="s">
        <v>1919</v>
      </c>
      <c r="B29" s="624" t="s">
        <v>2514</v>
      </c>
      <c r="C29" s="614">
        <f>ROUND(C21*F27*'数据-取费表'!B21/'数据-取费表'!B20,4)</f>
        <v>4.0000000000000001E-3</v>
      </c>
      <c r="D29" s="611"/>
      <c r="E29" s="612"/>
      <c r="F29" s="622"/>
      <c r="G29" s="623"/>
    </row>
    <row r="30" spans="1:7" s="590" customFormat="1" ht="13.5" customHeight="1">
      <c r="A30" s="1800" t="s">
        <v>1915</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28752</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SUM(C34:C38)</f>
        <v>713</v>
      </c>
      <c r="D33" s="608"/>
      <c r="E33" s="588"/>
      <c r="F33" s="617"/>
      <c r="G33" s="610"/>
    </row>
    <row r="34" spans="1:7" s="634" customFormat="1" ht="13.5" customHeight="1">
      <c r="A34" s="1803" t="s">
        <v>1921</v>
      </c>
      <c r="B34" s="591" t="s">
        <v>349</v>
      </c>
      <c r="C34" s="596">
        <f>IF(F34=100%,'数据-取费表'!M16-SUMIF('数据-取费表'!C:C,"公共配套",'数据-取费表'!M:M),'数据-取费表'!O16-SUMIF('数据-取费表'!C:C,"公共配套",'数据-取费表'!O:O))</f>
        <v>630</v>
      </c>
      <c r="D34" s="593"/>
      <c r="E34" s="596"/>
      <c r="F34" s="633">
        <f>IF('数据-取费表'!B24=0,1,'数据-取费表'!N16)</f>
        <v>1</v>
      </c>
      <c r="G34" s="595" t="s">
        <v>852</v>
      </c>
    </row>
    <row r="35" spans="1:7" ht="13.5" customHeight="1">
      <c r="A35" s="1803" t="s">
        <v>1923</v>
      </c>
      <c r="B35" s="591" t="s">
        <v>350</v>
      </c>
      <c r="C35" s="596">
        <f>ROUND(C34*F35,0)</f>
        <v>32</v>
      </c>
      <c r="D35" s="596"/>
      <c r="E35" s="596"/>
      <c r="F35" s="635">
        <f>'数据-取费表'!B33</f>
        <v>0.05</v>
      </c>
      <c r="G35" s="595" t="s">
        <v>853</v>
      </c>
    </row>
    <row r="36" spans="1:7" ht="24">
      <c r="A36" s="1803" t="s">
        <v>1924</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1925</v>
      </c>
      <c r="B37" s="591" t="s">
        <v>854</v>
      </c>
      <c r="C37" s="625">
        <f>ROUND(E37*D37*F34/10000,0)</f>
        <v>42</v>
      </c>
      <c r="D37" s="593">
        <f>'数据-汇总表'!E3</f>
        <v>2099.0100000000002</v>
      </c>
      <c r="E37" s="625">
        <f>'数据-取费表'!B35</f>
        <v>200</v>
      </c>
      <c r="F37" s="635"/>
      <c r="G37" s="637" t="s">
        <v>855</v>
      </c>
    </row>
    <row r="38" spans="1:7" ht="13.5" customHeight="1">
      <c r="A38" s="1803" t="s">
        <v>1926</v>
      </c>
      <c r="B38" s="591" t="s">
        <v>353</v>
      </c>
      <c r="C38" s="596">
        <f>ROUND(C34*F38,0)</f>
        <v>9</v>
      </c>
      <c r="D38" s="596"/>
      <c r="E38" s="596"/>
      <c r="F38" s="635">
        <f>'数据-取费表'!B36</f>
        <v>1.4999999999999999E-2</v>
      </c>
      <c r="G38" s="595" t="s">
        <v>853</v>
      </c>
    </row>
    <row r="39" spans="1:7" s="590" customFormat="1" ht="13.5" customHeight="1">
      <c r="A39" s="1800" t="s">
        <v>1910</v>
      </c>
      <c r="B39" s="586" t="s">
        <v>840</v>
      </c>
      <c r="C39" s="608">
        <f>ROUND(C33*F20,0)</f>
        <v>14</v>
      </c>
      <c r="D39" s="608"/>
      <c r="E39" s="608"/>
      <c r="F39" s="609"/>
      <c r="G39" s="2617" t="s">
        <v>2522</v>
      </c>
    </row>
    <row r="40" spans="1:7" s="590" customFormat="1" ht="13.5" customHeight="1">
      <c r="A40" s="1800" t="s">
        <v>1911</v>
      </c>
      <c r="B40" s="586" t="s">
        <v>841</v>
      </c>
      <c r="C40" s="638">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1921</v>
      </c>
      <c r="B42" s="591" t="s">
        <v>2512</v>
      </c>
      <c r="C42" s="614">
        <f ca="1">ROUND(IF('数据-取费表'!B22&lt;=1,C33*F22*'数据-取费表'!B21/2,C33*(POWER((1+F22),'数据-取费表'!B21/2)-1)),0)</f>
        <v>34</v>
      </c>
      <c r="D42" s="614"/>
      <c r="E42" s="614"/>
      <c r="F42" s="615"/>
      <c r="G42" s="3583" t="s">
        <v>857</v>
      </c>
    </row>
    <row r="43" spans="1:7" ht="13.5" customHeight="1">
      <c r="A43" s="1803" t="s">
        <v>1919</v>
      </c>
      <c r="B43" s="591" t="s">
        <v>2515</v>
      </c>
      <c r="C43" s="614">
        <f ca="1">ROUND(IF('数据-取费表'!B22&lt;=1,C39*F22*'数据-取费表'!B21/2,C39*(POWER((1+F22),'数据-取费表'!B21/2)-1)),0)</f>
        <v>1</v>
      </c>
      <c r="D43" s="614"/>
      <c r="E43" s="614"/>
      <c r="F43" s="615"/>
      <c r="G43" s="3584"/>
    </row>
    <row r="44" spans="1:7" ht="13.5" customHeight="1">
      <c r="A44" s="1803" t="s">
        <v>1920</v>
      </c>
      <c r="B44" s="591" t="s">
        <v>2517</v>
      </c>
      <c r="C44" s="614">
        <f ca="1">ROUND(IF('数据-取费表'!B22&lt;=1,C40*F22*'数据-取费表'!B21/2,C40*(POWER((1+F22),'数据-取费表'!B21/2)-1)),4)</f>
        <v>1E-3</v>
      </c>
      <c r="D44" s="614"/>
      <c r="E44" s="614"/>
      <c r="F44" s="615"/>
      <c r="G44" s="3585"/>
    </row>
    <row r="45" spans="1:7" s="590" customFormat="1" ht="13.5" customHeight="1">
      <c r="A45" s="1800" t="s">
        <v>1913</v>
      </c>
      <c r="B45" s="620" t="s">
        <v>848</v>
      </c>
      <c r="C45" s="621">
        <f>C46</f>
        <v>145</v>
      </c>
      <c r="D45" s="611">
        <f>C47</f>
        <v>4.0000000000000001E-3</v>
      </c>
      <c r="E45" s="612" t="s">
        <v>865</v>
      </c>
      <c r="F45" s="622"/>
      <c r="G45" s="623" t="s">
        <v>2523</v>
      </c>
    </row>
    <row r="46" spans="1:7" s="590" customFormat="1" ht="13.5" customHeight="1">
      <c r="A46" s="1803" t="s">
        <v>1921</v>
      </c>
      <c r="B46" s="624" t="s">
        <v>2516</v>
      </c>
      <c r="C46" s="625">
        <f>ROUND((C33+C39)*F27,0)</f>
        <v>145</v>
      </c>
      <c r="D46" s="639"/>
      <c r="E46" s="612"/>
      <c r="F46" s="622"/>
      <c r="G46" s="623"/>
    </row>
    <row r="47" spans="1:7" s="590" customFormat="1" ht="13.5" customHeight="1">
      <c r="A47" s="1803" t="s">
        <v>1919</v>
      </c>
      <c r="B47" s="624" t="s">
        <v>2518</v>
      </c>
      <c r="C47" s="614">
        <f>ROUND(C40*F27,4)</f>
        <v>4.0000000000000001E-3</v>
      </c>
      <c r="D47" s="639"/>
      <c r="E47" s="612"/>
      <c r="F47" s="622"/>
      <c r="G47" s="623"/>
    </row>
    <row r="48" spans="1:7" s="590" customFormat="1" ht="13.5" customHeight="1">
      <c r="A48" s="1800" t="s">
        <v>1914</v>
      </c>
      <c r="B48" s="586" t="s">
        <v>858</v>
      </c>
      <c r="C48" s="638">
        <f>F30</f>
        <v>5.6000000000000001E-2</v>
      </c>
      <c r="D48" s="612" t="s">
        <v>866</v>
      </c>
      <c r="E48" s="608"/>
      <c r="F48" s="613"/>
      <c r="G48" s="610" t="s">
        <v>859</v>
      </c>
    </row>
    <row r="49" spans="1:7" ht="16.5" customHeight="1">
      <c r="A49" s="1800" t="s">
        <v>1915</v>
      </c>
      <c r="B49" s="586" t="s">
        <v>867</v>
      </c>
      <c r="C49" s="608">
        <f ca="1">ROUND((C33+C39+C41+C45)/(1-C40-D41-D45-C48/(1+'数据-取费表'!B42)),0)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f ca="1">C31+C51</f>
        <v>29392</v>
      </c>
      <c r="D52" s="642"/>
      <c r="E52" s="642"/>
      <c r="F52" s="642"/>
      <c r="G52" s="644"/>
    </row>
    <row r="55" spans="1:7" ht="15">
      <c r="B55" s="646" t="s">
        <v>356</v>
      </c>
      <c r="C55" s="647"/>
    </row>
    <row r="56" spans="1:7">
      <c r="B56" s="649" t="s">
        <v>357</v>
      </c>
      <c r="C56" s="650">
        <f ca="1">ROUND(C51/C52,3)</f>
        <v>2.1999999999999999E-2</v>
      </c>
    </row>
    <row r="57" spans="1:7">
      <c r="B57" s="649" t="s">
        <v>358</v>
      </c>
      <c r="C57" s="651">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5" t="s">
        <v>1168</v>
      </c>
      <c r="B1" s="3765"/>
      <c r="C1" s="3765"/>
      <c r="D1" s="3765"/>
      <c r="E1" s="3765"/>
      <c r="F1" s="3765"/>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66" t="s">
        <v>1181</v>
      </c>
      <c r="B2" s="3766"/>
      <c r="C2" s="3766"/>
      <c r="D2" s="3766"/>
      <c r="E2" s="3766"/>
      <c r="F2" s="3766"/>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67"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68"/>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1949</v>
      </c>
      <c r="B5" s="1529" t="s">
        <v>1950</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2497</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203</v>
      </c>
      <c r="B110" s="1529" t="s">
        <v>1537</v>
      </c>
      <c r="C110" s="1529">
        <v>10520</v>
      </c>
      <c r="D110" s="1529">
        <v>10490</v>
      </c>
      <c r="E110" s="1529">
        <v>10760</v>
      </c>
      <c r="F110" s="1530">
        <v>2160</v>
      </c>
    </row>
    <row r="111" spans="1:6" s="1516" customFormat="1" ht="14.25" customHeight="1" thickBot="1">
      <c r="A111" s="1528" t="s">
        <v>203</v>
      </c>
      <c r="B111" s="1522" t="s">
        <v>1204</v>
      </c>
      <c r="C111" s="1522">
        <v>10090</v>
      </c>
      <c r="D111" s="1522">
        <v>10060</v>
      </c>
      <c r="E111" s="1522">
        <v>10300</v>
      </c>
      <c r="F111" s="1536">
        <v>2010</v>
      </c>
    </row>
    <row r="112" spans="1:6" s="1516" customFormat="1" ht="14.25" customHeight="1" thickBot="1">
      <c r="A112" s="1528" t="s">
        <v>203</v>
      </c>
      <c r="B112" s="1522" t="s">
        <v>1217</v>
      </c>
      <c r="C112" s="1522">
        <v>9910</v>
      </c>
      <c r="D112" s="1522">
        <v>9850</v>
      </c>
      <c r="E112" s="1522">
        <v>9960</v>
      </c>
      <c r="F112" s="1536">
        <v>2090</v>
      </c>
    </row>
    <row r="113" spans="1:6" s="1516" customFormat="1" ht="14.25" customHeight="1" thickBot="1">
      <c r="A113" s="1528" t="s">
        <v>203</v>
      </c>
      <c r="B113" s="1522" t="s">
        <v>1230</v>
      </c>
      <c r="C113" s="1522">
        <v>11430</v>
      </c>
      <c r="D113" s="1522">
        <v>11400</v>
      </c>
      <c r="E113" s="1522">
        <v>11710</v>
      </c>
      <c r="F113" s="1536">
        <v>2050</v>
      </c>
    </row>
    <row r="114" spans="1:6" s="1516" customFormat="1" ht="14.25" customHeight="1" thickBot="1">
      <c r="A114" s="1528" t="s">
        <v>203</v>
      </c>
      <c r="B114" s="1522" t="s">
        <v>1242</v>
      </c>
      <c r="C114" s="1522">
        <v>11390</v>
      </c>
      <c r="D114" s="1522">
        <v>11350</v>
      </c>
      <c r="E114" s="1522">
        <v>11640</v>
      </c>
      <c r="F114" s="1536">
        <v>1620</v>
      </c>
    </row>
    <row r="115" spans="1:6" s="1516" customFormat="1" ht="14.25" customHeight="1" thickBot="1">
      <c r="A115" s="1528" t="s">
        <v>203</v>
      </c>
      <c r="B115" s="1522" t="s">
        <v>1253</v>
      </c>
      <c r="C115" s="1522">
        <v>9930</v>
      </c>
      <c r="D115" s="1522">
        <v>9900</v>
      </c>
      <c r="E115" s="1522">
        <v>10160</v>
      </c>
      <c r="F115" s="1536">
        <v>1580</v>
      </c>
    </row>
    <row r="116" spans="1:6" s="1516" customFormat="1" ht="14.25" customHeight="1" thickBot="1">
      <c r="A116" s="1528" t="s">
        <v>203</v>
      </c>
      <c r="B116" s="1522" t="s">
        <v>1264</v>
      </c>
      <c r="C116" s="1522">
        <v>9150</v>
      </c>
      <c r="D116" s="1522">
        <v>9120</v>
      </c>
      <c r="E116" s="1522">
        <v>9380</v>
      </c>
      <c r="F116" s="1536">
        <v>1750</v>
      </c>
    </row>
    <row r="117" spans="1:6" s="1516" customFormat="1" ht="14.25" customHeight="1" thickBot="1">
      <c r="A117" s="1528" t="s">
        <v>203</v>
      </c>
      <c r="B117" s="1522" t="s">
        <v>1275</v>
      </c>
      <c r="C117" s="1522">
        <v>10680</v>
      </c>
      <c r="D117" s="1522">
        <v>10650</v>
      </c>
      <c r="E117" s="1522">
        <v>10970</v>
      </c>
      <c r="F117" s="1536">
        <v>1730</v>
      </c>
    </row>
    <row r="118" spans="1:6" s="1516" customFormat="1" ht="14.25" customHeight="1" thickBot="1">
      <c r="A118" s="1528" t="s">
        <v>203</v>
      </c>
      <c r="B118" s="1522" t="s">
        <v>1287</v>
      </c>
      <c r="C118" s="1522">
        <v>10080</v>
      </c>
      <c r="D118" s="1522">
        <v>10050</v>
      </c>
      <c r="E118" s="1522">
        <v>10350</v>
      </c>
      <c r="F118" s="1536">
        <v>1920</v>
      </c>
    </row>
    <row r="119" spans="1:6" s="1516" customFormat="1" ht="14.25" customHeight="1" thickBot="1">
      <c r="A119" s="1528" t="s">
        <v>203</v>
      </c>
      <c r="B119" s="1522" t="s">
        <v>1297</v>
      </c>
      <c r="C119" s="1522">
        <v>9450</v>
      </c>
      <c r="D119" s="1522">
        <v>9410</v>
      </c>
      <c r="E119" s="1522">
        <v>9680</v>
      </c>
      <c r="F119" s="1536">
        <v>1880</v>
      </c>
    </row>
    <row r="120" spans="1:6" s="1516" customFormat="1" ht="14.25" customHeight="1" thickBot="1">
      <c r="A120" s="1528" t="s">
        <v>203</v>
      </c>
      <c r="B120" s="1522" t="s">
        <v>1307</v>
      </c>
      <c r="C120" s="1522">
        <v>8730</v>
      </c>
      <c r="D120" s="1522">
        <v>8700</v>
      </c>
      <c r="E120" s="1522">
        <v>8950</v>
      </c>
      <c r="F120" s="1536">
        <v>1830</v>
      </c>
    </row>
    <row r="121" spans="1:6" s="1516" customFormat="1" ht="14.25" customHeight="1" thickBot="1">
      <c r="A121" s="1528" t="s">
        <v>203</v>
      </c>
      <c r="B121" s="1522" t="s">
        <v>1317</v>
      </c>
      <c r="C121" s="1522">
        <v>10070</v>
      </c>
      <c r="D121" s="1522">
        <v>10040</v>
      </c>
      <c r="E121" s="1522">
        <v>10270</v>
      </c>
      <c r="F121" s="1536">
        <v>1960</v>
      </c>
    </row>
    <row r="122" spans="1:6" s="1516" customFormat="1" ht="14.25" customHeight="1" thickBot="1">
      <c r="A122" s="1528" t="s">
        <v>203</v>
      </c>
      <c r="B122" s="1522" t="s">
        <v>1327</v>
      </c>
      <c r="C122" s="1522">
        <v>10500</v>
      </c>
      <c r="D122" s="1522">
        <v>10470</v>
      </c>
      <c r="E122" s="1522">
        <v>10780</v>
      </c>
      <c r="F122" s="1536">
        <v>2180</v>
      </c>
    </row>
    <row r="123" spans="1:6" s="1516" customFormat="1" ht="14.25" customHeight="1" thickBot="1">
      <c r="A123" s="1528" t="s">
        <v>203</v>
      </c>
      <c r="B123" s="1522" t="s">
        <v>1338</v>
      </c>
      <c r="C123" s="1522">
        <v>10390</v>
      </c>
      <c r="D123" s="1522">
        <v>10360</v>
      </c>
      <c r="E123" s="1522">
        <v>10660</v>
      </c>
      <c r="F123" s="1536">
        <v>2040</v>
      </c>
    </row>
    <row r="124" spans="1:6" s="1516" customFormat="1" ht="14.25" customHeight="1" thickBot="1">
      <c r="A124" s="1528" t="s">
        <v>203</v>
      </c>
      <c r="B124" s="1522" t="s">
        <v>1349</v>
      </c>
      <c r="C124" s="1522">
        <v>10390</v>
      </c>
      <c r="D124" s="1522">
        <v>10360</v>
      </c>
      <c r="E124" s="1522">
        <v>10680</v>
      </c>
      <c r="F124" s="1540"/>
    </row>
    <row r="125" spans="1:6" s="1516" customFormat="1" ht="14.25" customHeight="1" thickBot="1">
      <c r="A125" s="1528" t="s">
        <v>203</v>
      </c>
      <c r="B125" s="1522" t="s">
        <v>1359</v>
      </c>
      <c r="C125" s="1522">
        <v>10440</v>
      </c>
      <c r="D125" s="1522">
        <v>10410</v>
      </c>
      <c r="E125" s="1522">
        <v>10710</v>
      </c>
      <c r="F125" s="1540"/>
    </row>
    <row r="126" spans="1:6" s="1516" customFormat="1" ht="14.25" customHeight="1" thickBot="1">
      <c r="A126" s="1528" t="s">
        <v>203</v>
      </c>
      <c r="B126" s="1522" t="s">
        <v>1369</v>
      </c>
      <c r="C126" s="1522">
        <v>10780</v>
      </c>
      <c r="D126" s="1522">
        <v>10750</v>
      </c>
      <c r="E126" s="1522">
        <v>11080</v>
      </c>
      <c r="F126" s="1540"/>
    </row>
    <row r="127" spans="1:6" s="1516" customFormat="1" ht="14.25" customHeight="1" thickBot="1">
      <c r="A127" s="1528" t="s">
        <v>203</v>
      </c>
      <c r="B127" s="1522" t="s">
        <v>1379</v>
      </c>
      <c r="C127" s="1522">
        <v>10100</v>
      </c>
      <c r="D127" s="1522">
        <v>10070</v>
      </c>
      <c r="E127" s="1522">
        <v>10350</v>
      </c>
      <c r="F127" s="1540"/>
    </row>
    <row r="128" spans="1:6" s="1516" customFormat="1" ht="14.25" customHeight="1" thickBot="1">
      <c r="A128" s="1528" t="s">
        <v>203</v>
      </c>
      <c r="B128" s="1522" t="s">
        <v>1389</v>
      </c>
      <c r="C128" s="1522">
        <v>9200</v>
      </c>
      <c r="D128" s="1522">
        <v>9160</v>
      </c>
      <c r="E128" s="1522">
        <v>9660</v>
      </c>
      <c r="F128" s="1540"/>
    </row>
    <row r="129" spans="1:6" s="1516" customFormat="1" ht="14.25" customHeight="1" thickBot="1">
      <c r="A129" s="1528" t="s">
        <v>203</v>
      </c>
      <c r="B129" s="1522" t="s">
        <v>1398</v>
      </c>
      <c r="C129" s="1522">
        <v>10340</v>
      </c>
      <c r="D129" s="1522">
        <v>10310</v>
      </c>
      <c r="E129" s="1522">
        <v>10580</v>
      </c>
      <c r="F129" s="1540"/>
    </row>
    <row r="130" spans="1:6" s="1516" customFormat="1" ht="14.25" customHeight="1" thickBot="1">
      <c r="A130" s="1528" t="s">
        <v>203</v>
      </c>
      <c r="B130" s="1522" t="s">
        <v>1407</v>
      </c>
      <c r="C130" s="1522">
        <v>9680</v>
      </c>
      <c r="D130" s="1522">
        <v>9660</v>
      </c>
      <c r="E130" s="1522">
        <v>9950</v>
      </c>
      <c r="F130" s="1540"/>
    </row>
    <row r="131" spans="1:6" s="1516" customFormat="1" ht="14.25" customHeight="1" thickBot="1">
      <c r="A131" s="1528" t="s">
        <v>203</v>
      </c>
      <c r="B131" s="1522" t="s">
        <v>1415</v>
      </c>
      <c r="C131" s="1522">
        <v>9540</v>
      </c>
      <c r="D131" s="1522">
        <v>9510</v>
      </c>
      <c r="E131" s="1522">
        <v>9790</v>
      </c>
      <c r="F131" s="1540"/>
    </row>
    <row r="132" spans="1:6" s="1516" customFormat="1" ht="14.25" customHeight="1" thickBot="1">
      <c r="A132" s="1528" t="s">
        <v>203</v>
      </c>
      <c r="B132" s="1522" t="s">
        <v>1422</v>
      </c>
      <c r="C132" s="1522">
        <v>9320</v>
      </c>
      <c r="D132" s="1522">
        <v>9290</v>
      </c>
      <c r="E132" s="1522">
        <v>9570</v>
      </c>
      <c r="F132" s="1540"/>
    </row>
    <row r="133" spans="1:6" s="1516" customFormat="1" ht="14.25" customHeight="1" thickBot="1">
      <c r="A133" s="1528" t="s">
        <v>203</v>
      </c>
      <c r="B133" s="1522" t="s">
        <v>1429</v>
      </c>
      <c r="C133" s="1522">
        <v>10310</v>
      </c>
      <c r="D133" s="1522">
        <v>10280</v>
      </c>
      <c r="E133" s="1522">
        <v>10530</v>
      </c>
      <c r="F133" s="1540"/>
    </row>
    <row r="134" spans="1:6" s="1516" customFormat="1" ht="14.25" customHeight="1" thickBot="1">
      <c r="A134" s="1528" t="s">
        <v>203</v>
      </c>
      <c r="B134" s="1522" t="s">
        <v>1436</v>
      </c>
      <c r="C134" s="1522">
        <v>10370</v>
      </c>
      <c r="D134" s="1522">
        <v>10310</v>
      </c>
      <c r="E134" s="1522">
        <v>10240</v>
      </c>
      <c r="F134" s="1536">
        <v>2060</v>
      </c>
    </row>
    <row r="135" spans="1:6" s="1516" customFormat="1" ht="14.25" customHeight="1" thickBot="1">
      <c r="A135" s="1528" t="s">
        <v>203</v>
      </c>
      <c r="B135" s="1522" t="s">
        <v>1443</v>
      </c>
      <c r="C135" s="1522">
        <v>9300</v>
      </c>
      <c r="D135" s="1522">
        <v>9270</v>
      </c>
      <c r="E135" s="1522">
        <v>9350</v>
      </c>
      <c r="F135" s="1540"/>
    </row>
    <row r="136" spans="1:6" s="1516" customFormat="1" ht="14.25" customHeight="1" thickBot="1">
      <c r="A136" s="1528" t="s">
        <v>203</v>
      </c>
      <c r="B136" s="1522" t="s">
        <v>1450</v>
      </c>
      <c r="C136" s="1522">
        <v>10160</v>
      </c>
      <c r="D136" s="1522">
        <v>10110</v>
      </c>
      <c r="E136" s="1522">
        <v>10080</v>
      </c>
      <c r="F136" s="1540"/>
    </row>
    <row r="137" spans="1:6" s="1516" customFormat="1" ht="14.25" customHeight="1" thickBot="1">
      <c r="A137" s="1528" t="s">
        <v>203</v>
      </c>
      <c r="B137" s="1522" t="s">
        <v>1457</v>
      </c>
      <c r="C137" s="1522">
        <v>9200</v>
      </c>
      <c r="D137" s="1522">
        <v>9170</v>
      </c>
      <c r="E137" s="1522">
        <v>9450</v>
      </c>
      <c r="F137" s="1540"/>
    </row>
    <row r="138" spans="1:6" s="1516" customFormat="1" ht="14.25" customHeight="1" thickBot="1">
      <c r="A138" s="1528" t="s">
        <v>203</v>
      </c>
      <c r="B138" s="1522" t="s">
        <v>1462</v>
      </c>
      <c r="C138" s="1522">
        <v>9690</v>
      </c>
      <c r="D138" s="1522">
        <v>9660</v>
      </c>
      <c r="E138" s="1522">
        <v>9840</v>
      </c>
      <c r="F138" s="1540"/>
    </row>
    <row r="139" spans="1:6" s="1516" customFormat="1" ht="14.25" customHeight="1" thickBot="1">
      <c r="A139" s="1528" t="s">
        <v>203</v>
      </c>
      <c r="B139" s="1522" t="s">
        <v>1466</v>
      </c>
      <c r="C139" s="1522">
        <v>10290</v>
      </c>
      <c r="D139" s="1522">
        <v>10260</v>
      </c>
      <c r="E139" s="1522">
        <v>10550</v>
      </c>
      <c r="F139" s="1536">
        <v>1700</v>
      </c>
    </row>
    <row r="140" spans="1:6" s="1516" customFormat="1" ht="14.25" customHeight="1" thickBot="1">
      <c r="A140" s="1528" t="s">
        <v>203</v>
      </c>
      <c r="B140" s="1522" t="s">
        <v>1471</v>
      </c>
      <c r="C140" s="1522">
        <v>9740</v>
      </c>
      <c r="D140" s="1522">
        <v>9710</v>
      </c>
      <c r="E140" s="1522">
        <v>10000</v>
      </c>
      <c r="F140" s="1536">
        <v>2000</v>
      </c>
    </row>
    <row r="141" spans="1:6" s="1516" customFormat="1" ht="14.25" customHeight="1" thickBot="1">
      <c r="A141" s="1528" t="s">
        <v>203</v>
      </c>
      <c r="B141" s="1522" t="s">
        <v>1476</v>
      </c>
      <c r="C141" s="1522">
        <v>9810</v>
      </c>
      <c r="D141" s="1522">
        <v>9770</v>
      </c>
      <c r="E141" s="1522">
        <v>10060</v>
      </c>
      <c r="F141" s="1540"/>
    </row>
    <row r="142" spans="1:6" s="1516" customFormat="1" ht="14.25" customHeight="1" thickBot="1">
      <c r="A142" s="1528" t="s">
        <v>203</v>
      </c>
      <c r="B142" s="1522" t="s">
        <v>1481</v>
      </c>
      <c r="C142" s="1522">
        <v>9300</v>
      </c>
      <c r="D142" s="1522">
        <v>9270</v>
      </c>
      <c r="E142" s="1522">
        <v>9530</v>
      </c>
      <c r="F142" s="1540"/>
    </row>
    <row r="143" spans="1:6" s="1516" customFormat="1" ht="14.25" customHeight="1" thickBot="1">
      <c r="A143" s="1528" t="s">
        <v>203</v>
      </c>
      <c r="B143" s="1522" t="s">
        <v>1486</v>
      </c>
      <c r="C143" s="1522">
        <v>10080</v>
      </c>
      <c r="D143" s="1522">
        <v>10050</v>
      </c>
      <c r="E143" s="1522">
        <v>10340</v>
      </c>
      <c r="F143" s="1540"/>
    </row>
    <row r="144" spans="1:6" s="1516" customFormat="1" ht="14.25" customHeight="1" thickBot="1">
      <c r="A144" s="1528" t="s">
        <v>203</v>
      </c>
      <c r="B144" s="1522" t="s">
        <v>1490</v>
      </c>
      <c r="C144" s="1522">
        <v>9820</v>
      </c>
      <c r="D144" s="1522">
        <v>9750</v>
      </c>
      <c r="E144" s="1522">
        <v>9900</v>
      </c>
      <c r="F144" s="1540"/>
    </row>
    <row r="145" spans="1:6" s="1516" customFormat="1" ht="14.25" customHeight="1" thickBot="1">
      <c r="A145" s="1528" t="s">
        <v>203</v>
      </c>
      <c r="B145" s="1522" t="s">
        <v>1494</v>
      </c>
      <c r="C145" s="1522"/>
      <c r="D145" s="1522"/>
      <c r="E145" s="1522"/>
      <c r="F145" s="1536">
        <v>1740</v>
      </c>
    </row>
    <row r="146" spans="1:6" s="1516" customFormat="1" ht="14.25" customHeight="1" thickBot="1">
      <c r="A146" s="1528" t="s">
        <v>203</v>
      </c>
      <c r="B146" s="1522" t="s">
        <v>1498</v>
      </c>
      <c r="C146" s="1522"/>
      <c r="D146" s="1522"/>
      <c r="E146" s="1522"/>
      <c r="F146" s="1536">
        <v>1740</v>
      </c>
    </row>
    <row r="147" spans="1:6" s="1516" customFormat="1" ht="14.25" customHeight="1" thickBot="1">
      <c r="A147" s="1528" t="s">
        <v>203</v>
      </c>
      <c r="B147" s="1522" t="s">
        <v>1502</v>
      </c>
      <c r="C147" s="1522"/>
      <c r="D147" s="1522"/>
      <c r="E147" s="1522"/>
      <c r="F147" s="1536">
        <v>1740</v>
      </c>
    </row>
    <row r="148" spans="1:6" s="1516" customFormat="1" ht="14.25" customHeight="1" thickBot="1">
      <c r="A148" s="1528" t="s">
        <v>203</v>
      </c>
      <c r="B148" s="1522" t="s">
        <v>1506</v>
      </c>
      <c r="C148" s="1522"/>
      <c r="D148" s="1522"/>
      <c r="E148" s="1522"/>
      <c r="F148" s="1536">
        <v>1740</v>
      </c>
    </row>
    <row r="149" spans="1:6" s="1516" customFormat="1" ht="14.25" customHeight="1" thickBot="1">
      <c r="A149" s="1528" t="s">
        <v>203</v>
      </c>
      <c r="B149" s="1522" t="s">
        <v>1510</v>
      </c>
      <c r="C149" s="1522"/>
      <c r="D149" s="1522"/>
      <c r="E149" s="1522"/>
      <c r="F149" s="1536">
        <v>1740</v>
      </c>
    </row>
    <row r="150" spans="1:6" s="1516" customFormat="1" ht="14.25" customHeight="1" thickBot="1">
      <c r="A150" s="1528" t="s">
        <v>203</v>
      </c>
      <c r="B150" s="1522" t="s">
        <v>1513</v>
      </c>
      <c r="C150" s="1522"/>
      <c r="D150" s="1522"/>
      <c r="E150" s="1522"/>
      <c r="F150" s="1536">
        <v>1610</v>
      </c>
    </row>
    <row r="151" spans="1:6" s="1516" customFormat="1" ht="14.25" customHeight="1" thickBot="1">
      <c r="A151" s="1528" t="s">
        <v>203</v>
      </c>
      <c r="B151" s="1522" t="s">
        <v>1516</v>
      </c>
      <c r="C151" s="1522"/>
      <c r="D151" s="1522"/>
      <c r="E151" s="1522"/>
      <c r="F151" s="1536">
        <v>1610</v>
      </c>
    </row>
    <row r="152" spans="1:6" s="1516" customFormat="1" ht="14.25" customHeight="1" thickBot="1">
      <c r="A152" s="1528" t="s">
        <v>203</v>
      </c>
      <c r="B152" s="1522" t="s">
        <v>1519</v>
      </c>
      <c r="C152" s="1522"/>
      <c r="D152" s="1522"/>
      <c r="E152" s="1522"/>
      <c r="F152" s="1536">
        <v>1610</v>
      </c>
    </row>
    <row r="153" spans="1:6" s="1516" customFormat="1" ht="14.25" customHeight="1" thickBot="1">
      <c r="A153" s="1528" t="s">
        <v>203</v>
      </c>
      <c r="B153" s="1522" t="s">
        <v>1522</v>
      </c>
      <c r="C153" s="1522"/>
      <c r="D153" s="1522"/>
      <c r="E153" s="1522"/>
      <c r="F153" s="1536">
        <v>1610</v>
      </c>
    </row>
    <row r="154" spans="1:6" s="1516" customFormat="1" ht="14.25" customHeight="1" thickBot="1">
      <c r="A154" s="1528" t="s">
        <v>203</v>
      </c>
      <c r="B154" s="1522" t="s">
        <v>1525</v>
      </c>
      <c r="C154" s="1522"/>
      <c r="D154" s="1522"/>
      <c r="E154" s="1522"/>
      <c r="F154" s="1536">
        <v>1610</v>
      </c>
    </row>
    <row r="155" spans="1:6" s="1516" customFormat="1" ht="14.25" customHeight="1" thickBot="1">
      <c r="A155" s="1528" t="s">
        <v>203</v>
      </c>
      <c r="B155" s="1522" t="s">
        <v>1528</v>
      </c>
      <c r="C155" s="1522"/>
      <c r="D155" s="1522"/>
      <c r="E155" s="1522"/>
      <c r="F155" s="1536">
        <v>1800</v>
      </c>
    </row>
    <row r="156" spans="1:6" s="1516" customFormat="1" ht="14.25" customHeight="1" thickBot="1">
      <c r="A156" s="1528" t="s">
        <v>203</v>
      </c>
      <c r="B156" s="1522" t="s">
        <v>1530</v>
      </c>
      <c r="C156" s="1522"/>
      <c r="D156" s="1522"/>
      <c r="E156" s="1522"/>
      <c r="F156" s="1536">
        <v>1910</v>
      </c>
    </row>
    <row r="157" spans="1:6" s="1516" customFormat="1" ht="14.25" customHeight="1" thickBot="1">
      <c r="A157" s="1528" t="s">
        <v>203</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2497</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5" t="s">
        <v>2133</v>
      </c>
      <c r="B1" s="3765"/>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1224</v>
      </c>
      <c r="B6" s="1522" t="s">
        <v>2142</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2143</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2144</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2145</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2146</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2147</v>
      </c>
      <c r="C72" s="2130"/>
      <c r="D72" s="2130"/>
      <c r="E72" s="2130"/>
      <c r="F72" s="2118">
        <v>0.05</v>
      </c>
    </row>
    <row r="73" spans="1:6" ht="14.25" thickBot="1">
      <c r="A73" s="1528" t="s">
        <v>1135</v>
      </c>
      <c r="B73" s="1522" t="s">
        <v>2148</v>
      </c>
      <c r="C73" s="2130"/>
      <c r="D73" s="2130"/>
      <c r="E73" s="2130"/>
      <c r="F73" s="2118">
        <v>0.05</v>
      </c>
    </row>
    <row r="74" spans="1:6" ht="14.25" thickBot="1">
      <c r="A74" s="1528" t="s">
        <v>1135</v>
      </c>
      <c r="B74" s="1522" t="s">
        <v>2149</v>
      </c>
      <c r="C74" s="2130"/>
      <c r="D74" s="2130"/>
      <c r="E74" s="2130"/>
      <c r="F74" s="2118">
        <v>0.05</v>
      </c>
    </row>
    <row r="75" spans="1:6" ht="14.25" thickBot="1">
      <c r="A75" s="1538" t="s">
        <v>1135</v>
      </c>
      <c r="B75" s="1534" t="s">
        <v>2150</v>
      </c>
      <c r="C75" s="2127"/>
      <c r="D75" s="2127"/>
      <c r="E75" s="2127"/>
      <c r="F75" s="2120">
        <v>0.05</v>
      </c>
    </row>
    <row r="76" spans="1:6" ht="14.25" thickBot="1">
      <c r="A76" s="1528" t="s">
        <v>1535</v>
      </c>
      <c r="B76" s="1529" t="s">
        <v>2151</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2152</v>
      </c>
      <c r="C102" s="2130"/>
      <c r="D102" s="2130"/>
      <c r="E102" s="2130"/>
      <c r="F102" s="2118">
        <v>0.05</v>
      </c>
    </row>
    <row r="103" spans="1:6" ht="24.75" thickBot="1">
      <c r="A103" s="1528" t="s">
        <v>1535</v>
      </c>
      <c r="B103" s="1522" t="s">
        <v>2153</v>
      </c>
      <c r="C103" s="2130"/>
      <c r="D103" s="2130"/>
      <c r="E103" s="2130"/>
      <c r="F103" s="2118">
        <v>0.05</v>
      </c>
    </row>
    <row r="104" spans="1:6" ht="14.25" thickBot="1">
      <c r="A104" s="1528" t="s">
        <v>1535</v>
      </c>
      <c r="B104" s="1522" t="s">
        <v>2154</v>
      </c>
      <c r="C104" s="2130"/>
      <c r="D104" s="2130"/>
      <c r="E104" s="2130"/>
      <c r="F104" s="2118">
        <v>0.05</v>
      </c>
    </row>
    <row r="105" spans="1:6" ht="14.25" thickBot="1">
      <c r="A105" s="1528" t="s">
        <v>1535</v>
      </c>
      <c r="B105" s="1522" t="s">
        <v>2155</v>
      </c>
      <c r="C105" s="2130"/>
      <c r="D105" s="2130"/>
      <c r="E105" s="2130"/>
      <c r="F105" s="2118">
        <v>0.05</v>
      </c>
    </row>
    <row r="106" spans="1:6" ht="14.25" thickBot="1">
      <c r="A106" s="1528" t="s">
        <v>1535</v>
      </c>
      <c r="B106" s="1522" t="s">
        <v>2156</v>
      </c>
      <c r="C106" s="2130"/>
      <c r="D106" s="2130"/>
      <c r="E106" s="2130"/>
      <c r="F106" s="2118">
        <v>0.05</v>
      </c>
    </row>
    <row r="107" spans="1:6" ht="24.75" thickBot="1">
      <c r="A107" s="1528" t="s">
        <v>1535</v>
      </c>
      <c r="B107" s="1522" t="s">
        <v>2157</v>
      </c>
      <c r="C107" s="2130"/>
      <c r="D107" s="2130"/>
      <c r="E107" s="2130"/>
      <c r="F107" s="2118">
        <v>0.05</v>
      </c>
    </row>
    <row r="108" spans="1:6" ht="24.75" thickBot="1">
      <c r="A108" s="1528" t="s">
        <v>1535</v>
      </c>
      <c r="B108" s="1522" t="s">
        <v>2158</v>
      </c>
      <c r="C108" s="2130"/>
      <c r="D108" s="2130"/>
      <c r="E108" s="2130"/>
      <c r="F108" s="2118">
        <v>0.05</v>
      </c>
    </row>
    <row r="109" spans="1:6" ht="24.75" thickBot="1">
      <c r="A109" s="1538" t="s">
        <v>1535</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1204</v>
      </c>
      <c r="C111" s="2117">
        <v>0.11</v>
      </c>
      <c r="D111" s="2117">
        <v>0.11</v>
      </c>
      <c r="E111" s="2117">
        <v>9.9000000000000005E-2</v>
      </c>
      <c r="F111" s="2118">
        <v>0.128</v>
      </c>
    </row>
    <row r="112" spans="1:6" ht="14.25" thickBot="1">
      <c r="A112" s="1528" t="s">
        <v>203</v>
      </c>
      <c r="B112" s="1522" t="s">
        <v>1217</v>
      </c>
      <c r="C112" s="2117">
        <v>0.125</v>
      </c>
      <c r="D112" s="2117">
        <v>0.125</v>
      </c>
      <c r="E112" s="2117">
        <v>0.12</v>
      </c>
      <c r="F112" s="2118">
        <v>0.125</v>
      </c>
    </row>
    <row r="113" spans="1:6" ht="14.25" thickBot="1">
      <c r="A113" s="1528" t="s">
        <v>203</v>
      </c>
      <c r="B113" s="1522" t="s">
        <v>1230</v>
      </c>
      <c r="C113" s="2117">
        <v>0.13</v>
      </c>
      <c r="D113" s="2117">
        <v>0.13</v>
      </c>
      <c r="E113" s="2117">
        <v>0.13</v>
      </c>
      <c r="F113" s="2118">
        <v>0.13</v>
      </c>
    </row>
    <row r="114" spans="1:6" ht="14.25" thickBot="1">
      <c r="A114" s="1528" t="s">
        <v>203</v>
      </c>
      <c r="B114" s="1522" t="s">
        <v>1242</v>
      </c>
      <c r="C114" s="2117">
        <v>0.123</v>
      </c>
      <c r="D114" s="2117">
        <v>0.123</v>
      </c>
      <c r="E114" s="2117">
        <v>0.12</v>
      </c>
      <c r="F114" s="2118">
        <v>0.13</v>
      </c>
    </row>
    <row r="115" spans="1:6" ht="14.25" thickBot="1">
      <c r="A115" s="1528" t="s">
        <v>203</v>
      </c>
      <c r="B115" s="1522" t="s">
        <v>1253</v>
      </c>
      <c r="C115" s="2117">
        <v>0.125</v>
      </c>
      <c r="D115" s="2117">
        <v>0.125</v>
      </c>
      <c r="E115" s="2117">
        <v>0.11700000000000001</v>
      </c>
      <c r="F115" s="2118">
        <v>0.13</v>
      </c>
    </row>
    <row r="116" spans="1:6" ht="14.25" thickBot="1">
      <c r="A116" s="1528" t="s">
        <v>203</v>
      </c>
      <c r="B116" s="1522" t="s">
        <v>1264</v>
      </c>
      <c r="C116" s="2117">
        <v>0.11700000000000001</v>
      </c>
      <c r="D116" s="2117">
        <v>0.11700000000000001</v>
      </c>
      <c r="E116" s="2117">
        <v>8.7999999999999995E-2</v>
      </c>
      <c r="F116" s="2118">
        <v>0.13</v>
      </c>
    </row>
    <row r="117" spans="1:6" ht="14.25" thickBot="1">
      <c r="A117" s="1528" t="s">
        <v>203</v>
      </c>
      <c r="B117" s="1522" t="s">
        <v>1275</v>
      </c>
      <c r="C117" s="2117">
        <v>0.13</v>
      </c>
      <c r="D117" s="2117">
        <v>0.13</v>
      </c>
      <c r="E117" s="2117">
        <v>0.129</v>
      </c>
      <c r="F117" s="2118">
        <v>0.13</v>
      </c>
    </row>
    <row r="118" spans="1:6" ht="14.25" thickBot="1">
      <c r="A118" s="1528" t="s">
        <v>203</v>
      </c>
      <c r="B118" s="1522" t="s">
        <v>1287</v>
      </c>
      <c r="C118" s="2117">
        <v>0.123</v>
      </c>
      <c r="D118" s="2117">
        <v>0.123</v>
      </c>
      <c r="E118" s="2117">
        <v>0.11600000000000001</v>
      </c>
      <c r="F118" s="2118">
        <v>0.13</v>
      </c>
    </row>
    <row r="119" spans="1:6" ht="14.25" thickBot="1">
      <c r="A119" s="1528" t="s">
        <v>203</v>
      </c>
      <c r="B119" s="1522" t="s">
        <v>1297</v>
      </c>
      <c r="C119" s="2117">
        <v>0.127</v>
      </c>
      <c r="D119" s="2117">
        <v>0.127</v>
      </c>
      <c r="E119" s="2117">
        <v>0.124</v>
      </c>
      <c r="F119" s="2118">
        <v>0.13</v>
      </c>
    </row>
    <row r="120" spans="1:6" ht="14.25" thickBot="1">
      <c r="A120" s="1528" t="s">
        <v>203</v>
      </c>
      <c r="B120" s="1522" t="s">
        <v>1307</v>
      </c>
      <c r="C120" s="2117">
        <v>0.125</v>
      </c>
      <c r="D120" s="2117">
        <v>0.125</v>
      </c>
      <c r="E120" s="2117">
        <v>0.122</v>
      </c>
      <c r="F120" s="2118">
        <v>0.13</v>
      </c>
    </row>
    <row r="121" spans="1:6" ht="14.25" thickBot="1">
      <c r="A121" s="1528" t="s">
        <v>203</v>
      </c>
      <c r="B121" s="1522" t="s">
        <v>1317</v>
      </c>
      <c r="C121" s="2117">
        <v>0.13</v>
      </c>
      <c r="D121" s="2117">
        <v>0.13</v>
      </c>
      <c r="E121" s="2117">
        <v>0.13</v>
      </c>
      <c r="F121" s="2118">
        <v>0.13</v>
      </c>
    </row>
    <row r="122" spans="1:6" ht="14.25" thickBot="1">
      <c r="A122" s="1528" t="s">
        <v>203</v>
      </c>
      <c r="B122" s="1522" t="s">
        <v>1327</v>
      </c>
      <c r="C122" s="2117">
        <v>0.13</v>
      </c>
      <c r="D122" s="2117">
        <v>0.13</v>
      </c>
      <c r="E122" s="2117">
        <v>0.125</v>
      </c>
      <c r="F122" s="2118">
        <v>0.13</v>
      </c>
    </row>
    <row r="123" spans="1:6" ht="14.25" thickBot="1">
      <c r="A123" s="1528" t="s">
        <v>203</v>
      </c>
      <c r="B123" s="1522" t="s">
        <v>1338</v>
      </c>
      <c r="C123" s="2117">
        <v>0.129</v>
      </c>
      <c r="D123" s="2117">
        <v>0.129</v>
      </c>
      <c r="E123" s="2117">
        <v>0.123</v>
      </c>
      <c r="F123" s="2118">
        <v>0.13</v>
      </c>
    </row>
    <row r="124" spans="1:6" ht="14.25" thickBot="1">
      <c r="A124" s="1528" t="s">
        <v>203</v>
      </c>
      <c r="B124" s="1522" t="s">
        <v>1349</v>
      </c>
      <c r="C124" s="2117">
        <v>0.10199999999999999</v>
      </c>
      <c r="D124" s="2117">
        <v>0.10100000000000001</v>
      </c>
      <c r="E124" s="2117">
        <v>0.08</v>
      </c>
      <c r="F124" s="2129"/>
    </row>
    <row r="125" spans="1:6" ht="14.25" thickBot="1">
      <c r="A125" s="1528" t="s">
        <v>203</v>
      </c>
      <c r="B125" s="1522" t="s">
        <v>1359</v>
      </c>
      <c r="C125" s="2117">
        <v>0.13</v>
      </c>
      <c r="D125" s="2117">
        <v>0.13</v>
      </c>
      <c r="E125" s="2117">
        <v>0.129</v>
      </c>
      <c r="F125" s="2129"/>
    </row>
    <row r="126" spans="1:6" ht="14.25" thickBot="1">
      <c r="A126" s="1528" t="s">
        <v>203</v>
      </c>
      <c r="B126" s="1522" t="s">
        <v>1369</v>
      </c>
      <c r="C126" s="2117">
        <v>0.13</v>
      </c>
      <c r="D126" s="2117">
        <v>0.13</v>
      </c>
      <c r="E126" s="2117">
        <v>0.126</v>
      </c>
      <c r="F126" s="2129"/>
    </row>
    <row r="127" spans="1:6" ht="14.25" thickBot="1">
      <c r="A127" s="1528" t="s">
        <v>203</v>
      </c>
      <c r="B127" s="1522" t="s">
        <v>1379</v>
      </c>
      <c r="C127" s="2117">
        <v>0.125</v>
      </c>
      <c r="D127" s="2117">
        <v>0.125</v>
      </c>
      <c r="E127" s="2117">
        <v>0.121</v>
      </c>
      <c r="F127" s="2129"/>
    </row>
    <row r="128" spans="1:6" ht="14.25" thickBot="1">
      <c r="A128" s="1528" t="s">
        <v>203</v>
      </c>
      <c r="B128" s="1522" t="s">
        <v>1389</v>
      </c>
      <c r="C128" s="2117">
        <v>0.12</v>
      </c>
      <c r="D128" s="2117">
        <v>0.12</v>
      </c>
      <c r="E128" s="2117">
        <v>0.105</v>
      </c>
      <c r="F128" s="2129"/>
    </row>
    <row r="129" spans="1:6" ht="14.25" thickBot="1">
      <c r="A129" s="1528" t="s">
        <v>203</v>
      </c>
      <c r="B129" s="1522" t="s">
        <v>1398</v>
      </c>
      <c r="C129" s="2117">
        <v>0.13</v>
      </c>
      <c r="D129" s="2117">
        <v>0.13</v>
      </c>
      <c r="E129" s="2117">
        <v>0.126</v>
      </c>
      <c r="F129" s="2129"/>
    </row>
    <row r="130" spans="1:6" ht="14.25" thickBot="1">
      <c r="A130" s="1528" t="s">
        <v>203</v>
      </c>
      <c r="B130" s="1522" t="s">
        <v>1407</v>
      </c>
      <c r="C130" s="2117">
        <v>0.125</v>
      </c>
      <c r="D130" s="2117">
        <v>0.125</v>
      </c>
      <c r="E130" s="2117">
        <v>0.122</v>
      </c>
      <c r="F130" s="2129"/>
    </row>
    <row r="131" spans="1:6" ht="14.25" thickBot="1">
      <c r="A131" s="1528" t="s">
        <v>203</v>
      </c>
      <c r="B131" s="1522" t="s">
        <v>1415</v>
      </c>
      <c r="C131" s="2117">
        <v>0.127</v>
      </c>
      <c r="D131" s="2117">
        <v>0.126</v>
      </c>
      <c r="E131" s="2117">
        <v>0.123</v>
      </c>
      <c r="F131" s="2129"/>
    </row>
    <row r="132" spans="1:6" ht="14.25" thickBot="1">
      <c r="A132" s="1528" t="s">
        <v>203</v>
      </c>
      <c r="B132" s="1522" t="s">
        <v>1422</v>
      </c>
      <c r="C132" s="2117">
        <v>9.0999999999999998E-2</v>
      </c>
      <c r="D132" s="2117">
        <v>0.121</v>
      </c>
      <c r="E132" s="2117">
        <v>9.9000000000000005E-2</v>
      </c>
      <c r="F132" s="2129"/>
    </row>
    <row r="133" spans="1:6" ht="14.25" thickBot="1">
      <c r="A133" s="1528" t="s">
        <v>203</v>
      </c>
      <c r="B133" s="1522" t="s">
        <v>1429</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1443</v>
      </c>
      <c r="C135" s="2117">
        <v>0.123</v>
      </c>
      <c r="D135" s="2117">
        <v>0.123</v>
      </c>
      <c r="E135" s="2117">
        <v>0.11</v>
      </c>
      <c r="F135" s="2129"/>
    </row>
    <row r="136" spans="1:6" ht="14.25" thickBot="1">
      <c r="A136" s="1528" t="s">
        <v>203</v>
      </c>
      <c r="B136" s="1522" t="s">
        <v>1450</v>
      </c>
      <c r="C136" s="2117">
        <v>0.13</v>
      </c>
      <c r="D136" s="2117">
        <v>0.13</v>
      </c>
      <c r="E136" s="2117">
        <v>0.125</v>
      </c>
      <c r="F136" s="2129"/>
    </row>
    <row r="137" spans="1:6" ht="14.25" thickBot="1">
      <c r="A137" s="1528" t="s">
        <v>203</v>
      </c>
      <c r="B137" s="1522" t="s">
        <v>1457</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1476</v>
      </c>
      <c r="C141" s="2117">
        <v>0.125</v>
      </c>
      <c r="D141" s="2117">
        <v>0.125</v>
      </c>
      <c r="E141" s="2117">
        <v>0.11700000000000001</v>
      </c>
      <c r="F141" s="2129"/>
    </row>
    <row r="142" spans="1:6" ht="14.25" thickBot="1">
      <c r="A142" s="1528" t="s">
        <v>203</v>
      </c>
      <c r="B142" s="1522" t="s">
        <v>1481</v>
      </c>
      <c r="C142" s="2117">
        <v>0.125</v>
      </c>
      <c r="D142" s="2117">
        <v>0.125</v>
      </c>
      <c r="E142" s="2117">
        <v>0.115</v>
      </c>
      <c r="F142" s="2129"/>
    </row>
    <row r="143" spans="1:6" ht="14.25" thickBot="1">
      <c r="A143" s="1528" t="s">
        <v>203</v>
      </c>
      <c r="B143" s="1522" t="s">
        <v>1486</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1519</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1538</v>
      </c>
      <c r="B158" s="1529" t="s">
        <v>2178</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2179</v>
      </c>
      <c r="C171" s="2117">
        <v>0.127</v>
      </c>
      <c r="D171" s="2117">
        <v>0.126</v>
      </c>
      <c r="E171" s="2117">
        <v>0.126</v>
      </c>
      <c r="F171" s="2118">
        <v>0.11799999999999999</v>
      </c>
    </row>
    <row r="172" spans="1:6" ht="14.25" thickBot="1">
      <c r="A172" s="1528" t="s">
        <v>1538</v>
      </c>
      <c r="B172" s="1522" t="s">
        <v>2180</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2181</v>
      </c>
      <c r="C174" s="2117">
        <v>0.13</v>
      </c>
      <c r="D174" s="2117">
        <v>0.13</v>
      </c>
      <c r="E174" s="2117">
        <v>0.13</v>
      </c>
      <c r="F174" s="2118">
        <v>0.13</v>
      </c>
    </row>
    <row r="175" spans="1:6" ht="14.25" thickBot="1">
      <c r="A175" s="1528" t="s">
        <v>1538</v>
      </c>
      <c r="B175" s="1522" t="s">
        <v>2182</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2183</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2184</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2185</v>
      </c>
      <c r="C185" s="2117">
        <v>0.127</v>
      </c>
      <c r="D185" s="2117">
        <v>0.127</v>
      </c>
      <c r="E185" s="2117">
        <v>0.128</v>
      </c>
      <c r="F185" s="2118">
        <v>0.13</v>
      </c>
    </row>
    <row r="186" spans="1:6" ht="24.75" thickBot="1">
      <c r="A186" s="1528" t="s">
        <v>1538</v>
      </c>
      <c r="B186" s="1522" t="s">
        <v>2186</v>
      </c>
      <c r="C186" s="2130"/>
      <c r="D186" s="2130"/>
      <c r="E186" s="2130"/>
      <c r="F186" s="2118">
        <v>0.05</v>
      </c>
    </row>
    <row r="187" spans="1:6" ht="14.25" thickBot="1">
      <c r="A187" s="1528" t="s">
        <v>1538</v>
      </c>
      <c r="B187" s="1522" t="s">
        <v>2187</v>
      </c>
      <c r="C187" s="2130"/>
      <c r="D187" s="2130"/>
      <c r="E187" s="2130"/>
      <c r="F187" s="2118">
        <v>0.05</v>
      </c>
    </row>
    <row r="188" spans="1:6" ht="14.25" thickBot="1">
      <c r="A188" s="1528" t="s">
        <v>1538</v>
      </c>
      <c r="B188" s="1522" t="s">
        <v>2188</v>
      </c>
      <c r="C188" s="2130"/>
      <c r="D188" s="2130"/>
      <c r="E188" s="2130"/>
      <c r="F188" s="2118">
        <v>0.05</v>
      </c>
    </row>
    <row r="189" spans="1:6" ht="24.75" thickBot="1">
      <c r="A189" s="1528" t="s">
        <v>1538</v>
      </c>
      <c r="B189" s="1522" t="s">
        <v>2189</v>
      </c>
      <c r="C189" s="2130"/>
      <c r="D189" s="2130"/>
      <c r="E189" s="2130"/>
      <c r="F189" s="2118">
        <v>0.05</v>
      </c>
    </row>
    <row r="190" spans="1:6" ht="24.75" thickBot="1">
      <c r="A190" s="1528" t="s">
        <v>1538</v>
      </c>
      <c r="B190" s="1522" t="s">
        <v>2190</v>
      </c>
      <c r="C190" s="2130"/>
      <c r="D190" s="2130"/>
      <c r="E190" s="2130"/>
      <c r="F190" s="2118">
        <v>0.05</v>
      </c>
    </row>
    <row r="191" spans="1:6" ht="24.75" thickBot="1">
      <c r="A191" s="1528" t="s">
        <v>1538</v>
      </c>
      <c r="B191" s="1522" t="s">
        <v>2191</v>
      </c>
      <c r="C191" s="2130"/>
      <c r="D191" s="2130"/>
      <c r="E191" s="2130"/>
      <c r="F191" s="2118">
        <v>0.05</v>
      </c>
    </row>
    <row r="192" spans="1:6" ht="24.75" thickBot="1">
      <c r="A192" s="1528" t="s">
        <v>1538</v>
      </c>
      <c r="B192" s="1522" t="s">
        <v>2192</v>
      </c>
      <c r="C192" s="2130"/>
      <c r="D192" s="2130"/>
      <c r="E192" s="2130"/>
      <c r="F192" s="2118">
        <v>0.05</v>
      </c>
    </row>
    <row r="193" spans="1:6" ht="24.75" thickBot="1">
      <c r="A193" s="1528" t="s">
        <v>1538</v>
      </c>
      <c r="B193" s="1522" t="s">
        <v>2193</v>
      </c>
      <c r="C193" s="2130"/>
      <c r="D193" s="2130"/>
      <c r="E193" s="2130"/>
      <c r="F193" s="2118">
        <v>0.05</v>
      </c>
    </row>
    <row r="194" spans="1:6" ht="24.75" thickBot="1">
      <c r="A194" s="1528" t="s">
        <v>1538</v>
      </c>
      <c r="B194" s="1522" t="s">
        <v>2194</v>
      </c>
      <c r="C194" s="2130"/>
      <c r="D194" s="2130"/>
      <c r="E194" s="2130"/>
      <c r="F194" s="2118">
        <v>0.05</v>
      </c>
    </row>
    <row r="195" spans="1:6" ht="14.25" thickBot="1">
      <c r="A195" s="1528" t="s">
        <v>1538</v>
      </c>
      <c r="B195" s="1522" t="s">
        <v>2195</v>
      </c>
      <c r="C195" s="2130"/>
      <c r="D195" s="2130"/>
      <c r="E195" s="2130"/>
      <c r="F195" s="2118">
        <v>0.05</v>
      </c>
    </row>
    <row r="196" spans="1:6" ht="24.75" thickBot="1">
      <c r="A196" s="1528" t="s">
        <v>1538</v>
      </c>
      <c r="B196" s="1522" t="s">
        <v>2196</v>
      </c>
      <c r="C196" s="2130"/>
      <c r="D196" s="2130"/>
      <c r="E196" s="2130"/>
      <c r="F196" s="2118">
        <v>0.05</v>
      </c>
    </row>
    <row r="197" spans="1:6" ht="24.75" thickBot="1">
      <c r="A197" s="1528" t="s">
        <v>1538</v>
      </c>
      <c r="B197" s="1522" t="s">
        <v>2197</v>
      </c>
      <c r="C197" s="2130"/>
      <c r="D197" s="2130"/>
      <c r="E197" s="2130"/>
      <c r="F197" s="2118">
        <v>0.05</v>
      </c>
    </row>
    <row r="198" spans="1:6" ht="24.75" thickBot="1">
      <c r="A198" s="1528" t="s">
        <v>1538</v>
      </c>
      <c r="B198" s="1522" t="s">
        <v>2198</v>
      </c>
      <c r="C198" s="2130"/>
      <c r="D198" s="2130"/>
      <c r="E198" s="2130"/>
      <c r="F198" s="2118">
        <v>0.05</v>
      </c>
    </row>
    <row r="199" spans="1:6" ht="24.75" thickBot="1">
      <c r="A199" s="1528" t="s">
        <v>1538</v>
      </c>
      <c r="B199" s="1522" t="s">
        <v>2199</v>
      </c>
      <c r="C199" s="2130"/>
      <c r="D199" s="2130"/>
      <c r="E199" s="2130"/>
      <c r="F199" s="2118">
        <v>0.05</v>
      </c>
    </row>
    <row r="200" spans="1:6" ht="24.75" thickBot="1">
      <c r="A200" s="1528" t="s">
        <v>1538</v>
      </c>
      <c r="B200" s="1522" t="s">
        <v>2200</v>
      </c>
      <c r="C200" s="2130"/>
      <c r="D200" s="2130"/>
      <c r="E200" s="2130"/>
      <c r="F200" s="2118">
        <v>0.05</v>
      </c>
    </row>
    <row r="201" spans="1:6" ht="24.75" thickBot="1">
      <c r="A201" s="1528" t="s">
        <v>1538</v>
      </c>
      <c r="B201" s="1522" t="s">
        <v>2201</v>
      </c>
      <c r="C201" s="2130"/>
      <c r="D201" s="2130"/>
      <c r="E201" s="2130"/>
      <c r="F201" s="2118">
        <v>0.05</v>
      </c>
    </row>
    <row r="202" spans="1:6" ht="24.75" thickBot="1">
      <c r="A202" s="1528" t="s">
        <v>1538</v>
      </c>
      <c r="B202" s="1522" t="s">
        <v>2202</v>
      </c>
      <c r="C202" s="2130"/>
      <c r="D202" s="2130"/>
      <c r="E202" s="2130"/>
      <c r="F202" s="2118">
        <v>0.05</v>
      </c>
    </row>
    <row r="203" spans="1:6" ht="24.75" thickBot="1">
      <c r="A203" s="1528" t="s">
        <v>1538</v>
      </c>
      <c r="B203" s="1522" t="s">
        <v>2203</v>
      </c>
      <c r="C203" s="2130"/>
      <c r="D203" s="2130"/>
      <c r="E203" s="2130"/>
      <c r="F203" s="2118">
        <v>0.05</v>
      </c>
    </row>
    <row r="204" spans="1:6" ht="14.25" thickBot="1">
      <c r="A204" s="1528" t="s">
        <v>1538</v>
      </c>
      <c r="B204" s="1522" t="s">
        <v>2204</v>
      </c>
      <c r="C204" s="2130"/>
      <c r="D204" s="2130"/>
      <c r="E204" s="2130"/>
      <c r="F204" s="2118">
        <v>0.05</v>
      </c>
    </row>
    <row r="205" spans="1:6" ht="14.25" thickBot="1">
      <c r="A205" s="1538" t="s">
        <v>1538</v>
      </c>
      <c r="B205" s="1534" t="s">
        <v>2205</v>
      </c>
      <c r="C205" s="2127"/>
      <c r="D205" s="2127"/>
      <c r="E205" s="2127"/>
      <c r="F205" s="2120">
        <v>0.05</v>
      </c>
    </row>
    <row r="206" spans="1:6" ht="14.25" thickBot="1">
      <c r="A206" s="1528" t="s">
        <v>1540</v>
      </c>
      <c r="B206" s="1529" t="s">
        <v>2206</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2207</v>
      </c>
      <c r="C210" s="2117">
        <v>0.15</v>
      </c>
      <c r="D210" s="2117">
        <v>0.15</v>
      </c>
      <c r="E210" s="2117">
        <v>0.15</v>
      </c>
      <c r="F210" s="2118">
        <v>0.13800000000000001</v>
      </c>
    </row>
    <row r="211" spans="1:6" ht="14.25" thickBot="1">
      <c r="A211" s="1528" t="s">
        <v>1540</v>
      </c>
      <c r="B211" s="1522" t="s">
        <v>2208</v>
      </c>
      <c r="C211" s="2117">
        <v>0.13700000000000001</v>
      </c>
      <c r="D211" s="2117">
        <v>0.13500000000000001</v>
      </c>
      <c r="E211" s="2117">
        <v>0.13600000000000001</v>
      </c>
      <c r="F211" s="2118">
        <v>0.1</v>
      </c>
    </row>
    <row r="212" spans="1:6" ht="14.25" thickBot="1">
      <c r="A212" s="1528" t="s">
        <v>1540</v>
      </c>
      <c r="B212" s="1522" t="s">
        <v>2209</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2210</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2211</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2212</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2213</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2214</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2215</v>
      </c>
      <c r="C231" s="2117">
        <v>0.128</v>
      </c>
      <c r="D231" s="2117">
        <v>0.125</v>
      </c>
      <c r="E231" s="2117">
        <v>0.13200000000000001</v>
      </c>
      <c r="F231" s="2129"/>
    </row>
    <row r="232" spans="1:6" ht="14.25" thickBot="1">
      <c r="A232" s="1528" t="s">
        <v>1540</v>
      </c>
      <c r="B232" s="1522" t="s">
        <v>2216</v>
      </c>
      <c r="C232" s="2117">
        <v>0.14499999999999999</v>
      </c>
      <c r="D232" s="2117">
        <v>0.14399999999999999</v>
      </c>
      <c r="E232" s="2117">
        <v>0.14599999999999999</v>
      </c>
      <c r="F232" s="2118">
        <v>0.13800000000000001</v>
      </c>
    </row>
    <row r="233" spans="1:6" ht="14.25" thickBot="1">
      <c r="A233" s="1528" t="s">
        <v>1540</v>
      </c>
      <c r="B233" s="1522" t="s">
        <v>2217</v>
      </c>
      <c r="C233" s="2117">
        <v>0.14499999999999999</v>
      </c>
      <c r="D233" s="2117">
        <v>0.14299999999999999</v>
      </c>
      <c r="E233" s="2117">
        <v>0.14199999999999999</v>
      </c>
      <c r="F233" s="2129"/>
    </row>
    <row r="234" spans="1:6" ht="14.25" thickBot="1">
      <c r="A234" s="1528" t="s">
        <v>1540</v>
      </c>
      <c r="B234" s="1522" t="s">
        <v>2218</v>
      </c>
      <c r="C234" s="2117">
        <v>0.14000000000000001</v>
      </c>
      <c r="D234" s="2117">
        <v>0.14000000000000001</v>
      </c>
      <c r="E234" s="2117">
        <v>0.14399999999999999</v>
      </c>
      <c r="F234" s="2129"/>
    </row>
    <row r="235" spans="1:6" ht="14.25" thickBot="1">
      <c r="A235" s="1528" t="s">
        <v>1540</v>
      </c>
      <c r="B235" s="1522" t="s">
        <v>2219</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2220</v>
      </c>
      <c r="C237" s="2130"/>
      <c r="D237" s="2130"/>
      <c r="E237" s="2130"/>
      <c r="F237" s="2118">
        <v>0.05</v>
      </c>
    </row>
    <row r="238" spans="1:6" ht="24.75" thickBot="1">
      <c r="A238" s="1528" t="s">
        <v>1540</v>
      </c>
      <c r="B238" s="1522" t="s">
        <v>2221</v>
      </c>
      <c r="C238" s="2130"/>
      <c r="D238" s="2130"/>
      <c r="E238" s="2130"/>
      <c r="F238" s="2118">
        <v>0.05</v>
      </c>
    </row>
    <row r="239" spans="1:6" ht="24.75" thickBot="1">
      <c r="A239" s="1528" t="s">
        <v>1540</v>
      </c>
      <c r="B239" s="1522" t="s">
        <v>2222</v>
      </c>
      <c r="C239" s="2130"/>
      <c r="D239" s="2130"/>
      <c r="E239" s="2130"/>
      <c r="F239" s="2118">
        <v>0.05</v>
      </c>
    </row>
    <row r="240" spans="1:6" ht="24.75" thickBot="1">
      <c r="A240" s="1528" t="s">
        <v>1540</v>
      </c>
      <c r="B240" s="1522" t="s">
        <v>2223</v>
      </c>
      <c r="C240" s="2130"/>
      <c r="D240" s="2130"/>
      <c r="E240" s="2130"/>
      <c r="F240" s="2118">
        <v>0.05</v>
      </c>
    </row>
    <row r="241" spans="1:6" ht="24.75" thickBot="1">
      <c r="A241" s="1528" t="s">
        <v>1540</v>
      </c>
      <c r="B241" s="1522" t="s">
        <v>2224</v>
      </c>
      <c r="C241" s="2130"/>
      <c r="D241" s="2130"/>
      <c r="E241" s="2130"/>
      <c r="F241" s="2118">
        <v>0.05</v>
      </c>
    </row>
    <row r="242" spans="1:6" ht="24.75" thickBot="1">
      <c r="A242" s="1528" t="s">
        <v>1540</v>
      </c>
      <c r="B242" s="1522" t="s">
        <v>2225</v>
      </c>
      <c r="C242" s="2130"/>
      <c r="D242" s="2130"/>
      <c r="E242" s="2130"/>
      <c r="F242" s="2118">
        <v>0.05</v>
      </c>
    </row>
    <row r="243" spans="1:6" ht="24.75" thickBot="1">
      <c r="A243" s="1528" t="s">
        <v>1540</v>
      </c>
      <c r="B243" s="1522" t="s">
        <v>2226</v>
      </c>
      <c r="C243" s="2130"/>
      <c r="D243" s="2130"/>
      <c r="E243" s="2130"/>
      <c r="F243" s="2118">
        <v>0.05</v>
      </c>
    </row>
    <row r="244" spans="1:6" ht="24.75" thickBot="1">
      <c r="A244" s="1538" t="s">
        <v>1540</v>
      </c>
      <c r="B244" s="1534" t="s">
        <v>2227</v>
      </c>
      <c r="C244" s="2127"/>
      <c r="D244" s="2127"/>
      <c r="E244" s="2127"/>
      <c r="F244" s="2120">
        <v>0.05</v>
      </c>
    </row>
    <row r="245" spans="1:6" ht="14.25" thickBot="1">
      <c r="A245" s="1528" t="s">
        <v>1542</v>
      </c>
      <c r="B245" s="1529" t="s">
        <v>2228</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2229</v>
      </c>
      <c r="C247" s="2117">
        <v>0.15</v>
      </c>
      <c r="D247" s="2117">
        <v>0.15</v>
      </c>
      <c r="E247" s="2117">
        <v>0.15</v>
      </c>
      <c r="F247" s="2118">
        <v>0.15</v>
      </c>
    </row>
    <row r="248" spans="1:6" ht="14.25" thickBot="1">
      <c r="A248" s="1528" t="s">
        <v>1542</v>
      </c>
      <c r="B248" s="1522" t="s">
        <v>2230</v>
      </c>
      <c r="C248" s="2117">
        <v>0.15</v>
      </c>
      <c r="D248" s="2117">
        <v>0.15</v>
      </c>
      <c r="E248" s="2117">
        <v>0.15</v>
      </c>
      <c r="F248" s="2118">
        <v>0.14000000000000001</v>
      </c>
    </row>
    <row r="249" spans="1:6" ht="14.25" thickBot="1">
      <c r="A249" s="1528" t="s">
        <v>1542</v>
      </c>
      <c r="B249" s="1522" t="s">
        <v>2231</v>
      </c>
      <c r="C249" s="2117">
        <v>0.15</v>
      </c>
      <c r="D249" s="2117">
        <v>0.14899999999999999</v>
      </c>
      <c r="E249" s="2117">
        <v>0.15</v>
      </c>
      <c r="F249" s="2118">
        <v>0.1</v>
      </c>
    </row>
    <row r="250" spans="1:6" ht="14.25" thickBot="1">
      <c r="A250" s="1528" t="s">
        <v>1542</v>
      </c>
      <c r="B250" s="1522" t="s">
        <v>2232</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2233</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2234</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2235</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2236</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2237</v>
      </c>
      <c r="C273" s="2117">
        <v>0.14199999999999999</v>
      </c>
      <c r="D273" s="2117">
        <v>0.14299999999999999</v>
      </c>
      <c r="E273" s="2117">
        <v>0.15</v>
      </c>
      <c r="F273" s="2118">
        <v>0.1</v>
      </c>
    </row>
    <row r="274" spans="1:6" ht="14.25" thickBot="1">
      <c r="A274" s="1528" t="s">
        <v>1542</v>
      </c>
      <c r="B274" s="1522" t="s">
        <v>2238</v>
      </c>
      <c r="C274" s="2117">
        <v>0.14799999999999999</v>
      </c>
      <c r="D274" s="2117">
        <v>0.14799999999999999</v>
      </c>
      <c r="E274" s="2117">
        <v>0.15</v>
      </c>
      <c r="F274" s="2118">
        <v>6.7000000000000004E-2</v>
      </c>
    </row>
    <row r="275" spans="1:6" ht="14.25" thickBot="1">
      <c r="A275" s="1528" t="s">
        <v>1542</v>
      </c>
      <c r="B275" s="1522" t="s">
        <v>2239</v>
      </c>
      <c r="C275" s="2117">
        <v>0.15</v>
      </c>
      <c r="D275" s="2117">
        <v>0.15</v>
      </c>
      <c r="E275" s="2117">
        <v>0.15</v>
      </c>
      <c r="F275" s="2118">
        <v>0.15</v>
      </c>
    </row>
    <row r="276" spans="1:6" ht="14.25" thickBot="1">
      <c r="A276" s="1528" t="s">
        <v>1542</v>
      </c>
      <c r="B276" s="1522" t="s">
        <v>2240</v>
      </c>
      <c r="C276" s="2117">
        <v>0.14499999999999999</v>
      </c>
      <c r="D276" s="2117">
        <v>0.14299999999999999</v>
      </c>
      <c r="E276" s="2117">
        <v>0.15</v>
      </c>
      <c r="F276" s="2118">
        <v>5.8999999999999997E-2</v>
      </c>
    </row>
    <row r="277" spans="1:6" ht="14.25" thickBot="1">
      <c r="A277" s="1528" t="s">
        <v>1542</v>
      </c>
      <c r="B277" s="1522" t="s">
        <v>2241</v>
      </c>
      <c r="C277" s="2117">
        <v>0.15</v>
      </c>
      <c r="D277" s="2117">
        <v>0.15</v>
      </c>
      <c r="E277" s="2117">
        <v>0.15</v>
      </c>
      <c r="F277" s="2118">
        <v>0.121</v>
      </c>
    </row>
    <row r="278" spans="1:6" ht="14.25" thickBot="1">
      <c r="A278" s="1528" t="s">
        <v>1542</v>
      </c>
      <c r="B278" s="1522" t="s">
        <v>2242</v>
      </c>
      <c r="C278" s="2117">
        <v>0.15</v>
      </c>
      <c r="D278" s="2117">
        <v>0.15</v>
      </c>
      <c r="E278" s="2117">
        <v>0.15</v>
      </c>
      <c r="F278" s="2118">
        <v>0.13800000000000001</v>
      </c>
    </row>
    <row r="279" spans="1:6" ht="24.75" thickBot="1">
      <c r="A279" s="1528" t="s">
        <v>1542</v>
      </c>
      <c r="B279" s="1522" t="s">
        <v>2243</v>
      </c>
      <c r="C279" s="2130"/>
      <c r="D279" s="2130"/>
      <c r="E279" s="2130"/>
      <c r="F279" s="2118">
        <v>0.05</v>
      </c>
    </row>
    <row r="280" spans="1:6" ht="24.75" thickBot="1">
      <c r="A280" s="1528" t="s">
        <v>1542</v>
      </c>
      <c r="B280" s="1522" t="s">
        <v>2244</v>
      </c>
      <c r="C280" s="2130"/>
      <c r="D280" s="2130"/>
      <c r="E280" s="2130"/>
      <c r="F280" s="2118">
        <v>0.05</v>
      </c>
    </row>
    <row r="281" spans="1:6" ht="24.75" thickBot="1">
      <c r="A281" s="1528" t="s">
        <v>1542</v>
      </c>
      <c r="B281" s="1522" t="s">
        <v>2245</v>
      </c>
      <c r="C281" s="2130"/>
      <c r="D281" s="2130"/>
      <c r="E281" s="2130"/>
      <c r="F281" s="2118">
        <v>0.05</v>
      </c>
    </row>
    <row r="282" spans="1:6" ht="24.75" thickBot="1">
      <c r="A282" s="1528" t="s">
        <v>1542</v>
      </c>
      <c r="B282" s="1522" t="s">
        <v>2246</v>
      </c>
      <c r="C282" s="2130"/>
      <c r="D282" s="2130"/>
      <c r="E282" s="2130"/>
      <c r="F282" s="2118">
        <v>0.05</v>
      </c>
    </row>
    <row r="283" spans="1:6" ht="24.75" thickBot="1">
      <c r="A283" s="1528" t="s">
        <v>1542</v>
      </c>
      <c r="B283" s="1522" t="s">
        <v>2247</v>
      </c>
      <c r="C283" s="2130"/>
      <c r="D283" s="2130"/>
      <c r="E283" s="2130"/>
      <c r="F283" s="2118">
        <v>0.05</v>
      </c>
    </row>
    <row r="284" spans="1:6" ht="24.75" thickBot="1">
      <c r="A284" s="1528" t="s">
        <v>1542</v>
      </c>
      <c r="B284" s="1522" t="s">
        <v>2248</v>
      </c>
      <c r="C284" s="2130"/>
      <c r="D284" s="2130"/>
      <c r="E284" s="2130"/>
      <c r="F284" s="2118">
        <v>0.05</v>
      </c>
    </row>
    <row r="285" spans="1:6" ht="24.75" thickBot="1">
      <c r="A285" s="1528" t="s">
        <v>1542</v>
      </c>
      <c r="B285" s="1522" t="s">
        <v>2249</v>
      </c>
      <c r="C285" s="2130"/>
      <c r="D285" s="2130"/>
      <c r="E285" s="2130"/>
      <c r="F285" s="2118">
        <v>0.05</v>
      </c>
    </row>
    <row r="286" spans="1:6" ht="24.75" thickBot="1">
      <c r="A286" s="1528" t="s">
        <v>1542</v>
      </c>
      <c r="B286" s="1522" t="s">
        <v>2250</v>
      </c>
      <c r="C286" s="2130"/>
      <c r="D286" s="2130"/>
      <c r="E286" s="2130"/>
      <c r="F286" s="2118">
        <v>0.05</v>
      </c>
    </row>
    <row r="287" spans="1:6" ht="24.75" thickBot="1">
      <c r="A287" s="1528" t="s">
        <v>1542</v>
      </c>
      <c r="B287" s="1522" t="s">
        <v>2251</v>
      </c>
      <c r="C287" s="2130"/>
      <c r="D287" s="2130"/>
      <c r="E287" s="2130"/>
      <c r="F287" s="2118">
        <v>0.05</v>
      </c>
    </row>
    <row r="288" spans="1:6" ht="24.75" thickBot="1">
      <c r="A288" s="1528" t="s">
        <v>1542</v>
      </c>
      <c r="B288" s="1522" t="s">
        <v>2252</v>
      </c>
      <c r="C288" s="2130"/>
      <c r="D288" s="2130"/>
      <c r="E288" s="2130"/>
      <c r="F288" s="2118">
        <v>0.05</v>
      </c>
    </row>
    <row r="289" spans="1:6" ht="24.75" thickBot="1">
      <c r="A289" s="1538" t="s">
        <v>1542</v>
      </c>
      <c r="B289" s="1534" t="s">
        <v>2253</v>
      </c>
      <c r="C289" s="2127"/>
      <c r="D289" s="2127"/>
      <c r="E289" s="2127"/>
      <c r="F289" s="2120">
        <v>0.05</v>
      </c>
    </row>
    <row r="290" spans="1:6" ht="14.25" thickBot="1">
      <c r="A290" s="1528" t="s">
        <v>1546</v>
      </c>
      <c r="B290" s="1529" t="s">
        <v>2254</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2255</v>
      </c>
      <c r="C292" s="2117">
        <v>0.15</v>
      </c>
      <c r="D292" s="2117">
        <v>0.15</v>
      </c>
      <c r="E292" s="2117">
        <v>0.15</v>
      </c>
      <c r="F292" s="2118">
        <v>0.14699999999999999</v>
      </c>
    </row>
    <row r="293" spans="1:6" ht="14.25" thickBot="1">
      <c r="A293" s="1528" t="s">
        <v>1546</v>
      </c>
      <c r="B293" s="1522" t="s">
        <v>2256</v>
      </c>
      <c r="C293" s="2130"/>
      <c r="D293" s="2130"/>
      <c r="E293" s="2130"/>
      <c r="F293" s="2118">
        <v>0.1</v>
      </c>
    </row>
    <row r="294" spans="1:6" ht="14.25" thickBot="1">
      <c r="A294" s="1528" t="s">
        <v>1546</v>
      </c>
      <c r="B294" s="1522" t="s">
        <v>2257</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2258</v>
      </c>
      <c r="C296" s="2117">
        <v>0.15</v>
      </c>
      <c r="D296" s="2117">
        <v>0.15</v>
      </c>
      <c r="E296" s="2117">
        <v>0.15</v>
      </c>
      <c r="F296" s="2118">
        <v>0.15</v>
      </c>
    </row>
    <row r="297" spans="1:6" ht="14.25" thickBot="1">
      <c r="A297" s="1528" t="s">
        <v>1546</v>
      </c>
      <c r="B297" s="1522" t="s">
        <v>2259</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2260</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2261</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2262</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2263</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2264</v>
      </c>
      <c r="C310" s="2117">
        <v>0.15</v>
      </c>
      <c r="D310" s="2117">
        <v>0.15</v>
      </c>
      <c r="E310" s="2117">
        <v>0.15</v>
      </c>
      <c r="F310" s="2118">
        <v>0.13700000000000001</v>
      </c>
    </row>
    <row r="311" spans="1:6" ht="14.25" thickBot="1">
      <c r="A311" s="1528" t="s">
        <v>1546</v>
      </c>
      <c r="B311" s="1522" t="s">
        <v>2265</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2266</v>
      </c>
      <c r="C313" s="2117">
        <v>0.15</v>
      </c>
      <c r="D313" s="2117">
        <v>0.15</v>
      </c>
      <c r="E313" s="2117">
        <v>0.15</v>
      </c>
      <c r="F313" s="2118">
        <v>0.15</v>
      </c>
    </row>
    <row r="314" spans="1:6" ht="24.75" thickBot="1">
      <c r="A314" s="1528" t="s">
        <v>1546</v>
      </c>
      <c r="B314" s="1522" t="s">
        <v>2267</v>
      </c>
      <c r="C314" s="2130"/>
      <c r="D314" s="2130"/>
      <c r="E314" s="2130"/>
      <c r="F314" s="2118">
        <v>0.05</v>
      </c>
    </row>
    <row r="315" spans="1:6" ht="24.75" thickBot="1">
      <c r="A315" s="1528" t="s">
        <v>1546</v>
      </c>
      <c r="B315" s="1522" t="s">
        <v>2268</v>
      </c>
      <c r="C315" s="2130"/>
      <c r="D315" s="2130"/>
      <c r="E315" s="2130"/>
      <c r="F315" s="2118">
        <v>0.05</v>
      </c>
    </row>
    <row r="316" spans="1:6" ht="24.75" thickBot="1">
      <c r="A316" s="1538" t="s">
        <v>1546</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1235</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1302</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1322</v>
      </c>
      <c r="C328" s="2117">
        <v>0.15</v>
      </c>
      <c r="D328" s="2117">
        <v>0.15</v>
      </c>
      <c r="E328" s="2117">
        <v>0.15</v>
      </c>
      <c r="F328" s="2118">
        <v>0.14099999999999999</v>
      </c>
    </row>
    <row r="329" spans="1:6" ht="14.25" thickBot="1">
      <c r="A329" s="1528" t="s">
        <v>2270</v>
      </c>
      <c r="B329" s="1522" t="s">
        <v>1332</v>
      </c>
      <c r="C329" s="2117">
        <v>0.15</v>
      </c>
      <c r="D329" s="2117">
        <v>0.15</v>
      </c>
      <c r="E329" s="2117">
        <v>0.15</v>
      </c>
      <c r="F329" s="2118">
        <v>0.15</v>
      </c>
    </row>
    <row r="330" spans="1:6" ht="14.25" thickBot="1">
      <c r="A330" s="1528" t="s">
        <v>2270</v>
      </c>
      <c r="B330" s="1522" t="s">
        <v>1343</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1364</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1384</v>
      </c>
      <c r="C334" s="2117">
        <v>0.15</v>
      </c>
      <c r="D334" s="2117">
        <v>0.15</v>
      </c>
      <c r="E334" s="2117">
        <v>0.15</v>
      </c>
      <c r="F334" s="2118">
        <v>0.15</v>
      </c>
    </row>
    <row r="335" spans="1:6" ht="14.25" thickBot="1">
      <c r="A335" s="1528" t="s">
        <v>2270</v>
      </c>
      <c r="B335" s="1522" t="s">
        <v>1394</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1412</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2905</v>
      </c>
      <c r="C1" s="3194">
        <f>项目基本情况!D3</f>
        <v>42962</v>
      </c>
      <c r="D1" s="3200" t="s">
        <v>2906</v>
      </c>
      <c r="E1" s="3195">
        <f>'数据-取费表'!B22</f>
        <v>2</v>
      </c>
      <c r="F1" s="3200" t="s">
        <v>2907</v>
      </c>
      <c r="G1" s="3196">
        <f ca="1">INDIRECT("d"&amp;$K$1)/100</f>
        <v>4.7500000000000001E-2</v>
      </c>
      <c r="H1" s="3200" t="s">
        <v>2937</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2908</v>
      </c>
      <c r="E2" s="3136"/>
      <c r="F2" s="3136" t="s">
        <v>2909</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2910</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2911</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2912</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2913</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2914</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2915</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2916</v>
      </c>
      <c r="C10" s="3164"/>
      <c r="D10" s="3164"/>
      <c r="E10" s="3164"/>
      <c r="F10" s="3164"/>
      <c r="G10" s="3164"/>
      <c r="H10" s="3164"/>
      <c r="I10" s="3138"/>
      <c r="J10" s="3138"/>
      <c r="K10" s="3164"/>
      <c r="L10" s="3165" t="s">
        <v>2917</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2918</v>
      </c>
      <c r="C11" s="3169" t="s">
        <v>2919</v>
      </c>
      <c r="D11" s="3170" t="s">
        <v>2920</v>
      </c>
      <c r="E11" s="3171"/>
      <c r="F11" s="3170" t="s">
        <v>2921</v>
      </c>
      <c r="G11" s="3172"/>
      <c r="H11" s="3171"/>
      <c r="I11" s="3170" t="s">
        <v>2922</v>
      </c>
      <c r="J11" s="3171"/>
      <c r="K11" s="3167"/>
      <c r="L11" s="3168" t="s">
        <v>2918</v>
      </c>
      <c r="M11" s="3169" t="s">
        <v>2919</v>
      </c>
      <c r="N11" s="3168" t="s">
        <v>2923</v>
      </c>
      <c r="O11" s="3170" t="s">
        <v>2924</v>
      </c>
      <c r="P11" s="3172"/>
      <c r="Q11" s="3172"/>
      <c r="R11" s="3172"/>
      <c r="S11" s="3172"/>
      <c r="T11" s="3171"/>
      <c r="U11" s="3170" t="s">
        <v>2925</v>
      </c>
      <c r="V11" s="3172"/>
      <c r="W11" s="3171"/>
      <c r="X11" s="3168" t="s">
        <v>2926</v>
      </c>
      <c r="Y11" s="3168" t="s">
        <v>2927</v>
      </c>
      <c r="Z11" s="3168" t="s">
        <v>2928</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2929</v>
      </c>
      <c r="E12" s="3177" t="s">
        <v>2930</v>
      </c>
      <c r="F12" s="3177" t="s">
        <v>2931</v>
      </c>
      <c r="G12" s="3177" t="s">
        <v>2932</v>
      </c>
      <c r="H12" s="3177" t="s">
        <v>2914</v>
      </c>
      <c r="I12" s="3178" t="s">
        <v>2933</v>
      </c>
      <c r="J12" s="3178" t="s">
        <v>2933</v>
      </c>
      <c r="K12" s="3174"/>
      <c r="L12" s="3175"/>
      <c r="M12" s="3176"/>
      <c r="N12" s="3175"/>
      <c r="O12" s="3178" t="s">
        <v>2934</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2935</v>
      </c>
      <c r="C13" s="3182">
        <v>42301</v>
      </c>
      <c r="D13" s="3183">
        <v>4.3499999999999996</v>
      </c>
      <c r="E13" s="3183">
        <v>4.3499999999999996</v>
      </c>
      <c r="F13" s="3183">
        <v>4.75</v>
      </c>
      <c r="G13" s="3183">
        <v>4.75</v>
      </c>
      <c r="H13" s="3183">
        <v>4.9000000000000004</v>
      </c>
      <c r="I13" s="3183">
        <v>2.75</v>
      </c>
      <c r="J13" s="3183">
        <v>3.25</v>
      </c>
      <c r="K13" s="3180"/>
      <c r="L13" s="3181" t="s">
        <v>2935</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2936</v>
      </c>
      <c r="Y42" s="3187" t="s">
        <v>2936</v>
      </c>
      <c r="Z42" s="3187" t="s">
        <v>2936</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2936</v>
      </c>
      <c r="Y43" s="3187" t="s">
        <v>2936</v>
      </c>
      <c r="Z43" s="3187" t="s">
        <v>2936</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2936</v>
      </c>
      <c r="Y44" s="3187" t="s">
        <v>2936</v>
      </c>
      <c r="Z44" s="3187" t="s">
        <v>2936</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2936</v>
      </c>
      <c r="Y45" s="3187" t="s">
        <v>2936</v>
      </c>
      <c r="Z45" s="3187" t="s">
        <v>2936</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2936</v>
      </c>
      <c r="Y46" s="3187" t="s">
        <v>2936</v>
      </c>
      <c r="Z46" s="3187" t="s">
        <v>2936</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2936</v>
      </c>
      <c r="Y47" s="3187" t="s">
        <v>2936</v>
      </c>
      <c r="Z47" s="3187" t="s">
        <v>2936</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2936</v>
      </c>
      <c r="Y48" s="3187" t="s">
        <v>2936</v>
      </c>
      <c r="Z48" s="3187" t="s">
        <v>2936</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2936</v>
      </c>
      <c r="Y49" s="3187" t="s">
        <v>2936</v>
      </c>
      <c r="Z49" s="3187" t="s">
        <v>2936</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2936</v>
      </c>
      <c r="Y50" s="3187" t="s">
        <v>2936</v>
      </c>
      <c r="Z50" s="3187" t="s">
        <v>2936</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2936</v>
      </c>
      <c r="V51" s="3187" t="s">
        <v>2936</v>
      </c>
      <c r="W51" s="3187" t="s">
        <v>2936</v>
      </c>
      <c r="X51" s="3187" t="s">
        <v>2936</v>
      </c>
      <c r="Y51" s="3187" t="s">
        <v>2936</v>
      </c>
      <c r="Z51" s="3187" t="s">
        <v>2936</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2936</v>
      </c>
      <c r="J55" s="3187" t="s">
        <v>2936</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1944</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1945</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1" t="str">
        <f>IF(项目基本情况!B9="房地产市场价值","估价结果一览表","结果表-2")</f>
        <v>结果表-2</v>
      </c>
      <c r="B1" s="3411"/>
      <c r="C1" s="3411"/>
      <c r="D1" s="3411"/>
      <c r="E1" s="3411"/>
      <c r="F1" s="3411"/>
      <c r="G1" s="3411"/>
      <c r="H1" s="3411"/>
      <c r="I1" s="3411"/>
    </row>
    <row r="2" spans="1:9" ht="30" customHeight="1" thickTop="1">
      <c r="A2" s="3412" t="s">
        <v>2874</v>
      </c>
      <c r="B2" s="3412" t="s">
        <v>2038</v>
      </c>
      <c r="C2" s="3412" t="s">
        <v>2039</v>
      </c>
      <c r="D2" s="3412" t="str">
        <f>结果表!D116</f>
        <v>出让国有建设用地使用权价值</v>
      </c>
      <c r="E2" s="3412"/>
      <c r="F2" s="3412" t="str">
        <f>结果表!F116</f>
        <v>在建建筑物价值</v>
      </c>
      <c r="G2" s="3412"/>
      <c r="H2" s="3412" t="str">
        <f>IF(项目基本情况!B9="房地产市场价值","房地产市场价值","房地产价值")</f>
        <v>房地产价值</v>
      </c>
      <c r="I2" s="3412"/>
    </row>
    <row r="3" spans="1:9" ht="14.25">
      <c r="A3" s="3406"/>
      <c r="B3" s="3406"/>
      <c r="C3" s="3406"/>
      <c r="D3" s="1911" t="s">
        <v>7</v>
      </c>
      <c r="E3" s="1911" t="s">
        <v>2040</v>
      </c>
      <c r="F3" s="1911" t="s">
        <v>7</v>
      </c>
      <c r="G3" s="1911" t="s">
        <v>8</v>
      </c>
      <c r="H3" s="1911" t="s">
        <v>7</v>
      </c>
      <c r="I3" s="1911" t="s">
        <v>8</v>
      </c>
    </row>
    <row r="4" spans="1:9" ht="28.5">
      <c r="A4" s="1981" t="str">
        <f>项目基本情况!S2</f>
        <v>北京市朝阳区亮马桥路32号房地产</v>
      </c>
      <c r="B4" s="1975">
        <f>项目基本情况!C17</f>
        <v>2099.0100000000002</v>
      </c>
      <c r="C4" s="1975">
        <f>项目基本情况!C18</f>
        <v>0</v>
      </c>
      <c r="D4" s="1975" t="e">
        <f ca="1">结果表!D118</f>
        <v>#REF!</v>
      </c>
      <c r="E4" s="1975" t="e">
        <f ca="1">结果表!E118</f>
        <v>#REF!</v>
      </c>
      <c r="F4" s="1975" t="e">
        <f ca="1">结果表!F118</f>
        <v>#REF!</v>
      </c>
      <c r="G4" s="1975" t="e">
        <f ca="1">结果表!G118</f>
        <v>#REF!</v>
      </c>
      <c r="H4" s="1975">
        <f ca="1">结果表!H118</f>
        <v>6914</v>
      </c>
      <c r="I4" s="1975">
        <f ca="1">结果表!I118</f>
        <v>32939</v>
      </c>
    </row>
    <row r="5" spans="1:9" ht="30" customHeight="1">
      <c r="A5" s="3406" t="s">
        <v>9</v>
      </c>
      <c r="B5" s="3406"/>
      <c r="C5" s="3406"/>
      <c r="D5" s="3407" t="e">
        <f ca="1">结果表!D119</f>
        <v>#REF!</v>
      </c>
      <c r="E5" s="3407"/>
      <c r="F5" s="3407" t="e">
        <f ca="1">结果表!F119</f>
        <v>#REF!</v>
      </c>
      <c r="G5" s="3407"/>
      <c r="H5" s="3407" t="str">
        <f ca="1">结果表!H119</f>
        <v>陆仟玖佰壹拾肆万元整</v>
      </c>
      <c r="I5" s="3407"/>
    </row>
    <row r="6" spans="1:9" ht="15.75">
      <c r="A6" s="3404" t="str">
        <f>结果表!A120</f>
        <v>估价师知悉的法定优先受偿款</v>
      </c>
      <c r="B6" s="3404"/>
      <c r="C6" s="3404"/>
      <c r="D6" s="3405">
        <f>结果表!D120</f>
        <v>0</v>
      </c>
      <c r="E6" s="3405"/>
      <c r="F6" s="3405"/>
      <c r="G6" s="3405"/>
      <c r="H6" s="3405"/>
      <c r="I6" s="3405"/>
    </row>
    <row r="7" spans="1:9" ht="14.25">
      <c r="A7" s="3406" t="s">
        <v>9</v>
      </c>
      <c r="B7" s="3406"/>
      <c r="C7" s="3406"/>
      <c r="D7" s="3408" t="str">
        <f>结果表!D121</f>
        <v>零元整</v>
      </c>
      <c r="E7" s="3409"/>
      <c r="F7" s="3409"/>
      <c r="G7" s="3409"/>
      <c r="H7" s="3409"/>
      <c r="I7" s="3410"/>
    </row>
    <row r="8" spans="1:9" ht="15.75">
      <c r="A8" s="3404" t="str">
        <f>结果表!A122</f>
        <v>房地产抵押价值</v>
      </c>
      <c r="B8" s="3404"/>
      <c r="C8" s="3404"/>
      <c r="D8" s="3405">
        <f ca="1">结果表!D122</f>
        <v>6914</v>
      </c>
      <c r="E8" s="3405"/>
      <c r="F8" s="3405"/>
      <c r="G8" s="3405"/>
      <c r="H8" s="3405"/>
      <c r="I8" s="3405"/>
    </row>
    <row r="9" spans="1:9" ht="14.25">
      <c r="A9" s="3406" t="s">
        <v>9</v>
      </c>
      <c r="B9" s="3406"/>
      <c r="C9" s="3406"/>
      <c r="D9" s="3407" t="str">
        <f ca="1">结果表!D123</f>
        <v>陆仟玖佰壹拾肆万元整</v>
      </c>
      <c r="E9" s="3407"/>
      <c r="F9" s="3407"/>
      <c r="G9" s="3407"/>
      <c r="H9" s="3407"/>
      <c r="I9" s="3407"/>
    </row>
    <row r="10" spans="1:9" ht="15.75">
      <c r="A10" s="3404" t="str">
        <f>结果表!A124</f>
        <v/>
      </c>
      <c r="B10" s="3404"/>
      <c r="C10" s="3404"/>
      <c r="D10" s="3405" t="str">
        <f>结果表!D124</f>
        <v>——</v>
      </c>
      <c r="E10" s="3405"/>
      <c r="F10" s="3405"/>
      <c r="G10" s="3405"/>
      <c r="H10" s="3405"/>
      <c r="I10" s="3405"/>
    </row>
    <row r="11" spans="1:9" ht="14.25">
      <c r="A11" s="3406" t="s">
        <v>9</v>
      </c>
      <c r="B11" s="3406"/>
      <c r="C11" s="3406"/>
      <c r="D11" s="3407" t="e">
        <f>结果表!D125</f>
        <v>#VALUE!</v>
      </c>
      <c r="E11" s="3407"/>
      <c r="F11" s="3407"/>
      <c r="G11" s="3407"/>
      <c r="H11" s="3407"/>
      <c r="I11" s="3407"/>
    </row>
    <row r="12" spans="1:9" ht="15.75">
      <c r="A12" s="3404" t="str">
        <f>结果表!A126</f>
        <v/>
      </c>
      <c r="B12" s="3404"/>
      <c r="C12" s="3404"/>
      <c r="D12" s="3405" t="str">
        <f>结果表!D126</f>
        <v>——</v>
      </c>
      <c r="E12" s="3405"/>
      <c r="F12" s="3405"/>
      <c r="G12" s="3405"/>
      <c r="H12" s="3405"/>
      <c r="I12" s="3405"/>
    </row>
    <row r="13" spans="1:9" ht="15" thickBot="1">
      <c r="A13" s="3401" t="s">
        <v>9</v>
      </c>
      <c r="B13" s="3401"/>
      <c r="C13" s="3401"/>
      <c r="D13" s="3402" t="e">
        <f>结果表!D127</f>
        <v>#VALUE!</v>
      </c>
      <c r="E13" s="3402"/>
      <c r="F13" s="3402"/>
      <c r="G13" s="3402"/>
      <c r="H13" s="3402"/>
      <c r="I13" s="3402"/>
    </row>
    <row r="14" spans="1:9" ht="14.25" thickTop="1">
      <c r="A14" s="3403" t="s">
        <v>2041</v>
      </c>
      <c r="B14" s="3403"/>
      <c r="C14" s="3403"/>
      <c r="D14" s="3403"/>
      <c r="E14" s="3403"/>
      <c r="F14" s="3403"/>
      <c r="G14" s="3403"/>
      <c r="H14" s="3403"/>
      <c r="I14" s="3403"/>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9" t="s">
        <v>2851</v>
      </c>
      <c r="B1" s="3419"/>
      <c r="C1" s="3419"/>
      <c r="D1" s="3419"/>
    </row>
    <row r="2" spans="1:4" ht="18.75">
      <c r="A2" s="3420" t="s">
        <v>2111</v>
      </c>
      <c r="B2" s="3420"/>
      <c r="C2" s="3420"/>
      <c r="D2" s="3420"/>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420" t="s">
        <v>2613</v>
      </c>
      <c r="B6" s="3420"/>
      <c r="C6" s="3420"/>
      <c r="D6" s="3420"/>
    </row>
    <row r="7" spans="1:4" ht="18.75">
      <c r="A7" s="2609" t="s">
        <v>2112</v>
      </c>
      <c r="B7" s="2610" t="s">
        <v>2117</v>
      </c>
      <c r="C7" s="2609" t="s">
        <v>2114</v>
      </c>
      <c r="D7" s="2609" t="s">
        <v>2115</v>
      </c>
    </row>
    <row r="8" spans="1:4" ht="56.25" customHeight="1">
      <c r="A8" s="2612" t="s">
        <v>2118</v>
      </c>
      <c r="B8" s="2612" t="s">
        <v>23</v>
      </c>
      <c r="C8" s="2613"/>
      <c r="D8" s="2611" t="s">
        <v>2116</v>
      </c>
    </row>
    <row r="9" spans="1:4">
      <c r="A9" s="1494"/>
      <c r="B9" s="1494"/>
      <c r="C9" s="1494"/>
      <c r="D9" s="1494"/>
    </row>
    <row r="10" spans="1:4" ht="18.75">
      <c r="A10" s="2092" t="s">
        <v>2119</v>
      </c>
      <c r="B10" s="1494"/>
      <c r="C10" s="1494"/>
      <c r="D10" s="1494"/>
    </row>
    <row r="11" spans="1:4" ht="30" customHeight="1">
      <c r="A11" s="3421" t="s">
        <v>2706</v>
      </c>
      <c r="B11" s="3413"/>
      <c r="C11" s="3413"/>
      <c r="D11" s="3413"/>
    </row>
    <row r="12" spans="1:4" ht="14.25">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spans="1:4" ht="30" customHeight="1">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spans="1:4" ht="15.75" customHeight="1">
      <c r="A14" s="3413" t="str">
        <f>IF(项目基本情况!B8="抵押","4.本次评估估价师所知悉的法定优先受偿款情况说明如下：","——")</f>
        <v>4.本次评估估价师所知悉的法定优先受偿款情况说明如下：</v>
      </c>
      <c r="B14" s="3418"/>
      <c r="C14" s="3418"/>
      <c r="D14" s="3418"/>
    </row>
    <row r="15" spans="1:4" ht="42" customHeight="1">
      <c r="A15" s="3413" t="str">
        <f>IF(项目基本情况!B8="抵押","（1）"&amp;CONCATENATE(项目基本情况!L20,项目基本情况!L21,项目基本情况!L22),"——")</f>
        <v>（1）根据估价对象《房屋所有权证》复印件、《国有土地使用权》复印件，截至价值时点，估价对象抵押权未见登记。</v>
      </c>
      <c r="B15" s="3413"/>
      <c r="C15" s="3413"/>
      <c r="D15" s="3413"/>
    </row>
    <row r="16" spans="1:4" ht="30" customHeight="1">
      <c r="A16" s="3415" t="s">
        <v>2123</v>
      </c>
      <c r="B16" s="3415"/>
      <c r="C16" s="3415"/>
      <c r="D16" s="3415"/>
    </row>
    <row r="17" spans="1:4" ht="144" customHeight="1">
      <c r="A17" s="3415" t="s">
        <v>2124</v>
      </c>
      <c r="B17" s="3415"/>
      <c r="C17" s="3415"/>
      <c r="D17" s="3415"/>
    </row>
    <row r="18" spans="1:4" ht="15.75" customHeight="1">
      <c r="A18" s="3413" t="str">
        <f>IF(项目基本情况!B8="抵押",结果表!K120,"——")</f>
        <v>故，本次评估不存在估价师知悉的法定优先受偿款</v>
      </c>
      <c r="B18" s="3413"/>
      <c r="C18" s="3413"/>
      <c r="D18" s="3413"/>
    </row>
    <row r="19" spans="1:4" ht="46.5" customHeight="1">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spans="1:4" ht="57.75" customHeight="1">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3"/>
      <c r="C20" s="3413"/>
      <c r="D20" s="3413"/>
    </row>
    <row r="21" spans="1:4" ht="57.75" customHeight="1">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6"/>
      <c r="C21" s="3416"/>
      <c r="D21" s="3416"/>
    </row>
    <row r="22" spans="1:4" ht="18.75" customHeight="1">
      <c r="A22" s="3417" t="s">
        <v>2872</v>
      </c>
      <c r="B22" s="3417"/>
      <c r="C22" s="3417"/>
      <c r="D22" s="3417"/>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14">
        <v>42551</v>
      </c>
      <c r="D31" s="341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8" t="s">
        <v>2127</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27" t="s">
        <v>556</v>
      </c>
      <c r="B15" s="3422" t="s">
        <v>1133</v>
      </c>
      <c r="C15" s="3423"/>
    </row>
    <row r="16" spans="1:7" ht="13.5">
      <c r="A16" s="3428"/>
      <c r="B16" s="3422" t="s">
        <v>529</v>
      </c>
      <c r="C16" s="3423"/>
    </row>
    <row r="17" spans="1:3" ht="13.5">
      <c r="A17" s="3428"/>
      <c r="B17" s="3425" t="s">
        <v>557</v>
      </c>
      <c r="C17" s="1150" t="s">
        <v>556</v>
      </c>
    </row>
    <row r="18" spans="1:3" ht="13.5">
      <c r="A18" s="3428"/>
      <c r="B18" s="3425"/>
      <c r="C18" s="1150" t="s">
        <v>558</v>
      </c>
    </row>
    <row r="19" spans="1:3" ht="13.5">
      <c r="A19" s="3428"/>
      <c r="B19" s="3425"/>
      <c r="C19" s="1150" t="s">
        <v>559</v>
      </c>
    </row>
    <row r="20" spans="1:3" ht="13.5">
      <c r="A20" s="3429"/>
      <c r="B20" s="3424" t="s">
        <v>560</v>
      </c>
      <c r="C20" s="3423"/>
    </row>
    <row r="21" spans="1:3" ht="13.5">
      <c r="A21" s="1151" t="s">
        <v>561</v>
      </c>
      <c r="B21" s="1152"/>
      <c r="C21" s="1153"/>
    </row>
    <row r="22" spans="1:3" ht="13.5">
      <c r="A22" s="3426" t="s">
        <v>562</v>
      </c>
      <c r="B22" s="3424" t="s">
        <v>563</v>
      </c>
      <c r="C22" s="3423"/>
    </row>
    <row r="23" spans="1:3" ht="13.5">
      <c r="A23" s="3426"/>
      <c r="B23" s="3424" t="s">
        <v>564</v>
      </c>
      <c r="C23" s="3423"/>
    </row>
    <row r="24" spans="1:3" ht="13.5">
      <c r="A24" s="3426"/>
      <c r="B24" s="3424" t="s">
        <v>565</v>
      </c>
      <c r="C24" s="3423"/>
    </row>
    <row r="25" spans="1:3" ht="13.5">
      <c r="A25" s="3426"/>
      <c r="B25" s="3425" t="s">
        <v>566</v>
      </c>
      <c r="C25" s="1150" t="s">
        <v>567</v>
      </c>
    </row>
    <row r="26" spans="1:3" ht="13.5">
      <c r="A26" s="3426"/>
      <c r="B26" s="3425"/>
      <c r="C26" s="1150" t="s">
        <v>568</v>
      </c>
    </row>
    <row r="27" spans="1:3" ht="13.5">
      <c r="A27" s="3426"/>
      <c r="B27" s="3425"/>
      <c r="C27" s="1150" t="s">
        <v>569</v>
      </c>
    </row>
    <row r="28" spans="1:3" ht="13.5">
      <c r="A28" s="3426"/>
      <c r="B28" s="3425"/>
      <c r="C28" s="1150" t="s">
        <v>570</v>
      </c>
    </row>
    <row r="29" spans="1:3" ht="13.5">
      <c r="A29" s="3426"/>
      <c r="B29" s="3425"/>
      <c r="C29" s="1150" t="s">
        <v>571</v>
      </c>
    </row>
    <row r="30" spans="1:3" ht="13.5">
      <c r="A30" s="3426"/>
      <c r="B30" s="3425"/>
      <c r="C30" s="1150" t="s">
        <v>572</v>
      </c>
    </row>
    <row r="31" spans="1:3" ht="13.5">
      <c r="A31" s="3426"/>
      <c r="B31" s="3425"/>
      <c r="C31" s="1150" t="s">
        <v>573</v>
      </c>
    </row>
    <row r="32" spans="1:3" ht="13.5">
      <c r="A32" s="3426"/>
      <c r="B32" s="3425"/>
      <c r="C32" s="1150" t="s">
        <v>574</v>
      </c>
    </row>
    <row r="33" spans="1:3" ht="13.5">
      <c r="A33" s="3426"/>
      <c r="B33" s="3425"/>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1966</v>
      </c>
      <c r="B2" s="1889">
        <f ca="1">TODAY()</f>
        <v>43018</v>
      </c>
      <c r="C2" s="1890" t="s">
        <v>1967</v>
      </c>
      <c r="D2" s="1890"/>
    </row>
    <row r="3" spans="1:6" ht="24" customHeight="1">
      <c r="A3" s="1891" t="s">
        <v>1968</v>
      </c>
      <c r="B3" s="1892" t="s">
        <v>1969</v>
      </c>
      <c r="C3" s="1892" t="s">
        <v>1970</v>
      </c>
      <c r="D3" s="1893" t="s">
        <v>1971</v>
      </c>
      <c r="E3" s="1894" t="s">
        <v>1972</v>
      </c>
      <c r="F3" s="1892" t="s">
        <v>1970</v>
      </c>
    </row>
    <row r="4" spans="1:6" ht="24" customHeight="1">
      <c r="A4" s="3202" t="s">
        <v>1973</v>
      </c>
      <c r="B4" s="1894">
        <f ca="1">IF(C4&lt;B2,"已过期",1119970066)</f>
        <v>1119970066</v>
      </c>
      <c r="C4" s="3203">
        <v>43849</v>
      </c>
      <c r="D4" s="3202" t="s">
        <v>1973</v>
      </c>
      <c r="E4" s="1894">
        <f ca="1">IF(F4&lt;B2,"已过期",96010014)</f>
        <v>96010014</v>
      </c>
      <c r="F4" s="1903">
        <v>47118</v>
      </c>
    </row>
    <row r="5" spans="1:6" ht="24" customHeight="1">
      <c r="A5" s="3202" t="s">
        <v>1974</v>
      </c>
      <c r="B5" s="1894">
        <f ca="1">IF(C5&lt;B2,"已过期",1119970074)</f>
        <v>1119970074</v>
      </c>
      <c r="C5" s="3203">
        <v>43849</v>
      </c>
      <c r="D5" s="3202" t="s">
        <v>1974</v>
      </c>
      <c r="E5" s="1894">
        <f ca="1">IF(F5&lt;B2,"已过期",2002110027)</f>
        <v>2002110027</v>
      </c>
      <c r="F5" s="1903">
        <v>46752</v>
      </c>
    </row>
    <row r="6" spans="1:6" ht="24" customHeight="1">
      <c r="A6" s="3202" t="s">
        <v>1975</v>
      </c>
      <c r="B6" s="1894">
        <f ca="1">IF(C6&lt;B2,"已过期",1119970111)</f>
        <v>1119970111</v>
      </c>
      <c r="C6" s="3203">
        <v>43849</v>
      </c>
      <c r="D6" s="3202" t="s">
        <v>1975</v>
      </c>
      <c r="E6" s="1894">
        <f ca="1">IF(F6&lt;B2,"已过期",94010078)</f>
        <v>94010078</v>
      </c>
      <c r="F6" s="1903">
        <v>46387</v>
      </c>
    </row>
    <row r="7" spans="1:6" ht="24" customHeight="1">
      <c r="A7" s="3202" t="s">
        <v>1976</v>
      </c>
      <c r="B7" s="1894">
        <f ca="1">IF(C7&lt;B2,"已过期",1120050019)</f>
        <v>1120050019</v>
      </c>
      <c r="C7" s="3203">
        <v>43359</v>
      </c>
      <c r="D7" s="3202" t="s">
        <v>1976</v>
      </c>
      <c r="E7" s="1894">
        <f ca="1">IF(F7&lt;B2,"已过期",2002110030)</f>
        <v>2002110030</v>
      </c>
      <c r="F7" s="1903">
        <v>46387</v>
      </c>
    </row>
    <row r="8" spans="1:6" ht="24" customHeight="1">
      <c r="A8" s="3202" t="s">
        <v>1977</v>
      </c>
      <c r="B8" s="1894">
        <f ca="1">IF(C8&lt;B2,"已过期",1120000080)</f>
        <v>1120000080</v>
      </c>
      <c r="C8" s="3203">
        <v>43849</v>
      </c>
      <c r="D8" s="3202" t="s">
        <v>1977</v>
      </c>
      <c r="E8" s="1894">
        <f ca="1">IF(F8&lt;B2,"已过期",2000110082)</f>
        <v>2000110082</v>
      </c>
      <c r="F8" s="1903">
        <v>46387</v>
      </c>
    </row>
    <row r="9" spans="1:6" ht="24" customHeight="1">
      <c r="A9" s="3202" t="s">
        <v>1978</v>
      </c>
      <c r="B9" s="1894">
        <f ca="1">IF(C9&lt;B2,"已过期",1419970001)</f>
        <v>1419970001</v>
      </c>
      <c r="C9" s="3203">
        <v>43867</v>
      </c>
      <c r="D9" s="3202" t="s">
        <v>1978</v>
      </c>
      <c r="E9" s="1894">
        <f ca="1">IF(F9&lt;B2,"已过期",2002110125)</f>
        <v>2002110125</v>
      </c>
      <c r="F9" s="1903">
        <v>47118</v>
      </c>
    </row>
    <row r="10" spans="1:6" ht="24" customHeight="1">
      <c r="A10" s="3202" t="s">
        <v>1979</v>
      </c>
      <c r="B10" s="1894">
        <f ca="1">IF(C10&lt;B2,"已过期",1120060040)</f>
        <v>1120060040</v>
      </c>
      <c r="C10" s="3203">
        <v>43483</v>
      </c>
      <c r="D10" s="3202" t="s">
        <v>1979</v>
      </c>
      <c r="E10" s="1894">
        <f ca="1">IF(F10&lt;B2,"已过期",2004110096)</f>
        <v>2004110096</v>
      </c>
      <c r="F10" s="1903">
        <v>47118</v>
      </c>
    </row>
    <row r="11" spans="1:6" ht="24" customHeight="1">
      <c r="A11" s="3202" t="s">
        <v>1980</v>
      </c>
      <c r="B11" s="1894">
        <f ca="1">IF(C11&lt;B2,"已过期",1120100036)</f>
        <v>1120100036</v>
      </c>
      <c r="C11" s="3203">
        <v>43622</v>
      </c>
      <c r="D11" s="3202" t="s">
        <v>1980</v>
      </c>
      <c r="E11" s="1894">
        <f ca="1">IF(F11&lt;B2,"已过期",2010110070)</f>
        <v>2010110070</v>
      </c>
      <c r="F11" s="1903">
        <v>47907</v>
      </c>
    </row>
    <row r="12" spans="1:6" ht="24" customHeight="1">
      <c r="A12" s="3202"/>
      <c r="B12" s="1894"/>
      <c r="C12" s="3203"/>
      <c r="D12" s="3202"/>
      <c r="E12" s="1894"/>
      <c r="F12" s="1894"/>
    </row>
    <row r="13" spans="1:6" ht="24" customHeight="1">
      <c r="A13" s="3202" t="s">
        <v>1981</v>
      </c>
      <c r="B13" s="1894">
        <f ca="1">IF(C13&lt;B2,"已过期",1120070131)</f>
        <v>1120070131</v>
      </c>
      <c r="C13" s="3203">
        <v>43814</v>
      </c>
      <c r="D13" s="3202" t="s">
        <v>1981</v>
      </c>
      <c r="E13" s="1894">
        <v>2014110011</v>
      </c>
      <c r="F13" s="1903">
        <v>49302</v>
      </c>
    </row>
    <row r="14" spans="1:6" ht="24" customHeight="1">
      <c r="A14" s="3202" t="s">
        <v>1982</v>
      </c>
      <c r="B14" s="1894">
        <f ca="1">IF(C14&lt;B2,"已过期",1120130020)</f>
        <v>1120130020</v>
      </c>
      <c r="C14" s="3203">
        <v>43622</v>
      </c>
      <c r="D14" s="3202"/>
      <c r="E14" s="1894"/>
      <c r="F14" s="1894"/>
    </row>
    <row r="15" spans="1:6" ht="24" customHeight="1">
      <c r="A15" s="3204" t="s">
        <v>2704</v>
      </c>
      <c r="B15" s="1894">
        <v>1120070085</v>
      </c>
      <c r="C15" s="3203">
        <v>43814</v>
      </c>
      <c r="D15" s="3204" t="s">
        <v>2704</v>
      </c>
      <c r="E15" s="1894">
        <v>2004110128</v>
      </c>
      <c r="F15" s="1895">
        <v>47118</v>
      </c>
    </row>
    <row r="16" spans="1:6" ht="24" customHeight="1">
      <c r="A16" s="3202" t="s">
        <v>1983</v>
      </c>
      <c r="B16" s="1894" t="str">
        <f ca="1">IF(C16&lt;B2,"已过期",1120140022)</f>
        <v>已过期</v>
      </c>
      <c r="C16" s="3203">
        <v>42987</v>
      </c>
      <c r="D16" s="3202" t="s">
        <v>1983</v>
      </c>
      <c r="E16" s="1894">
        <f ca="1">IF(F16&lt;B2,"已过期",2008110059)</f>
        <v>2008110059</v>
      </c>
      <c r="F16" s="1903">
        <v>47177</v>
      </c>
    </row>
    <row r="17" spans="1:7" ht="24" customHeight="1">
      <c r="A17" s="3202" t="s">
        <v>1984</v>
      </c>
      <c r="B17" s="1894" t="str">
        <f ca="1">IF(C17&lt;B2,"已过期",1120140020)</f>
        <v>已过期</v>
      </c>
      <c r="C17" s="3203">
        <v>42987</v>
      </c>
      <c r="D17" s="3202"/>
      <c r="E17" s="1894"/>
      <c r="F17" s="1903"/>
    </row>
    <row r="18" spans="1:7" ht="24" customHeight="1">
      <c r="A18" s="3202" t="s">
        <v>1985</v>
      </c>
      <c r="B18" s="1894" t="str">
        <f ca="1">IF(C18&lt;B2,"已过期",1120140024)</f>
        <v>已过期</v>
      </c>
      <c r="C18" s="3203">
        <v>42987</v>
      </c>
      <c r="D18" s="3202" t="s">
        <v>1985</v>
      </c>
      <c r="E18" s="1894">
        <f ca="1">IF(F18&lt;B2,"已过期",2011110048)</f>
        <v>2011110048</v>
      </c>
      <c r="F18" s="1903">
        <v>48302</v>
      </c>
    </row>
    <row r="19" spans="1:7" ht="24" customHeight="1">
      <c r="A19" s="3202" t="s">
        <v>1986</v>
      </c>
      <c r="B19" s="1894" t="str">
        <f ca="1">IF(C19&lt;B2,"已过期",1120140019)</f>
        <v>已过期</v>
      </c>
      <c r="C19" s="3203">
        <v>42987</v>
      </c>
      <c r="D19" s="3202"/>
      <c r="E19" s="1894"/>
      <c r="F19" s="1894"/>
    </row>
    <row r="20" spans="1:7" ht="24" customHeight="1">
      <c r="A20" s="3202" t="s">
        <v>1987</v>
      </c>
      <c r="B20" s="1894" t="str">
        <f ca="1">IF(C20&lt;B2,"已过期",1120140023)</f>
        <v>已过期</v>
      </c>
      <c r="C20" s="3203">
        <v>42987</v>
      </c>
      <c r="D20" s="3202"/>
      <c r="E20" s="1894"/>
      <c r="F20" s="1894"/>
    </row>
    <row r="21" spans="1:7" ht="24" customHeight="1">
      <c r="A21" s="3202"/>
      <c r="B21" s="1894"/>
      <c r="C21" s="3203"/>
      <c r="D21" s="3202" t="s">
        <v>1988</v>
      </c>
      <c r="E21" s="1894">
        <f ca="1">IF(F21&lt;B2,"已过期",2011110090)</f>
        <v>2011110090</v>
      </c>
      <c r="F21" s="1903">
        <v>48302</v>
      </c>
    </row>
    <row r="22" spans="1:7" ht="24" customHeight="1">
      <c r="A22" s="3202" t="s">
        <v>1989</v>
      </c>
      <c r="B22" s="1894">
        <f ca="1">IF(C22&lt;B2,"已过期",1120020033)</f>
        <v>1120020033</v>
      </c>
      <c r="C22" s="3203">
        <v>43304</v>
      </c>
      <c r="D22" s="3202" t="s">
        <v>1989</v>
      </c>
      <c r="E22" s="1894">
        <f ca="1">IF(F22&lt;B2,"已过期",2000110137)</f>
        <v>2000110137</v>
      </c>
      <c r="F22" s="1903">
        <v>46387</v>
      </c>
    </row>
    <row r="23" spans="1:7" ht="24" customHeight="1">
      <c r="A23" s="3202" t="s">
        <v>1990</v>
      </c>
      <c r="B23" s="1894">
        <f ca="1">IF(C23&lt;B2,"已过期",1120130048)</f>
        <v>1120130048</v>
      </c>
      <c r="C23" s="3203">
        <v>43686</v>
      </c>
      <c r="D23" s="3202"/>
      <c r="E23" s="1894"/>
      <c r="F23" s="1894"/>
    </row>
    <row r="24" spans="1:7" s="1896" customFormat="1" ht="24" customHeight="1">
      <c r="A24" s="3204" t="s">
        <v>2938</v>
      </c>
      <c r="B24" s="3204" t="s">
        <v>2938</v>
      </c>
      <c r="C24" s="3204" t="s">
        <v>2938</v>
      </c>
      <c r="D24" s="3204" t="s">
        <v>2938</v>
      </c>
      <c r="E24" s="3204" t="s">
        <v>2938</v>
      </c>
      <c r="F24" s="3204" t="s">
        <v>2938</v>
      </c>
    </row>
    <row r="25" spans="1:7" ht="24" customHeight="1">
      <c r="A25" s="3430" t="s">
        <v>1991</v>
      </c>
      <c r="B25" s="3430"/>
      <c r="C25" s="3430"/>
      <c r="D25" s="3430"/>
      <c r="E25" s="3430"/>
      <c r="F25" s="3430"/>
      <c r="G25" s="3430"/>
    </row>
    <row r="26" spans="1:7" s="1898" customFormat="1" ht="24" customHeight="1">
      <c r="A26" s="3431" t="s">
        <v>1992</v>
      </c>
      <c r="B26" s="3431"/>
      <c r="C26" s="3431"/>
      <c r="D26" s="1897"/>
      <c r="E26" s="3431" t="s">
        <v>1993</v>
      </c>
      <c r="F26" s="3431"/>
      <c r="G26" s="3431"/>
    </row>
    <row r="27" spans="1:7" s="1900" customFormat="1" ht="24" customHeight="1">
      <c r="A27" s="1899" t="s">
        <v>1994</v>
      </c>
      <c r="B27" s="1892" t="s">
        <v>1995</v>
      </c>
      <c r="C27" s="1892" t="s">
        <v>1996</v>
      </c>
      <c r="D27" s="1892"/>
      <c r="E27" s="1894" t="s">
        <v>1994</v>
      </c>
      <c r="F27" s="1892" t="s">
        <v>1995</v>
      </c>
      <c r="G27" s="1892" t="s">
        <v>1996</v>
      </c>
    </row>
    <row r="28" spans="1:7" s="1900" customFormat="1" ht="24" customHeight="1">
      <c r="A28" s="1901" t="s">
        <v>1997</v>
      </c>
      <c r="B28" s="1902" t="s">
        <v>1998</v>
      </c>
      <c r="C28" s="1903">
        <v>43725</v>
      </c>
      <c r="D28" s="1903"/>
      <c r="E28" s="1901" t="s">
        <v>1999</v>
      </c>
      <c r="F28" s="1901" t="s">
        <v>2000</v>
      </c>
      <c r="G28" s="2111">
        <v>44377</v>
      </c>
    </row>
    <row r="29" spans="1:7" s="1900" customFormat="1" ht="24" customHeight="1">
      <c r="A29" s="1901"/>
      <c r="B29" s="1901"/>
      <c r="C29" s="1904"/>
      <c r="D29" s="1904"/>
      <c r="E29" s="1901" t="s">
        <v>2001</v>
      </c>
      <c r="F29" s="2437" t="s">
        <v>3049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收益法-2层</vt:lpstr>
      <vt:lpstr>收益法-1层</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'收益法-1层'!Print_Area</vt:lpstr>
      <vt:lpstr>'收益法-2层'!Print_Area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2017-10-10T02:38:04Z</dcterms:modified>
</cp:coreProperties>
</file>