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高斓大厦\"/>
    </mc:Choice>
  </mc:AlternateContent>
  <bookViews>
    <workbookView xWindow="480" yWindow="210" windowWidth="12120" windowHeight="7620" tabRatio="938" firstSheet="9" activeTab="4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Sheet1" sheetId="80" state="hidden"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78" r:id="rId24"/>
    <sheet name="收益法-2层" sheetId="77" state="hidden" r:id="rId25"/>
    <sheet name="收益法-1层" sheetId="15"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1层" sheetId="79" state="hidden" r:id="rId37"/>
    <sheet name="基准地价修正-2层"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3">收益法!$A$1:$AK$69</definedName>
    <definedName name="_xlnm.Print_Area" localSheetId="26">'收益法 (元)'!$A$1:$AK$69</definedName>
    <definedName name="_xlnm.Print_Area" localSheetId="25">'收益法-1层'!$A$1:$AK$69</definedName>
    <definedName name="_xlnm.Print_Area" localSheetId="24">'收益法-2层'!$A$1:$AK$69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'基准地价修正-1层'!$Q$19:$AD$19</definedName>
    <definedName name="季度">'基准地价修正-2层'!$Q$19:$AD$19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16" i="74" l="1"/>
  <c r="G15" i="74" l="1"/>
  <c r="B10" i="80"/>
  <c r="C10" i="80"/>
  <c r="A10" i="80"/>
  <c r="B25" i="31" l="1"/>
  <c r="A44" i="31"/>
  <c r="A26" i="31"/>
  <c r="A27" i="31"/>
  <c r="A28" i="31"/>
  <c r="A29" i="31"/>
  <c r="A30" i="31"/>
  <c r="A31" i="31"/>
  <c r="A32" i="31"/>
  <c r="A33" i="31"/>
  <c r="A34" i="31"/>
  <c r="A35" i="31"/>
  <c r="A36" i="31"/>
  <c r="A37" i="31"/>
  <c r="A38" i="31"/>
  <c r="A39" i="31"/>
  <c r="A40" i="31"/>
  <c r="A41" i="31"/>
  <c r="A42" i="31"/>
  <c r="A43" i="31"/>
  <c r="A25" i="31"/>
  <c r="B26" i="31"/>
  <c r="B27" i="31"/>
  <c r="B28" i="31"/>
  <c r="B30" i="31"/>
  <c r="B33" i="31"/>
  <c r="B36" i="31"/>
  <c r="B42" i="31"/>
  <c r="B44" i="31"/>
  <c r="B24" i="31"/>
  <c r="I48" i="34" l="1"/>
  <c r="G48" i="34"/>
  <c r="E48" i="34"/>
  <c r="A24" i="31" l="1"/>
  <c r="C42" i="34"/>
  <c r="C37" i="34"/>
  <c r="C25" i="34"/>
  <c r="I37" i="34"/>
  <c r="I25" i="34"/>
  <c r="G25" i="34"/>
  <c r="E25" i="34"/>
  <c r="F19" i="6"/>
  <c r="F113" i="79" l="1"/>
  <c r="N99" i="79"/>
  <c r="N108" i="79" s="1"/>
  <c r="M99" i="79"/>
  <c r="L99" i="79"/>
  <c r="K99" i="79"/>
  <c r="J99" i="79"/>
  <c r="J108" i="79" s="1"/>
  <c r="I99" i="79"/>
  <c r="H99" i="79"/>
  <c r="G99" i="79"/>
  <c r="F99" i="79"/>
  <c r="F108" i="79" s="1"/>
  <c r="E99" i="79"/>
  <c r="D99" i="79"/>
  <c r="C99" i="79"/>
  <c r="M88" i="79"/>
  <c r="N88" i="79" s="1"/>
  <c r="K88" i="79"/>
  <c r="J88" i="79" s="1"/>
  <c r="D88" i="79"/>
  <c r="M87" i="79"/>
  <c r="N87" i="79" s="1"/>
  <c r="K87" i="79"/>
  <c r="J87" i="79"/>
  <c r="D87" i="79"/>
  <c r="M86" i="79"/>
  <c r="N86" i="79" s="1"/>
  <c r="K86" i="79"/>
  <c r="J86" i="79"/>
  <c r="D86" i="79"/>
  <c r="N85" i="79"/>
  <c r="M85" i="79"/>
  <c r="K85" i="79"/>
  <c r="J85" i="79" s="1"/>
  <c r="D85" i="79"/>
  <c r="M84" i="79"/>
  <c r="N84" i="79" s="1"/>
  <c r="K84" i="79"/>
  <c r="J84" i="79"/>
  <c r="D84" i="79"/>
  <c r="B84" i="79"/>
  <c r="N83" i="79"/>
  <c r="M83" i="79"/>
  <c r="K83" i="79"/>
  <c r="J83" i="79" s="1"/>
  <c r="D83" i="79"/>
  <c r="B83" i="79"/>
  <c r="M82" i="79"/>
  <c r="N82" i="79" s="1"/>
  <c r="K82" i="79"/>
  <c r="J82" i="79"/>
  <c r="D82" i="79"/>
  <c r="N81" i="79"/>
  <c r="M81" i="79"/>
  <c r="K81" i="79"/>
  <c r="J81" i="79" s="1"/>
  <c r="F81" i="79"/>
  <c r="H87" i="79" s="1"/>
  <c r="D81" i="79"/>
  <c r="M78" i="79"/>
  <c r="N78" i="79" s="1"/>
  <c r="K78" i="79"/>
  <c r="J78" i="79" s="1"/>
  <c r="D78" i="79"/>
  <c r="M77" i="79"/>
  <c r="N77" i="79" s="1"/>
  <c r="K77" i="79"/>
  <c r="J77" i="79" s="1"/>
  <c r="D77" i="79"/>
  <c r="M76" i="79"/>
  <c r="N76" i="79" s="1"/>
  <c r="K76" i="79"/>
  <c r="J76" i="79"/>
  <c r="D76" i="79"/>
  <c r="M75" i="79"/>
  <c r="N75" i="79" s="1"/>
  <c r="K75" i="79"/>
  <c r="J75" i="79"/>
  <c r="D75" i="79"/>
  <c r="M74" i="79"/>
  <c r="N74" i="79" s="1"/>
  <c r="K74" i="79"/>
  <c r="J74" i="79" s="1"/>
  <c r="D74" i="79"/>
  <c r="M73" i="79"/>
  <c r="N73" i="79" s="1"/>
  <c r="K73" i="79"/>
  <c r="J73" i="79"/>
  <c r="D73" i="79"/>
  <c r="M72" i="79"/>
  <c r="N72" i="79" s="1"/>
  <c r="K72" i="79"/>
  <c r="J72" i="79" s="1"/>
  <c r="D72" i="79"/>
  <c r="B72" i="79"/>
  <c r="M71" i="79"/>
  <c r="N71" i="79" s="1"/>
  <c r="K71" i="79"/>
  <c r="J71" i="79"/>
  <c r="D71" i="79"/>
  <c r="M70" i="79"/>
  <c r="N70" i="79" s="1"/>
  <c r="K70" i="79"/>
  <c r="J70" i="79" s="1"/>
  <c r="F70" i="79"/>
  <c r="H76" i="79" s="1"/>
  <c r="D70" i="79"/>
  <c r="N67" i="79"/>
  <c r="M67" i="79"/>
  <c r="K67" i="79"/>
  <c r="J67" i="79" s="1"/>
  <c r="D67" i="79"/>
  <c r="M66" i="79"/>
  <c r="N66" i="79" s="1"/>
  <c r="K66" i="79"/>
  <c r="J66" i="79"/>
  <c r="D66" i="79"/>
  <c r="N65" i="79"/>
  <c r="M65" i="79"/>
  <c r="K65" i="79"/>
  <c r="J65" i="79" s="1"/>
  <c r="D65" i="79"/>
  <c r="M64" i="79"/>
  <c r="N64" i="79" s="1"/>
  <c r="K64" i="79"/>
  <c r="J64" i="79"/>
  <c r="D64" i="79"/>
  <c r="M63" i="79"/>
  <c r="N63" i="79" s="1"/>
  <c r="K63" i="79"/>
  <c r="J63" i="79" s="1"/>
  <c r="D63" i="79"/>
  <c r="N62" i="79"/>
  <c r="M62" i="79"/>
  <c r="K62" i="79"/>
  <c r="J62" i="79" s="1"/>
  <c r="D62" i="79"/>
  <c r="N61" i="79"/>
  <c r="M61" i="79"/>
  <c r="K61" i="79"/>
  <c r="J61" i="79" s="1"/>
  <c r="D61" i="79"/>
  <c r="B61" i="79"/>
  <c r="M60" i="79"/>
  <c r="N60" i="79" s="1"/>
  <c r="K60" i="79"/>
  <c r="J60" i="79"/>
  <c r="D60" i="79"/>
  <c r="N59" i="79"/>
  <c r="M59" i="79"/>
  <c r="K59" i="79"/>
  <c r="J59" i="79" s="1"/>
  <c r="F59" i="79"/>
  <c r="H66" i="79" s="1"/>
  <c r="D59" i="79"/>
  <c r="M56" i="79"/>
  <c r="N56" i="79" s="1"/>
  <c r="K56" i="79"/>
  <c r="J56" i="79" s="1"/>
  <c r="D56" i="79"/>
  <c r="M55" i="79"/>
  <c r="N55" i="79" s="1"/>
  <c r="K55" i="79"/>
  <c r="J55" i="79"/>
  <c r="D55" i="79"/>
  <c r="M54" i="79"/>
  <c r="N54" i="79" s="1"/>
  <c r="K54" i="79"/>
  <c r="J54" i="79" s="1"/>
  <c r="M53" i="79"/>
  <c r="N53" i="79" s="1"/>
  <c r="K53" i="79"/>
  <c r="J53" i="79" s="1"/>
  <c r="D53" i="79"/>
  <c r="M52" i="79"/>
  <c r="N52" i="79" s="1"/>
  <c r="K52" i="79"/>
  <c r="J52" i="79"/>
  <c r="D52" i="79"/>
  <c r="M51" i="79"/>
  <c r="N51" i="79" s="1"/>
  <c r="K51" i="79"/>
  <c r="J51" i="79" s="1"/>
  <c r="D51" i="79"/>
  <c r="M50" i="79"/>
  <c r="N50" i="79" s="1"/>
  <c r="K50" i="79"/>
  <c r="J50" i="79" s="1"/>
  <c r="D50" i="79"/>
  <c r="B50" i="79"/>
  <c r="M49" i="79"/>
  <c r="N49" i="79" s="1"/>
  <c r="K49" i="79"/>
  <c r="J49" i="79"/>
  <c r="D49" i="79"/>
  <c r="M48" i="79"/>
  <c r="N48" i="79" s="1"/>
  <c r="K48" i="79"/>
  <c r="J48" i="79" s="1"/>
  <c r="B48" i="79"/>
  <c r="H39" i="79"/>
  <c r="H38" i="79"/>
  <c r="H37" i="79"/>
  <c r="H36" i="79"/>
  <c r="H35" i="79"/>
  <c r="H34" i="79"/>
  <c r="H33" i="79"/>
  <c r="J20" i="79"/>
  <c r="I19" i="79"/>
  <c r="C18" i="79"/>
  <c r="F15" i="79"/>
  <c r="E15" i="79"/>
  <c r="D15" i="79"/>
  <c r="C15" i="79"/>
  <c r="AH12" i="79"/>
  <c r="AD12" i="79"/>
  <c r="Z12" i="79"/>
  <c r="Y12" i="79"/>
  <c r="C12"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A7" i="79"/>
  <c r="I2" i="79"/>
  <c r="M12" i="79" s="1"/>
  <c r="G2" i="79"/>
  <c r="M1" i="79"/>
  <c r="Q72" i="78"/>
  <c r="F61" i="78"/>
  <c r="Q59" i="78"/>
  <c r="F59" i="78"/>
  <c r="Q58" i="78"/>
  <c r="Q51" i="78"/>
  <c r="J50" i="78"/>
  <c r="M47" i="78"/>
  <c r="D46" i="78"/>
  <c r="F33" i="78"/>
  <c r="F31" i="78"/>
  <c r="F23" i="78"/>
  <c r="F21" i="78"/>
  <c r="F20" i="78"/>
  <c r="M19" i="78"/>
  <c r="F18" i="78"/>
  <c r="M17" i="78"/>
  <c r="F17" i="78"/>
  <c r="F15" i="78"/>
  <c r="Q72" i="77"/>
  <c r="Q59" i="77"/>
  <c r="F59" i="77"/>
  <c r="Q58" i="77"/>
  <c r="Q51" i="77"/>
  <c r="J50" i="77"/>
  <c r="M47" i="77"/>
  <c r="D46" i="77"/>
  <c r="F33" i="77"/>
  <c r="F61" i="77" s="1"/>
  <c r="F31" i="77"/>
  <c r="F23" i="77"/>
  <c r="D24" i="77" s="1"/>
  <c r="D23" i="77"/>
  <c r="D22" i="77"/>
  <c r="F21" i="77"/>
  <c r="F20" i="77"/>
  <c r="M19" i="77"/>
  <c r="F18" i="77"/>
  <c r="M17" i="77"/>
  <c r="F17" i="77"/>
  <c r="F15" i="77"/>
  <c r="N6" i="1"/>
  <c r="Y6" i="1" s="1"/>
  <c r="D29" i="43"/>
  <c r="D29" i="79"/>
  <c r="D1" i="79" s="1"/>
  <c r="AB12" i="79" l="1"/>
  <c r="AF12" i="79"/>
  <c r="AJ12" i="79"/>
  <c r="D54" i="79"/>
  <c r="E81" i="79"/>
  <c r="B79" i="79" s="1"/>
  <c r="E59" i="79"/>
  <c r="B57" i="79" s="1"/>
  <c r="E70" i="79"/>
  <c r="B68" i="79" s="1"/>
  <c r="H81" i="79"/>
  <c r="D48" i="79"/>
  <c r="E48" i="79"/>
  <c r="B46" i="79" s="1"/>
  <c r="C24" i="79" s="1"/>
  <c r="N100" i="79"/>
  <c r="F100" i="79"/>
  <c r="H62" i="79"/>
  <c r="H59" i="79"/>
  <c r="H67" i="79"/>
  <c r="H85" i="79"/>
  <c r="X7" i="79"/>
  <c r="G17" i="79"/>
  <c r="H72" i="79"/>
  <c r="H77" i="79"/>
  <c r="C17" i="79"/>
  <c r="I17" i="79"/>
  <c r="H61" i="79"/>
  <c r="H65" i="79"/>
  <c r="H70" i="79"/>
  <c r="H74" i="79"/>
  <c r="H78" i="79"/>
  <c r="H83" i="79"/>
  <c r="H88" i="79"/>
  <c r="E11" i="79"/>
  <c r="E10" i="79"/>
  <c r="E9" i="79"/>
  <c r="E8" i="79"/>
  <c r="M10" i="79"/>
  <c r="AA10" i="79"/>
  <c r="AC10" i="79"/>
  <c r="AE10" i="79"/>
  <c r="AG10" i="79"/>
  <c r="AI10" i="79"/>
  <c r="M11" i="79"/>
  <c r="N12" i="79"/>
  <c r="N2" i="79"/>
  <c r="M3" i="79"/>
  <c r="C6" i="79" s="1"/>
  <c r="N4" i="79"/>
  <c r="M5" i="79"/>
  <c r="M6" i="79"/>
  <c r="N7" i="79"/>
  <c r="N8" i="79"/>
  <c r="N9" i="79"/>
  <c r="N1" i="79"/>
  <c r="H113" i="79"/>
  <c r="F39" i="79"/>
  <c r="F38" i="79"/>
  <c r="F37" i="79"/>
  <c r="F36" i="79"/>
  <c r="F35" i="79"/>
  <c r="F34" i="79"/>
  <c r="F33" i="79"/>
  <c r="M2" i="79"/>
  <c r="N3" i="79"/>
  <c r="F48" i="79" s="1"/>
  <c r="M4" i="79"/>
  <c r="N5" i="79"/>
  <c r="N6" i="79"/>
  <c r="M7" i="79"/>
  <c r="M8" i="79"/>
  <c r="M9" i="79"/>
  <c r="N10" i="79"/>
  <c r="N11" i="79"/>
  <c r="E17" i="79"/>
  <c r="H17" i="79"/>
  <c r="J17" i="79"/>
  <c r="D108" i="79"/>
  <c r="D100" i="79"/>
  <c r="H108" i="79"/>
  <c r="H100" i="79"/>
  <c r="L108" i="79"/>
  <c r="L100" i="79"/>
  <c r="J100" i="79"/>
  <c r="H60" i="79"/>
  <c r="H63" i="79"/>
  <c r="H64" i="79"/>
  <c r="H71" i="79"/>
  <c r="H73" i="79"/>
  <c r="H75" i="79"/>
  <c r="H82" i="79"/>
  <c r="H84" i="79"/>
  <c r="H86" i="79"/>
  <c r="C108" i="79"/>
  <c r="C100" i="79"/>
  <c r="E108" i="79"/>
  <c r="E100" i="79"/>
  <c r="G108" i="79"/>
  <c r="G100" i="79"/>
  <c r="I108" i="79"/>
  <c r="I100" i="79"/>
  <c r="K108" i="79"/>
  <c r="K100" i="79"/>
  <c r="M108" i="79"/>
  <c r="M100" i="79"/>
  <c r="D23" i="78"/>
  <c r="D22" i="78"/>
  <c r="D24" i="78"/>
  <c r="H55" i="79" l="1"/>
  <c r="H56" i="79"/>
  <c r="H51" i="79"/>
  <c r="H48" i="79"/>
  <c r="H54" i="79"/>
  <c r="H50" i="79"/>
  <c r="H52" i="79"/>
  <c r="H49" i="79"/>
  <c r="H53" i="79"/>
  <c r="C16" i="79"/>
  <c r="D5" i="79" s="1"/>
  <c r="C7" i="79"/>
  <c r="C5" i="79" s="1"/>
  <c r="G39" i="79"/>
  <c r="I39" i="79" s="1"/>
  <c r="A21" i="62" l="1"/>
  <c r="A20" i="62"/>
  <c r="A22" i="51"/>
  <c r="A21" i="51"/>
  <c r="A20" i="51"/>
  <c r="A14" i="62" l="1"/>
  <c r="A13" i="62"/>
  <c r="A2" i="53"/>
  <c r="A19" i="62" l="1"/>
  <c r="A12" i="62"/>
  <c r="A120" i="9"/>
  <c r="H2" i="52"/>
  <c r="A1" i="52"/>
  <c r="A3" i="53"/>
  <c r="L5" i="71" l="1"/>
  <c r="Q5" i="71" s="1"/>
  <c r="K5" i="71"/>
  <c r="P5" i="71" s="1"/>
  <c r="J5" i="71"/>
  <c r="O5" i="71" s="1"/>
  <c r="I5" i="71"/>
  <c r="N5" i="71" s="1"/>
  <c r="A15" i="51" l="1"/>
  <c r="B9" i="76"/>
  <c r="E12" i="76"/>
  <c r="E8" i="76"/>
  <c r="E13" i="76"/>
  <c r="B13" i="76"/>
  <c r="E11" i="76"/>
  <c r="E10" i="76"/>
  <c r="B8" i="76"/>
  <c r="B12" i="76"/>
  <c r="B10" i="76"/>
  <c r="B11" i="76"/>
  <c r="E9" i="76"/>
  <c r="C76" i="9" l="1"/>
  <c r="I107" i="40" l="1"/>
  <c r="K6" i="4" l="1"/>
  <c r="B22" i="31" l="1"/>
  <c r="N56" i="9" l="1"/>
  <c r="M56" i="9"/>
  <c r="K56" i="9"/>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6" i="73"/>
  <c r="D7" i="73"/>
  <c r="F4" i="73"/>
  <c r="F3" i="73"/>
  <c r="I1" i="73" l="1"/>
  <c r="B39" i="1" s="1"/>
  <c r="D5" i="73"/>
  <c r="D3" i="73"/>
  <c r="D4" i="73"/>
  <c r="D6" i="73"/>
  <c r="E20" i="79" l="1"/>
  <c r="N17" i="79" s="1"/>
  <c r="E20" i="43"/>
  <c r="P17" i="79"/>
  <c r="F11" i="78"/>
  <c r="M11" i="78"/>
  <c r="M11" i="77"/>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O17" i="79" l="1"/>
  <c r="M17" i="79"/>
  <c r="G20" i="79" s="1"/>
  <c r="C53"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B17" i="71"/>
  <c r="B18" i="71" s="1"/>
  <c r="B19" i="71" s="1"/>
  <c r="S19" i="71" s="1"/>
  <c r="X16" i="71"/>
  <c r="E17" i="71"/>
  <c r="E18" i="71" s="1"/>
  <c r="E19" i="71" s="1"/>
  <c r="U19" i="71" s="1"/>
  <c r="AA16" i="71"/>
  <c r="N47" i="71"/>
  <c r="C13" i="71"/>
  <c r="Y12" i="71"/>
  <c r="Z12" i="71" s="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M19" i="79" l="1"/>
  <c r="M19" i="43"/>
  <c r="C5" i="7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E21" i="34" s="1"/>
  <c r="G21" i="34" s="1"/>
  <c r="I21" i="34" s="1"/>
  <c r="Q21" i="33"/>
  <c r="Z21" i="33" s="1"/>
  <c r="D83" i="33"/>
  <c r="E83" i="33" s="1"/>
  <c r="C21" i="33"/>
  <c r="C21" i="21"/>
  <c r="Q21" i="21"/>
  <c r="Z21" i="21" s="1"/>
  <c r="H19" i="21"/>
  <c r="D83" i="21"/>
  <c r="F21" i="21" s="1"/>
  <c r="AA21" i="21" s="1"/>
  <c r="D81" i="21"/>
  <c r="G20" i="20"/>
  <c r="C22" i="20"/>
  <c r="AO10" i="1"/>
  <c r="AO12" i="1"/>
  <c r="AO13" i="1"/>
  <c r="AO11" i="1"/>
  <c r="AO9" i="1"/>
  <c r="B55" i="79" l="1"/>
  <c r="B75" i="79"/>
  <c r="B66" i="79"/>
  <c r="B86" i="43"/>
  <c r="B86" i="79"/>
  <c r="B10" i="70"/>
  <c r="B11"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D6" i="31"/>
  <c r="E6" i="31" s="1"/>
  <c r="F6" i="31" s="1"/>
  <c r="G6" i="31" s="1"/>
  <c r="H6" i="31" s="1"/>
  <c r="I6" i="31" s="1"/>
  <c r="J6" i="31" s="1"/>
  <c r="K6" i="31" s="1"/>
  <c r="L6" i="31" s="1"/>
  <c r="M6" i="31" s="1"/>
  <c r="N6" i="31" s="1"/>
  <c r="O6" i="31" s="1"/>
  <c r="P6" i="31" s="1"/>
  <c r="Q6" i="31" s="1"/>
  <c r="R6" i="31" s="1"/>
  <c r="S6" i="31" s="1"/>
  <c r="B2" i="1"/>
  <c r="F15" i="4"/>
  <c r="F6" i="1" s="1"/>
  <c r="I20" i="79" s="1"/>
  <c r="C20" i="79" s="1"/>
  <c r="F8" i="1"/>
  <c r="F9" i="1"/>
  <c r="F10" i="1"/>
  <c r="F11" i="1"/>
  <c r="F12" i="1"/>
  <c r="F13" i="1"/>
  <c r="G13" i="1" s="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5" i="31"/>
  <c r="R46" i="31"/>
  <c r="S46" i="31" s="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AZ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6" i="31"/>
  <c r="G40"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A494" i="3" s="1"/>
  <c r="AZ494" i="3" s="1"/>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L496" i="3" s="1"/>
  <c r="AZ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L506" i="3" s="1"/>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AZ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L542" i="3" s="1"/>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D111" i="33"/>
  <c r="E111" i="33" s="1"/>
  <c r="F111" i="33" s="1"/>
  <c r="S515" i="31"/>
  <c r="S517" i="31"/>
  <c r="S519" i="31"/>
  <c r="S521" i="31"/>
  <c r="S523"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H40" i="40"/>
  <c r="AB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J13" i="39" s="1"/>
  <c r="W13" i="39" s="1"/>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F105" i="37" s="1"/>
  <c r="G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AC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D78" i="36"/>
  <c r="E78" i="36" s="1"/>
  <c r="F78" i="36" s="1"/>
  <c r="G78" i="36" s="1"/>
  <c r="H78" i="36" s="1"/>
  <c r="I78" i="36" s="1"/>
  <c r="J78" i="36" s="1"/>
  <c r="K78" i="36" s="1"/>
  <c r="L78" i="36" s="1"/>
  <c r="M78" i="36" s="1"/>
  <c r="B75" i="36"/>
  <c r="B73" i="36"/>
  <c r="J24" i="36" s="1"/>
  <c r="AC24" i="36" s="1"/>
  <c r="B71" i="36"/>
  <c r="D70" i="36"/>
  <c r="H22" i="36"/>
  <c r="AB22" i="36" s="1"/>
  <c r="D68" i="36"/>
  <c r="E68" i="36"/>
  <c r="D64" i="36"/>
  <c r="E64" i="36"/>
  <c r="F64" i="36" s="1"/>
  <c r="G64" i="36" s="1"/>
  <c r="J16" i="36"/>
  <c r="W16" i="36" s="1"/>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AA35" i="35" s="1"/>
  <c r="B97" i="35"/>
  <c r="H34" i="35" s="1"/>
  <c r="B77" i="35"/>
  <c r="B75" i="35"/>
  <c r="J24" i="35" s="1"/>
  <c r="AC24" i="35" s="1"/>
  <c r="B73" i="35"/>
  <c r="B57" i="35"/>
  <c r="B61" i="35"/>
  <c r="J13" i="35" s="1"/>
  <c r="AC13" i="35" s="1"/>
  <c r="B59" i="35"/>
  <c r="J12" i="35" s="1"/>
  <c r="W12" i="35" s="1"/>
  <c r="B131" i="34"/>
  <c r="B129" i="34"/>
  <c r="B127" i="34"/>
  <c r="J45" i="34" s="1"/>
  <c r="W45" i="34" s="1"/>
  <c r="B99" i="34"/>
  <c r="B97" i="34"/>
  <c r="B95" i="34"/>
  <c r="B93" i="34"/>
  <c r="F29" i="34" s="1"/>
  <c r="S29" i="34" s="1"/>
  <c r="B75" i="34"/>
  <c r="B73" i="34"/>
  <c r="B71" i="34"/>
  <c r="H12" i="34" s="1"/>
  <c r="B130" i="33"/>
  <c r="F46" i="33" s="1"/>
  <c r="AA46" i="33" s="1"/>
  <c r="B128" i="33"/>
  <c r="B126" i="33"/>
  <c r="B98" i="33"/>
  <c r="B96" i="33"/>
  <c r="F30" i="33" s="1"/>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E15" i="34" s="1"/>
  <c r="G15" i="34" s="1"/>
  <c r="I15" i="34" s="1"/>
  <c r="F67" i="34"/>
  <c r="G67" i="34" s="1"/>
  <c r="D126" i="34"/>
  <c r="D124" i="34"/>
  <c r="E124" i="34" s="1"/>
  <c r="F124" i="34" s="1"/>
  <c r="G124" i="34" s="1"/>
  <c r="H124" i="34" s="1"/>
  <c r="I124" i="34" s="1"/>
  <c r="J124" i="34" s="1"/>
  <c r="K124" i="34" s="1"/>
  <c r="L124" i="34" s="1"/>
  <c r="M124" i="34" s="1"/>
  <c r="D118" i="34"/>
  <c r="D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D86" i="34"/>
  <c r="E86" i="34" s="1"/>
  <c r="F86" i="34" s="1"/>
  <c r="G86" i="34" s="1"/>
  <c r="D82" i="34"/>
  <c r="E82" i="34" s="1"/>
  <c r="F82" i="34" s="1"/>
  <c r="G82" i="34" s="1"/>
  <c r="D80" i="34"/>
  <c r="E80" i="34" s="1"/>
  <c r="F80" i="34" s="1"/>
  <c r="G80" i="34" s="1"/>
  <c r="D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E23" i="34" s="1"/>
  <c r="G23" i="34" s="1"/>
  <c r="I23" i="34" s="1"/>
  <c r="Q19" i="34"/>
  <c r="Z19" i="34" s="1"/>
  <c r="C19" i="34"/>
  <c r="E19" i="34" s="1"/>
  <c r="G19" i="34" s="1"/>
  <c r="I19" i="34" s="1"/>
  <c r="Q17" i="34"/>
  <c r="Z17" i="34" s="1"/>
  <c r="C17" i="34"/>
  <c r="E17" i="34" s="1"/>
  <c r="G17" i="34" s="1"/>
  <c r="I17" i="34" s="1"/>
  <c r="Q15" i="34"/>
  <c r="Z15" i="34" s="1"/>
  <c r="Q14" i="34"/>
  <c r="Z14" i="34" s="1"/>
  <c r="Q13" i="34"/>
  <c r="Z13" i="34" s="1"/>
  <c r="Q12" i="34"/>
  <c r="Z12" i="34" s="1"/>
  <c r="J12" i="34"/>
  <c r="W12" i="34" s="1"/>
  <c r="F12" i="34"/>
  <c r="S12" i="34" s="1"/>
  <c r="Q11" i="34"/>
  <c r="Z11" i="34" s="1"/>
  <c r="Q10" i="34"/>
  <c r="Z10" i="34" s="1"/>
  <c r="F10" i="34"/>
  <c r="AA10" i="34" s="1"/>
  <c r="Q9" i="34"/>
  <c r="Z9" i="34" s="1"/>
  <c r="H9" i="34"/>
  <c r="J8" i="34"/>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B96" i="21"/>
  <c r="H30" i="21" s="1"/>
  <c r="U30" i="21" s="1"/>
  <c r="B94" i="21"/>
  <c r="B92" i="21"/>
  <c r="F28" i="21" s="1"/>
  <c r="AA28" i="21" s="1"/>
  <c r="B90" i="2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H36" i="39"/>
  <c r="AB36" i="39" s="1"/>
  <c r="J35" i="39"/>
  <c r="AC35" i="39" s="1"/>
  <c r="F35" i="39"/>
  <c r="W40" i="39"/>
  <c r="W25" i="37"/>
  <c r="W31" i="37"/>
  <c r="F29" i="36"/>
  <c r="AA29" i="36" s="1"/>
  <c r="W8" i="36"/>
  <c r="F16" i="36"/>
  <c r="AA16" i="36" s="1"/>
  <c r="U9" i="36"/>
  <c r="S30" i="36"/>
  <c r="AA31" i="36"/>
  <c r="W31" i="36"/>
  <c r="J33" i="36"/>
  <c r="W33" i="36" s="1"/>
  <c r="H22" i="35"/>
  <c r="AB22" i="35" s="1"/>
  <c r="AC27" i="35"/>
  <c r="W28" i="35"/>
  <c r="U31" i="35"/>
  <c r="W22" i="35"/>
  <c r="S31" i="35"/>
  <c r="F36" i="34"/>
  <c r="J35" i="34"/>
  <c r="S34" i="34"/>
  <c r="H39" i="33"/>
  <c r="AB39" i="33" s="1"/>
  <c r="F26" i="33"/>
  <c r="AA26" i="33" s="1"/>
  <c r="U35" i="33"/>
  <c r="S27" i="35"/>
  <c r="F11" i="40"/>
  <c r="AA11" i="40" s="1"/>
  <c r="H11" i="40"/>
  <c r="AB11" i="40" s="1"/>
  <c r="AA9" i="40"/>
  <c r="AC9" i="40"/>
  <c r="S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S34" i="21"/>
  <c r="C21" i="39"/>
  <c r="H11" i="39"/>
  <c r="S19" i="39"/>
  <c r="H32" i="33"/>
  <c r="AB32" i="33" s="1"/>
  <c r="H11" i="21"/>
  <c r="J11" i="21"/>
  <c r="W11" i="21" s="1"/>
  <c r="H37" i="40"/>
  <c r="U37" i="40" s="1"/>
  <c r="H36" i="40"/>
  <c r="AB36" i="40" s="1"/>
  <c r="F35" i="40"/>
  <c r="AA35" i="40" s="1"/>
  <c r="H23" i="40"/>
  <c r="AB23" i="40" s="1"/>
  <c r="H17" i="40"/>
  <c r="U17" i="40" s="1"/>
  <c r="J15" i="40"/>
  <c r="W15" i="40" s="1"/>
  <c r="J11" i="40"/>
  <c r="AB8" i="39"/>
  <c r="AB12" i="33"/>
  <c r="AC12" i="34"/>
  <c r="AB12" i="35"/>
  <c r="J34" i="36"/>
  <c r="J30" i="35"/>
  <c r="W30" i="35" s="1"/>
  <c r="H30" i="35"/>
  <c r="AB30" i="35" s="1"/>
  <c r="F22" i="35"/>
  <c r="AA22" i="35" s="1"/>
  <c r="H10" i="35"/>
  <c r="U10" i="35" s="1"/>
  <c r="AC16" i="36"/>
  <c r="F33" i="36"/>
  <c r="AA33" i="36" s="1"/>
  <c r="W30" i="36"/>
  <c r="H16" i="36"/>
  <c r="AB16" i="36" s="1"/>
  <c r="J29" i="36"/>
  <c r="AC29" i="36" s="1"/>
  <c r="F24" i="36"/>
  <c r="AA24" i="36" s="1"/>
  <c r="S10" i="36"/>
  <c r="S8" i="36"/>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B34" i="37"/>
  <c r="J33" i="37"/>
  <c r="AC33" i="37" s="1"/>
  <c r="U42" i="34"/>
  <c r="E114" i="34"/>
  <c r="F114" i="34" s="1"/>
  <c r="G114" i="34" s="1"/>
  <c r="H114" i="34" s="1"/>
  <c r="I114" i="34" s="1"/>
  <c r="J114" i="34" s="1"/>
  <c r="K114" i="34" s="1"/>
  <c r="L114" i="34" s="1"/>
  <c r="M114" i="34" s="1"/>
  <c r="H36" i="34"/>
  <c r="U36" i="34" s="1"/>
  <c r="F37" i="34"/>
  <c r="AA37" i="34" s="1"/>
  <c r="S35" i="34"/>
  <c r="F27" i="34"/>
  <c r="AA27" i="34" s="1"/>
  <c r="H23" i="34"/>
  <c r="J23" i="34"/>
  <c r="F19" i="34"/>
  <c r="H17" i="34"/>
  <c r="U17" i="34" s="1"/>
  <c r="F15" i="34"/>
  <c r="AA15" i="34" s="1"/>
  <c r="H15" i="34"/>
  <c r="AB15" i="34" s="1"/>
  <c r="F41"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B30" i="36"/>
  <c r="U30" i="35"/>
  <c r="F29" i="35"/>
  <c r="H29" i="35"/>
  <c r="AB29" i="35" s="1"/>
  <c r="H33" i="37"/>
  <c r="AB33" i="37" s="1"/>
  <c r="F33" i="37"/>
  <c r="AA33" i="37" s="1"/>
  <c r="U34" i="37"/>
  <c r="S34" i="37"/>
  <c r="AA34" i="37"/>
  <c r="AB42" i="34"/>
  <c r="J40" i="34"/>
  <c r="H38" i="34"/>
  <c r="AB38" i="34" s="1"/>
  <c r="J36" i="34"/>
  <c r="W36" i="34" s="1"/>
  <c r="H37" i="34"/>
  <c r="U37" i="34" s="1"/>
  <c r="F23" i="34"/>
  <c r="AA23" i="34" s="1"/>
  <c r="J19" i="34"/>
  <c r="AC19" i="34" s="1"/>
  <c r="F17" i="34"/>
  <c r="AA17" i="34" s="1"/>
  <c r="J17" i="34"/>
  <c r="W17" i="34" s="1"/>
  <c r="AB17" i="34"/>
  <c r="H37" i="33"/>
  <c r="AB37" i="33" s="1"/>
  <c r="H15" i="33"/>
  <c r="AB15" i="33" s="1"/>
  <c r="H11" i="33"/>
  <c r="AB11" i="33" s="1"/>
  <c r="F28" i="40"/>
  <c r="AA28" i="40" s="1"/>
  <c r="AA42" i="34"/>
  <c r="S42" i="34"/>
  <c r="AA38" i="34"/>
  <c r="J37" i="34"/>
  <c r="J11" i="33"/>
  <c r="W11" i="33" s="1"/>
  <c r="S28" i="34"/>
  <c r="G123" i="21"/>
  <c r="H123" i="21" s="1"/>
  <c r="I123" i="21" s="1"/>
  <c r="J123" i="21" s="1"/>
  <c r="K123" i="21" s="1"/>
  <c r="L123" i="21" s="1"/>
  <c r="M123" i="21" s="1"/>
  <c r="J42" i="21"/>
  <c r="AC42" i="21" s="1"/>
  <c r="H42" i="21"/>
  <c r="U42" i="21" s="1"/>
  <c r="F44" i="34"/>
  <c r="J10" i="35"/>
  <c r="W10" i="35" s="1"/>
  <c r="F14" i="21"/>
  <c r="S14" i="21" s="1"/>
  <c r="H28" i="21"/>
  <c r="AB28" i="21" s="1"/>
  <c r="J28" i="21"/>
  <c r="F30" i="21"/>
  <c r="S30" i="21" s="1"/>
  <c r="J44" i="21"/>
  <c r="AC44" i="21" s="1"/>
  <c r="F44" i="21"/>
  <c r="AA44" i="21" s="1"/>
  <c r="J46" i="21"/>
  <c r="W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J31" i="21"/>
  <c r="AC31" i="21" s="1"/>
  <c r="F27" i="33"/>
  <c r="AA27" i="33" s="1"/>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J32" i="36"/>
  <c r="J11" i="36"/>
  <c r="AC11" i="36" s="1"/>
  <c r="H11" i="36"/>
  <c r="U11" i="36" s="1"/>
  <c r="F11" i="36"/>
  <c r="H13" i="36"/>
  <c r="AB13" i="36" s="1"/>
  <c r="J13" i="36"/>
  <c r="AC13" i="36" s="1"/>
  <c r="F13" i="36"/>
  <c r="S13" i="36" s="1"/>
  <c r="J29" i="37"/>
  <c r="W29" i="37" s="1"/>
  <c r="F29" i="37"/>
  <c r="S29" i="37" s="1"/>
  <c r="H36" i="37"/>
  <c r="AB36" i="37" s="1"/>
  <c r="F107" i="37"/>
  <c r="J37" i="37"/>
  <c r="AC37" i="37" s="1"/>
  <c r="H37" i="37"/>
  <c r="U37" i="37" s="1"/>
  <c r="J40" i="37"/>
  <c r="AC12" i="40"/>
  <c r="F14" i="33"/>
  <c r="S14" i="33" s="1"/>
  <c r="H30" i="33"/>
  <c r="J30" i="33"/>
  <c r="J44" i="33"/>
  <c r="AC44" i="33" s="1"/>
  <c r="J46" i="33"/>
  <c r="AC46" i="33" s="1"/>
  <c r="H46" i="33"/>
  <c r="AB46" i="33" s="1"/>
  <c r="J13" i="34"/>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J13" i="40"/>
  <c r="W13" i="40" s="1"/>
  <c r="F14" i="37"/>
  <c r="S14" i="37" s="1"/>
  <c r="H13" i="39"/>
  <c r="H14" i="40"/>
  <c r="AB14" i="40" s="1"/>
  <c r="J14" i="40"/>
  <c r="W14" i="40" s="1"/>
  <c r="F14" i="40"/>
  <c r="J14" i="37"/>
  <c r="AC14" i="37" s="1"/>
  <c r="AA47" i="34"/>
  <c r="U46" i="33"/>
  <c r="AA14" i="33"/>
  <c r="J36" i="37"/>
  <c r="AC36" i="37" s="1"/>
  <c r="AB11" i="36"/>
  <c r="J10" i="36"/>
  <c r="AC10" i="36" s="1"/>
  <c r="AB26" i="33"/>
  <c r="AB30" i="21"/>
  <c r="AA14" i="37"/>
  <c r="W13" i="36"/>
  <c r="W11" i="35"/>
  <c r="AB46" i="34"/>
  <c r="AC30" i="34"/>
  <c r="S45" i="33"/>
  <c r="AB45" i="33"/>
  <c r="AB31" i="33"/>
  <c r="U31" i="33"/>
  <c r="W29" i="33"/>
  <c r="U13" i="33"/>
  <c r="F17" i="21"/>
  <c r="AA17" i="21" s="1"/>
  <c r="H17" i="21"/>
  <c r="AB17" i="21" s="1"/>
  <c r="F15" i="21"/>
  <c r="S15" i="21" s="1"/>
  <c r="J41" i="39"/>
  <c r="W41" i="39" s="1"/>
  <c r="W35" i="39"/>
  <c r="G536" i="3"/>
  <c r="G528" i="3"/>
  <c r="G514" i="3"/>
  <c r="G500" i="3"/>
  <c r="G584" i="3"/>
  <c r="G576" i="3"/>
  <c r="G568" i="3"/>
  <c r="G560" i="3"/>
  <c r="BL584" i="3"/>
  <c r="BL580" i="3"/>
  <c r="BL576" i="3"/>
  <c r="BL572" i="3"/>
  <c r="BL568" i="3"/>
  <c r="BL564" i="3"/>
  <c r="BL560" i="3"/>
  <c r="BL554" i="3"/>
  <c r="BL546" i="3"/>
  <c r="BL538" i="3"/>
  <c r="BL530" i="3"/>
  <c r="BL522" i="3"/>
  <c r="BL512" i="3"/>
  <c r="BL502" i="3"/>
  <c r="BL494" i="3"/>
  <c r="BL582" i="3"/>
  <c r="BL578" i="3"/>
  <c r="BL574" i="3"/>
  <c r="BL570" i="3"/>
  <c r="BL566" i="3"/>
  <c r="BL562" i="3"/>
  <c r="BL556" i="3"/>
  <c r="BL552" i="3"/>
  <c r="BL540" i="3"/>
  <c r="G533" i="3"/>
  <c r="G529" i="3"/>
  <c r="G525" i="3"/>
  <c r="BL518" i="3"/>
  <c r="BL510" i="3"/>
  <c r="BL500" i="3"/>
  <c r="G493" i="3"/>
  <c r="BA584" i="3"/>
  <c r="BA582" i="3"/>
  <c r="BA580" i="3"/>
  <c r="BA578" i="3"/>
  <c r="AZ578" i="3" s="1"/>
  <c r="BA576" i="3"/>
  <c r="BA574" i="3"/>
  <c r="BA572" i="3"/>
  <c r="BA570" i="3"/>
  <c r="AZ570" i="3" s="1"/>
  <c r="BA568" i="3"/>
  <c r="BA566" i="3"/>
  <c r="BA564" i="3"/>
  <c r="BA562" i="3"/>
  <c r="AZ562" i="3" s="1"/>
  <c r="BA560" i="3"/>
  <c r="BA558" i="3"/>
  <c r="BA556" i="3"/>
  <c r="AZ556" i="3" s="1"/>
  <c r="BA554" i="3"/>
  <c r="BA552" i="3"/>
  <c r="BA548" i="3"/>
  <c r="BA544" i="3"/>
  <c r="BA540" i="3"/>
  <c r="AZ540" i="3" s="1"/>
  <c r="BA536" i="3"/>
  <c r="BA532" i="3"/>
  <c r="AZ532" i="3" s="1"/>
  <c r="BA530" i="3"/>
  <c r="AZ530" i="3" s="1"/>
  <c r="BA526" i="3"/>
  <c r="BA522" i="3"/>
  <c r="BA518" i="3"/>
  <c r="AZ518" i="3" s="1"/>
  <c r="BA516" i="3"/>
  <c r="BA512" i="3"/>
  <c r="AZ512" i="3" s="1"/>
  <c r="BA508" i="3"/>
  <c r="BA504" i="3"/>
  <c r="BA500" i="3"/>
  <c r="AZ500" i="3" s="1"/>
  <c r="BA496" i="3"/>
  <c r="BA587" i="3"/>
  <c r="BA583" i="3"/>
  <c r="BA581" i="3"/>
  <c r="BA579" i="3"/>
  <c r="BA577" i="3"/>
  <c r="BA575" i="3"/>
  <c r="BA573" i="3"/>
  <c r="BA571" i="3"/>
  <c r="BA569" i="3"/>
  <c r="BA567" i="3"/>
  <c r="BA565" i="3"/>
  <c r="BA563" i="3"/>
  <c r="BA561" i="3"/>
  <c r="BA559" i="3"/>
  <c r="BA555" i="3"/>
  <c r="BA553" i="3"/>
  <c r="BA549" i="3"/>
  <c r="BA545" i="3"/>
  <c r="BA541" i="3"/>
  <c r="BA537" i="3"/>
  <c r="BA533" i="3"/>
  <c r="BA529" i="3"/>
  <c r="BA525" i="3"/>
  <c r="BA519" i="3"/>
  <c r="BA515" i="3"/>
  <c r="BA511" i="3"/>
  <c r="BA505" i="3"/>
  <c r="BA501" i="3"/>
  <c r="BA497" i="3"/>
  <c r="BA493" i="3"/>
  <c r="AZ493" i="3" s="1"/>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7" i="3"/>
  <c r="G543" i="3"/>
  <c r="G539" i="3"/>
  <c r="BQ555" i="3"/>
  <c r="BL555" i="3" s="1"/>
  <c r="BQ553" i="3"/>
  <c r="BL553" i="3" s="1"/>
  <c r="AZ553" i="3" s="1"/>
  <c r="BQ551" i="3"/>
  <c r="BL551" i="3" s="1"/>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G521" i="3" s="1"/>
  <c r="BQ521" i="3"/>
  <c r="BL520" i="3"/>
  <c r="G517" i="3"/>
  <c r="G513" i="3"/>
  <c r="BQ519" i="3"/>
  <c r="BL519" i="3" s="1"/>
  <c r="BQ517" i="3"/>
  <c r="BQ515" i="3"/>
  <c r="BL515" i="3" s="1"/>
  <c r="BQ513" i="3"/>
  <c r="BQ511" i="3"/>
  <c r="BL511" i="3" s="1"/>
  <c r="AC509" i="3"/>
  <c r="BQ509" i="3"/>
  <c r="BL509" i="3"/>
  <c r="G505" i="3"/>
  <c r="G501" i="3"/>
  <c r="G497" i="3"/>
  <c r="BQ507" i="3"/>
  <c r="BL507" i="3" s="1"/>
  <c r="BQ505" i="3"/>
  <c r="BQ503" i="3"/>
  <c r="BL503" i="3" s="1"/>
  <c r="BQ501" i="3"/>
  <c r="BQ499" i="3"/>
  <c r="BL499" i="3" s="1"/>
  <c r="BQ497" i="3"/>
  <c r="BQ495" i="3"/>
  <c r="BL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3" i="36"/>
  <c r="U35" i="35"/>
  <c r="U33" i="37"/>
  <c r="W26" i="37"/>
  <c r="AC8" i="37"/>
  <c r="U26" i="37"/>
  <c r="AC36" i="34"/>
  <c r="AA13" i="33"/>
  <c r="AC45" i="33"/>
  <c r="W44" i="33"/>
  <c r="U11" i="33"/>
  <c r="U19" i="21"/>
  <c r="U26" i="21"/>
  <c r="U12" i="21"/>
  <c r="F43" i="33"/>
  <c r="AA43" i="33" s="1"/>
  <c r="W16" i="35"/>
  <c r="G107" i="37"/>
  <c r="H107" i="37" s="1"/>
  <c r="I107" i="37" s="1"/>
  <c r="J107" i="37" s="1"/>
  <c r="K107" i="37" s="1"/>
  <c r="L107" i="37" s="1"/>
  <c r="M107" i="37" s="1"/>
  <c r="H37" i="21"/>
  <c r="U37" i="21" s="1"/>
  <c r="S42" i="21"/>
  <c r="H19" i="34"/>
  <c r="AB19" i="34"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C12" i="43"/>
  <c r="H19" i="40"/>
  <c r="U19" i="40" s="1"/>
  <c r="F19" i="40"/>
  <c r="S19" i="40" s="1"/>
  <c r="AC13" i="40"/>
  <c r="AB33" i="40"/>
  <c r="W23" i="39"/>
  <c r="W43" i="39"/>
  <c r="AB45" i="39"/>
  <c r="H25" i="39"/>
  <c r="AB25" i="39" s="1"/>
  <c r="J25" i="39"/>
  <c r="F25" i="39"/>
  <c r="AA25" i="39" s="1"/>
  <c r="F15" i="39"/>
  <c r="AA15" i="39" s="1"/>
  <c r="H15" i="39"/>
  <c r="U15" i="39" s="1"/>
  <c r="J15" i="39"/>
  <c r="W15" i="39" s="1"/>
  <c r="F89" i="39"/>
  <c r="G89" i="39" s="1"/>
  <c r="H41" i="39"/>
  <c r="W12" i="39"/>
  <c r="W27" i="39"/>
  <c r="AB34" i="39"/>
  <c r="U40" i="39"/>
  <c r="S42" i="39"/>
  <c r="W14"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522"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AZ132" i="3" s="1"/>
  <c r="G133" i="3"/>
  <c r="BA135" i="3"/>
  <c r="AZ135" i="3" s="1"/>
  <c r="BL136" i="3"/>
  <c r="G137" i="3"/>
  <c r="BA139" i="3"/>
  <c r="AZ139" i="3" s="1"/>
  <c r="BL140" i="3"/>
  <c r="G141" i="3"/>
  <c r="BA143" i="3"/>
  <c r="AZ143" i="3" s="1"/>
  <c r="BL144" i="3"/>
  <c r="G145" i="3"/>
  <c r="BA147" i="3"/>
  <c r="BL148" i="3"/>
  <c r="G149" i="3"/>
  <c r="BA151" i="3"/>
  <c r="BL152" i="3"/>
  <c r="AZ152" i="3" s="1"/>
  <c r="G153" i="3"/>
  <c r="BA155" i="3"/>
  <c r="BL156" i="3"/>
  <c r="G157" i="3"/>
  <c r="BA159" i="3"/>
  <c r="AZ159" i="3" s="1"/>
  <c r="BL160" i="3"/>
  <c r="G161" i="3"/>
  <c r="BA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BL188" i="3"/>
  <c r="AZ188" i="3" s="1"/>
  <c r="G189" i="3"/>
  <c r="BA191" i="3"/>
  <c r="BL192" i="3"/>
  <c r="G193" i="3"/>
  <c r="BA195" i="3"/>
  <c r="BL196" i="3"/>
  <c r="G197" i="3"/>
  <c r="BA199" i="3"/>
  <c r="BL200" i="3"/>
  <c r="G201" i="3"/>
  <c r="BA203" i="3"/>
  <c r="BL204" i="3"/>
  <c r="AZ39" i="3"/>
  <c r="AZ51" i="3"/>
  <c r="AZ55" i="3"/>
  <c r="AZ79" i="3"/>
  <c r="AZ83" i="3"/>
  <c r="AZ144" i="3"/>
  <c r="AZ192" i="3"/>
  <c r="AZ85" i="3"/>
  <c r="AZ89" i="3"/>
  <c r="AZ105"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AZ382" i="3" s="1"/>
  <c r="G383" i="3"/>
  <c r="G386" i="3"/>
  <c r="BL387" i="3"/>
  <c r="BA389" i="3"/>
  <c r="AZ389" i="3" s="1"/>
  <c r="BA390" i="3"/>
  <c r="BL390" i="3"/>
  <c r="G391" i="3"/>
  <c r="G394" i="3"/>
  <c r="AZ158" i="3"/>
  <c r="AZ182" i="3"/>
  <c r="BL303" i="3"/>
  <c r="G304" i="3"/>
  <c r="BA306" i="3"/>
  <c r="AZ306" i="3"/>
  <c r="BL307" i="3"/>
  <c r="AZ307" i="3"/>
  <c r="G308" i="3"/>
  <c r="BA310" i="3"/>
  <c r="BL311" i="3"/>
  <c r="G312" i="3"/>
  <c r="BA314" i="3"/>
  <c r="AZ314" i="3" s="1"/>
  <c r="BL315" i="3"/>
  <c r="G316" i="3"/>
  <c r="BA318" i="3"/>
  <c r="AZ318" i="3" s="1"/>
  <c r="BL319" i="3"/>
  <c r="G320" i="3"/>
  <c r="BA322" i="3"/>
  <c r="BL323" i="3"/>
  <c r="G324" i="3"/>
  <c r="BA326" i="3"/>
  <c r="BL327" i="3"/>
  <c r="AZ327" i="3" s="1"/>
  <c r="G328" i="3"/>
  <c r="BA330" i="3"/>
  <c r="AZ330" i="3" s="1"/>
  <c r="BL331" i="3"/>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BL374" i="3"/>
  <c r="G375" i="3"/>
  <c r="BA377" i="3"/>
  <c r="AZ377" i="3" s="1"/>
  <c r="AZ241" i="3"/>
  <c r="AZ245" i="3"/>
  <c r="AZ249" i="3"/>
  <c r="AZ253" i="3"/>
  <c r="AZ269" i="3"/>
  <c r="BA379" i="3"/>
  <c r="AZ379" i="3" s="1"/>
  <c r="BL380" i="3"/>
  <c r="G381" i="3"/>
  <c r="BA383" i="3"/>
  <c r="BL384" i="3"/>
  <c r="G385" i="3"/>
  <c r="BA387" i="3"/>
  <c r="AZ387" i="3" s="1"/>
  <c r="BL388" i="3"/>
  <c r="G389" i="3"/>
  <c r="BA391" i="3"/>
  <c r="BL392" i="3"/>
  <c r="G393" i="3"/>
  <c r="AZ295" i="3"/>
  <c r="BO5" i="3"/>
  <c r="AZ341" i="3"/>
  <c r="G548" i="3"/>
  <c r="G538" i="3"/>
  <c r="G520" i="3"/>
  <c r="G502" i="3"/>
  <c r="AZ343" i="3"/>
  <c r="G17" i="3"/>
  <c r="AZ380" i="3"/>
  <c r="AZ388" i="3"/>
  <c r="AZ392" i="3"/>
  <c r="BL493" i="3"/>
  <c r="AZ376" i="3"/>
  <c r="U36" i="40"/>
  <c r="N4" i="43"/>
  <c r="F36" i="43"/>
  <c r="F81" i="43"/>
  <c r="H83" i="43" s="1"/>
  <c r="H113" i="43"/>
  <c r="N7" i="43"/>
  <c r="F70" i="43"/>
  <c r="H73" i="43" s="1"/>
  <c r="M6" i="43"/>
  <c r="M11" i="43"/>
  <c r="E17" i="43"/>
  <c r="F39" i="43"/>
  <c r="I17" i="43"/>
  <c r="F35" i="43"/>
  <c r="J17" i="43"/>
  <c r="U17" i="39"/>
  <c r="S14" i="35"/>
  <c r="U43" i="21"/>
  <c r="U35" i="21"/>
  <c r="AC35" i="21"/>
  <c r="U10" i="21"/>
  <c r="G8" i="1"/>
  <c r="O6" i="1"/>
  <c r="P6" i="1" s="1"/>
  <c r="G9" i="1"/>
  <c r="G10" i="1"/>
  <c r="F48" i="9"/>
  <c r="O52" i="9" s="1"/>
  <c r="AC11" i="39"/>
  <c r="AZ563" i="3"/>
  <c r="W37" i="37"/>
  <c r="S15" i="37"/>
  <c r="U12" i="40"/>
  <c r="J37" i="33"/>
  <c r="W37" i="33" s="1"/>
  <c r="AC17" i="34"/>
  <c r="F106" i="33"/>
  <c r="G106" i="33" s="1"/>
  <c r="H106" i="33" s="1"/>
  <c r="I106" i="33" s="1"/>
  <c r="J106" i="33" s="1"/>
  <c r="K106" i="33" s="1"/>
  <c r="L106" i="33" s="1"/>
  <c r="M106" i="33" s="1"/>
  <c r="J34" i="33"/>
  <c r="W34" i="33" s="1"/>
  <c r="AC27" i="34"/>
  <c r="F33" i="34"/>
  <c r="S33" i="34" s="1"/>
  <c r="H20" i="36"/>
  <c r="U20" i="36" s="1"/>
  <c r="J20" i="36"/>
  <c r="W20" i="36" s="1"/>
  <c r="F68" i="36"/>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7" i="39"/>
  <c r="C40" i="11"/>
  <c r="AZ240" i="3"/>
  <c r="AZ243" i="3"/>
  <c r="AZ251" i="3"/>
  <c r="AZ256" i="3"/>
  <c r="AZ296" i="3"/>
  <c r="AZ42" i="3"/>
  <c r="AZ53" i="3"/>
  <c r="AZ58" i="3"/>
  <c r="AZ82" i="3"/>
  <c r="AZ102" i="3"/>
  <c r="H75" i="43"/>
  <c r="I20" i="43"/>
  <c r="F23" i="39"/>
  <c r="AA23" i="39" s="1"/>
  <c r="F97" i="39"/>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AE9" i="1"/>
  <c r="BS5" i="3" l="1"/>
  <c r="E8" i="31"/>
  <c r="F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344" i="31"/>
  <c r="G342" i="31"/>
  <c r="G340" i="31"/>
  <c r="G338" i="31"/>
  <c r="G336" i="31"/>
  <c r="G334" i="31"/>
  <c r="G332" i="31"/>
  <c r="G330" i="31"/>
  <c r="G328" i="31"/>
  <c r="G326" i="31"/>
  <c r="G324" i="31"/>
  <c r="G322" i="31"/>
  <c r="G320" i="31"/>
  <c r="G318" i="31"/>
  <c r="G316" i="31"/>
  <c r="G314" i="31"/>
  <c r="G312" i="31"/>
  <c r="G310" i="31"/>
  <c r="G308" i="31"/>
  <c r="G306" i="31"/>
  <c r="G304" i="31"/>
  <c r="G302" i="31"/>
  <c r="G300" i="31"/>
  <c r="G298" i="31"/>
  <c r="G296" i="31"/>
  <c r="G294" i="31"/>
  <c r="G292" i="31"/>
  <c r="G290" i="31"/>
  <c r="G288" i="31"/>
  <c r="G286" i="31"/>
  <c r="G284" i="31"/>
  <c r="G282" i="31"/>
  <c r="G280" i="31"/>
  <c r="G278" i="31"/>
  <c r="G276" i="31"/>
  <c r="G274" i="31"/>
  <c r="G272" i="31"/>
  <c r="G270" i="31"/>
  <c r="G268" i="31"/>
  <c r="G266" i="31"/>
  <c r="G264" i="31"/>
  <c r="G262" i="31"/>
  <c r="G260" i="31"/>
  <c r="G258" i="31"/>
  <c r="G256" i="31"/>
  <c r="G254" i="31"/>
  <c r="G252" i="31"/>
  <c r="G250" i="31"/>
  <c r="G248" i="31"/>
  <c r="G246" i="31"/>
  <c r="G244" i="31"/>
  <c r="G242" i="31"/>
  <c r="G240" i="31"/>
  <c r="G238" i="31"/>
  <c r="G236" i="31"/>
  <c r="G234" i="31"/>
  <c r="G232" i="31"/>
  <c r="G230" i="31"/>
  <c r="G228" i="31"/>
  <c r="G226" i="31"/>
  <c r="G224" i="31"/>
  <c r="G222" i="31"/>
  <c r="G220" i="31"/>
  <c r="G218" i="31"/>
  <c r="G216" i="31"/>
  <c r="G214" i="31"/>
  <c r="G212" i="31"/>
  <c r="G210" i="31"/>
  <c r="G208" i="31"/>
  <c r="G206" i="31"/>
  <c r="G204" i="31"/>
  <c r="G202" i="31"/>
  <c r="G200" i="31"/>
  <c r="G198" i="31"/>
  <c r="G194" i="31"/>
  <c r="G190" i="31"/>
  <c r="G186" i="31"/>
  <c r="G182" i="31"/>
  <c r="G178" i="31"/>
  <c r="G174" i="31"/>
  <c r="G170" i="31"/>
  <c r="G166" i="31"/>
  <c r="G162" i="31"/>
  <c r="G158" i="31"/>
  <c r="G154"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AZ528" i="3"/>
  <c r="AZ524" i="3"/>
  <c r="AZ514" i="3"/>
  <c r="AZ506" i="3"/>
  <c r="AZ498" i="3"/>
  <c r="AZ119" i="3"/>
  <c r="AZ520" i="3"/>
  <c r="W11" i="40"/>
  <c r="AC11" i="40"/>
  <c r="AB34" i="21"/>
  <c r="U34" i="21"/>
  <c r="BA585" i="3"/>
  <c r="J27" i="21"/>
  <c r="W27" i="21" s="1"/>
  <c r="H27" i="21"/>
  <c r="AB27" i="21" s="1"/>
  <c r="J29" i="21"/>
  <c r="AC29" i="21" s="1"/>
  <c r="H29" i="21"/>
  <c r="U29" i="21" s="1"/>
  <c r="H31" i="21"/>
  <c r="F31" i="21"/>
  <c r="S31" i="21" s="1"/>
  <c r="B71" i="43"/>
  <c r="B49" i="79"/>
  <c r="B71" i="79"/>
  <c r="B60" i="79"/>
  <c r="B74" i="43"/>
  <c r="B74" i="79"/>
  <c r="B65" i="79"/>
  <c r="B54" i="79"/>
  <c r="C27" i="39"/>
  <c r="B81" i="43"/>
  <c r="B81" i="79"/>
  <c r="B85" i="43"/>
  <c r="B85" i="79"/>
  <c r="E116" i="34"/>
  <c r="F116" i="34" s="1"/>
  <c r="G116" i="34" s="1"/>
  <c r="H116" i="34" s="1"/>
  <c r="I116" i="34" s="1"/>
  <c r="J116" i="34" s="1"/>
  <c r="K116" i="34" s="1"/>
  <c r="L116" i="34" s="1"/>
  <c r="M116" i="34" s="1"/>
  <c r="H39" i="34"/>
  <c r="AB39" i="34" s="1"/>
  <c r="AC34" i="35"/>
  <c r="W34" i="35"/>
  <c r="H36" i="35"/>
  <c r="AB36" i="35" s="1"/>
  <c r="J36" i="35"/>
  <c r="U8" i="36"/>
  <c r="AB8" i="36"/>
  <c r="AC28" i="36"/>
  <c r="W28" i="36"/>
  <c r="J12" i="36"/>
  <c r="H12" i="36"/>
  <c r="U12" i="36" s="1"/>
  <c r="H23" i="36"/>
  <c r="AB23" i="36" s="1"/>
  <c r="J23" i="36"/>
  <c r="AC23" i="36" s="1"/>
  <c r="J25" i="36"/>
  <c r="W25" i="36" s="1"/>
  <c r="H25" i="36"/>
  <c r="AB25" i="36" s="1"/>
  <c r="F32" i="36"/>
  <c r="AA32" i="36" s="1"/>
  <c r="H32" i="36"/>
  <c r="AB32" i="36" s="1"/>
  <c r="H27" i="37"/>
  <c r="F27" i="37"/>
  <c r="AA27" i="37" s="1"/>
  <c r="J27" i="37"/>
  <c r="AC27" i="37" s="1"/>
  <c r="H40" i="37"/>
  <c r="U40" i="37" s="1"/>
  <c r="F40" i="37"/>
  <c r="AA40" i="37" s="1"/>
  <c r="J39" i="37"/>
  <c r="AC39" i="37" s="1"/>
  <c r="H39" i="37"/>
  <c r="AB9" i="39"/>
  <c r="U9" i="39"/>
  <c r="H44" i="39"/>
  <c r="J44" i="39"/>
  <c r="J37" i="39"/>
  <c r="F37" i="39"/>
  <c r="AA37" i="39" s="1"/>
  <c r="AC8" i="40"/>
  <c r="W8" i="40"/>
  <c r="AZ127" i="3"/>
  <c r="AZ495" i="3"/>
  <c r="AZ499" i="3"/>
  <c r="AZ531" i="3"/>
  <c r="AZ535" i="3"/>
  <c r="AZ539" i="3"/>
  <c r="AZ543" i="3"/>
  <c r="AZ547" i="3"/>
  <c r="AZ587" i="3"/>
  <c r="AZ536" i="3"/>
  <c r="AZ544" i="3"/>
  <c r="W13" i="34"/>
  <c r="AC13" i="34"/>
  <c r="U11" i="21"/>
  <c r="AB11" i="21"/>
  <c r="AA34" i="33"/>
  <c r="H74" i="43"/>
  <c r="S31" i="39"/>
  <c r="AA12" i="40"/>
  <c r="AZ391" i="3"/>
  <c r="AZ383" i="3"/>
  <c r="AZ373" i="3"/>
  <c r="AZ322" i="3"/>
  <c r="AZ311" i="3"/>
  <c r="AZ371" i="3"/>
  <c r="AZ115" i="3"/>
  <c r="AA41" i="39"/>
  <c r="H37" i="39"/>
  <c r="AB37" i="39" s="1"/>
  <c r="AA25" i="21"/>
  <c r="F36" i="35"/>
  <c r="S36" i="35" s="1"/>
  <c r="AB38" i="21"/>
  <c r="W14" i="37"/>
  <c r="BL497" i="3"/>
  <c r="BL501" i="3"/>
  <c r="AZ501" i="3" s="1"/>
  <c r="BL505" i="3"/>
  <c r="AZ505" i="3" s="1"/>
  <c r="BL513" i="3"/>
  <c r="AZ513" i="3" s="1"/>
  <c r="BL517" i="3"/>
  <c r="AZ517" i="3" s="1"/>
  <c r="BL521" i="3"/>
  <c r="AZ521" i="3" s="1"/>
  <c r="BL525" i="3"/>
  <c r="AZ525" i="3" s="1"/>
  <c r="BL529" i="3"/>
  <c r="BL533" i="3"/>
  <c r="AZ533" i="3" s="1"/>
  <c r="BL537" i="3"/>
  <c r="AZ537" i="3" s="1"/>
  <c r="BL541" i="3"/>
  <c r="AZ541" i="3" s="1"/>
  <c r="BL545" i="3"/>
  <c r="AZ545" i="3" s="1"/>
  <c r="BL549" i="3"/>
  <c r="AZ558" i="3"/>
  <c r="AZ552" i="3"/>
  <c r="AZ560" i="3"/>
  <c r="AZ568" i="3"/>
  <c r="AZ576" i="3"/>
  <c r="AZ584" i="3"/>
  <c r="W28" i="37"/>
  <c r="F13" i="39"/>
  <c r="H13" i="37"/>
  <c r="S13" i="35"/>
  <c r="AA13" i="35"/>
  <c r="AB30" i="33"/>
  <c r="U30" i="33"/>
  <c r="F45" i="21"/>
  <c r="AA45" i="21" s="1"/>
  <c r="F27" i="21"/>
  <c r="AA27" i="21" s="1"/>
  <c r="AA44" i="34"/>
  <c r="S44" i="34"/>
  <c r="W33" i="37"/>
  <c r="S8" i="33"/>
  <c r="W34" i="36"/>
  <c r="AC34" i="36"/>
  <c r="U34" i="40"/>
  <c r="AB39" i="40"/>
  <c r="W33" i="33"/>
  <c r="U34" i="34"/>
  <c r="AA35" i="39"/>
  <c r="S35" i="39"/>
  <c r="H9" i="33"/>
  <c r="AB9" i="33" s="1"/>
  <c r="F9" i="33"/>
  <c r="AC26" i="33"/>
  <c r="W26" i="33"/>
  <c r="AC8" i="34"/>
  <c r="W8" i="34"/>
  <c r="E78" i="34"/>
  <c r="F78" i="34" s="1"/>
  <c r="G78" i="34" s="1"/>
  <c r="J15" i="34"/>
  <c r="F88" i="34"/>
  <c r="F25" i="34"/>
  <c r="S25" i="34" s="1"/>
  <c r="E118" i="34"/>
  <c r="F118" i="34" s="1"/>
  <c r="G118" i="34" s="1"/>
  <c r="H40" i="34"/>
  <c r="U40" i="34" s="1"/>
  <c r="E126" i="34"/>
  <c r="F126" i="34" s="1"/>
  <c r="G126" i="34" s="1"/>
  <c r="J44" i="34"/>
  <c r="W8" i="35"/>
  <c r="AC8" i="35"/>
  <c r="H14" i="33"/>
  <c r="U14" i="33" s="1"/>
  <c r="J14" i="33"/>
  <c r="H44" i="33"/>
  <c r="F44" i="33"/>
  <c r="H13" i="34"/>
  <c r="U13" i="34" s="1"/>
  <c r="F13" i="34"/>
  <c r="AA13" i="34" s="1"/>
  <c r="J31" i="34"/>
  <c r="AC31" i="34" s="1"/>
  <c r="F31" i="34"/>
  <c r="S31" i="34" s="1"/>
  <c r="H47" i="34"/>
  <c r="U47" i="34" s="1"/>
  <c r="J47" i="34"/>
  <c r="H23" i="35"/>
  <c r="J23" i="35"/>
  <c r="J25" i="35"/>
  <c r="W25" i="35" s="1"/>
  <c r="H25" i="35"/>
  <c r="AB25" i="35" s="1"/>
  <c r="F23" i="36"/>
  <c r="AA23" i="36" s="1"/>
  <c r="H34" i="36"/>
  <c r="F34" i="36"/>
  <c r="S34" i="36" s="1"/>
  <c r="U33" i="36"/>
  <c r="AB33" i="36"/>
  <c r="AB31" i="36"/>
  <c r="U31" i="36"/>
  <c r="H13" i="40"/>
  <c r="U13" i="40" s="1"/>
  <c r="F13" i="40"/>
  <c r="AA13" i="40" s="1"/>
  <c r="J39" i="40"/>
  <c r="AC39" i="40" s="1"/>
  <c r="F39" i="40"/>
  <c r="U41" i="21"/>
  <c r="AB41" i="21"/>
  <c r="F37" i="33"/>
  <c r="E113" i="33"/>
  <c r="F113" i="33" s="1"/>
  <c r="G113" i="33" s="1"/>
  <c r="H113" i="33" s="1"/>
  <c r="I113" i="33" s="1"/>
  <c r="J113" i="33" s="1"/>
  <c r="K113" i="33" s="1"/>
  <c r="L113" i="33" s="1"/>
  <c r="M113" i="33" s="1"/>
  <c r="AA40" i="33"/>
  <c r="S40" i="33"/>
  <c r="W38" i="34"/>
  <c r="AC38" i="34"/>
  <c r="M20" i="15"/>
  <c r="F34" i="78"/>
  <c r="F62" i="78" s="1"/>
  <c r="M20" i="78"/>
  <c r="F34" i="77"/>
  <c r="F62" i="77" s="1"/>
  <c r="M20" i="77"/>
  <c r="BC5" i="3"/>
  <c r="B70" i="43"/>
  <c r="B70" i="79"/>
  <c r="B59" i="43"/>
  <c r="B59" i="79"/>
  <c r="B77" i="43"/>
  <c r="B77" i="79"/>
  <c r="B67" i="79"/>
  <c r="B56" i="79"/>
  <c r="B73" i="43"/>
  <c r="B52" i="79"/>
  <c r="B73" i="79"/>
  <c r="B63" i="79"/>
  <c r="B82" i="43"/>
  <c r="B82" i="79"/>
  <c r="B88" i="43"/>
  <c r="B88" i="79"/>
  <c r="G566" i="3"/>
  <c r="G558" i="3"/>
  <c r="G556" i="3"/>
  <c r="G526" i="3"/>
  <c r="C30" i="9"/>
  <c r="G15" i="3"/>
  <c r="BA398" i="3"/>
  <c r="AZ398" i="3" s="1"/>
  <c r="BL400" i="3"/>
  <c r="G401" i="3"/>
  <c r="BA402" i="3"/>
  <c r="G403" i="3"/>
  <c r="BL404" i="3"/>
  <c r="G407" i="3"/>
  <c r="BA408" i="3"/>
  <c r="AZ408" i="3" s="1"/>
  <c r="G409" i="3"/>
  <c r="BL410" i="3"/>
  <c r="G411" i="3"/>
  <c r="BA412" i="3"/>
  <c r="AZ412" i="3" s="1"/>
  <c r="BL412" i="3"/>
  <c r="BA413" i="3"/>
  <c r="AZ413" i="3" s="1"/>
  <c r="BA414" i="3"/>
  <c r="AZ414" i="3" s="1"/>
  <c r="BL416" i="3"/>
  <c r="G417" i="3"/>
  <c r="BA418" i="3"/>
  <c r="G419" i="3"/>
  <c r="BL420" i="3"/>
  <c r="G423" i="3"/>
  <c r="BL424" i="3"/>
  <c r="G427" i="3"/>
  <c r="G433" i="3"/>
  <c r="BL434" i="3"/>
  <c r="BA436" i="3"/>
  <c r="AZ436" i="3" s="1"/>
  <c r="G437" i="3"/>
  <c r="BL438" i="3"/>
  <c r="G439" i="3"/>
  <c r="BA440" i="3"/>
  <c r="G441" i="3"/>
  <c r="BL442" i="3"/>
  <c r="G443" i="3"/>
  <c r="BA444" i="3"/>
  <c r="AZ444" i="3" s="1"/>
  <c r="BL444" i="3"/>
  <c r="BA445" i="3"/>
  <c r="AZ445" i="3" s="1"/>
  <c r="BA446" i="3"/>
  <c r="AZ446" i="3" s="1"/>
  <c r="BA448" i="3"/>
  <c r="AZ448" i="3" s="1"/>
  <c r="BL448" i="3"/>
  <c r="BA449" i="3"/>
  <c r="AZ449" i="3" s="1"/>
  <c r="BA450" i="3"/>
  <c r="AZ450" i="3" s="1"/>
  <c r="BA451" i="3"/>
  <c r="AZ451" i="3" s="1"/>
  <c r="BL453" i="3"/>
  <c r="G454" i="3"/>
  <c r="BA455" i="3"/>
  <c r="BL455" i="3"/>
  <c r="BL457" i="3"/>
  <c r="G458" i="3"/>
  <c r="BA459" i="3"/>
  <c r="BL459" i="3"/>
  <c r="G460" i="3"/>
  <c r="G462" i="3"/>
  <c r="BL463" i="3"/>
  <c r="G464" i="3"/>
  <c r="BA465" i="3"/>
  <c r="G466" i="3"/>
  <c r="BL467" i="3"/>
  <c r="G468" i="3"/>
  <c r="BL470" i="3"/>
  <c r="G471" i="3"/>
  <c r="BL472" i="3"/>
  <c r="G477" i="3"/>
  <c r="G481" i="3"/>
  <c r="BL482" i="3"/>
  <c r="G483" i="3"/>
  <c r="BL484" i="3"/>
  <c r="G485" i="3"/>
  <c r="BL486" i="3"/>
  <c r="G487" i="3"/>
  <c r="BL488" i="3"/>
  <c r="G489" i="3"/>
  <c r="BL492" i="3"/>
  <c r="BL308" i="3"/>
  <c r="AZ308" i="3" s="1"/>
  <c r="BL312" i="3"/>
  <c r="AZ312" i="3" s="1"/>
  <c r="G313" i="3"/>
  <c r="BA315" i="3"/>
  <c r="AZ315" i="3" s="1"/>
  <c r="BA317" i="3"/>
  <c r="BL317" i="3"/>
  <c r="G323" i="3"/>
  <c r="G334" i="3"/>
  <c r="BL350" i="3"/>
  <c r="BA352" i="3"/>
  <c r="AZ352" i="3" s="1"/>
  <c r="BL354" i="3"/>
  <c r="BA358" i="3"/>
  <c r="AZ358" i="3" s="1"/>
  <c r="BL383" i="3"/>
  <c r="BA385" i="3"/>
  <c r="AZ385" i="3" s="1"/>
  <c r="BL385" i="3"/>
  <c r="G392" i="3"/>
  <c r="BL393" i="3"/>
  <c r="AZ393" i="3" s="1"/>
  <c r="BL395" i="3"/>
  <c r="BA397" i="3"/>
  <c r="G208" i="3"/>
  <c r="BL209" i="3"/>
  <c r="G210" i="3"/>
  <c r="BL211" i="3"/>
  <c r="G222" i="3"/>
  <c r="G224" i="3"/>
  <c r="BA225" i="3"/>
  <c r="AZ225" i="3" s="1"/>
  <c r="G226" i="3"/>
  <c r="BL227" i="3"/>
  <c r="G228" i="3"/>
  <c r="BA229" i="3"/>
  <c r="G271" i="3"/>
  <c r="BL194" i="3"/>
  <c r="G195" i="3"/>
  <c r="BA196" i="3"/>
  <c r="AZ196" i="3" s="1"/>
  <c r="BL198" i="3"/>
  <c r="G199" i="3"/>
  <c r="BA200" i="3"/>
  <c r="AZ200" i="3" s="1"/>
  <c r="BL202" i="3"/>
  <c r="G203" i="3"/>
  <c r="BA204" i="3"/>
  <c r="AZ204" i="3" s="1"/>
  <c r="G205" i="3"/>
  <c r="G207" i="3"/>
  <c r="BA22" i="3"/>
  <c r="G66" i="3"/>
  <c r="G68" i="3"/>
  <c r="BL69" i="3"/>
  <c r="G72" i="3"/>
  <c r="G96" i="3"/>
  <c r="BL97" i="3"/>
  <c r="G108" i="3"/>
  <c r="BL109" i="3"/>
  <c r="G110" i="3"/>
  <c r="BA111" i="3"/>
  <c r="BL111" i="3"/>
  <c r="AZ111" i="3" s="1"/>
  <c r="BL112" i="3"/>
  <c r="J51" i="15"/>
  <c r="M100" i="43"/>
  <c r="I100" i="43"/>
  <c r="E100" i="43"/>
  <c r="I20" i="66"/>
  <c r="BA271" i="3"/>
  <c r="G272" i="3"/>
  <c r="BL273" i="3"/>
  <c r="G274" i="3"/>
  <c r="BA275" i="3"/>
  <c r="G276" i="3"/>
  <c r="BA277" i="3"/>
  <c r="G278" i="3"/>
  <c r="BL279" i="3"/>
  <c r="BA281" i="3"/>
  <c r="G282" i="3"/>
  <c r="BL283" i="3"/>
  <c r="G284" i="3"/>
  <c r="BL285" i="3"/>
  <c r="G288" i="3"/>
  <c r="BL289" i="3"/>
  <c r="G290" i="3"/>
  <c r="BA292" i="3"/>
  <c r="AZ292" i="3" s="1"/>
  <c r="BA294" i="3"/>
  <c r="BL294" i="3"/>
  <c r="AZ294" i="3" s="1"/>
  <c r="BA298" i="3"/>
  <c r="AZ298" i="3" s="1"/>
  <c r="BA299" i="3"/>
  <c r="AZ299" i="3" s="1"/>
  <c r="BL301" i="3"/>
  <c r="G302" i="3"/>
  <c r="BA113" i="3"/>
  <c r="BL113" i="3"/>
  <c r="BL115" i="3"/>
  <c r="G116" i="3"/>
  <c r="BA117" i="3"/>
  <c r="BL117" i="3"/>
  <c r="BL119" i="3"/>
  <c r="G120" i="3"/>
  <c r="BA121" i="3"/>
  <c r="G122" i="3"/>
  <c r="G124" i="3"/>
  <c r="BL125" i="3"/>
  <c r="BL127" i="3"/>
  <c r="BA129" i="3"/>
  <c r="G130" i="3"/>
  <c r="BL131" i="3"/>
  <c r="AZ131" i="3" s="1"/>
  <c r="BL133" i="3"/>
  <c r="G134" i="3"/>
  <c r="BA136" i="3"/>
  <c r="AZ136" i="3" s="1"/>
  <c r="BA138" i="3"/>
  <c r="G139" i="3"/>
  <c r="BA142" i="3"/>
  <c r="AZ142" i="3" s="1"/>
  <c r="BL142" i="3"/>
  <c r="G143" i="3"/>
  <c r="G146" i="3"/>
  <c r="BL147" i="3"/>
  <c r="AZ147" i="3" s="1"/>
  <c r="G148" i="3"/>
  <c r="BA149" i="3"/>
  <c r="AZ149" i="3" s="1"/>
  <c r="G150" i="3"/>
  <c r="BL151" i="3"/>
  <c r="AZ151" i="3" s="1"/>
  <c r="BA153" i="3"/>
  <c r="G154" i="3"/>
  <c r="BL155" i="3"/>
  <c r="AZ155" i="3" s="1"/>
  <c r="G156" i="3"/>
  <c r="BA157" i="3"/>
  <c r="G158" i="3"/>
  <c r="BA160" i="3"/>
  <c r="AZ160" i="3" s="1"/>
  <c r="BL163" i="3"/>
  <c r="AZ163" i="3" s="1"/>
  <c r="G164" i="3"/>
  <c r="BA166" i="3"/>
  <c r="AZ166" i="3" s="1"/>
  <c r="BL166" i="3"/>
  <c r="BA168" i="3"/>
  <c r="AZ168" i="3" s="1"/>
  <c r="BA170" i="3"/>
  <c r="G171" i="3"/>
  <c r="G175" i="3"/>
  <c r="G186" i="3"/>
  <c r="G19" i="79"/>
  <c r="J51" i="77"/>
  <c r="J51" i="78"/>
  <c r="F43" i="34"/>
  <c r="AA43" i="34" s="1"/>
  <c r="J43" i="34"/>
  <c r="H43" i="34"/>
  <c r="AB43" i="34" s="1"/>
  <c r="AB37" i="34"/>
  <c r="AA41" i="34"/>
  <c r="U31" i="34"/>
  <c r="S15" i="34"/>
  <c r="AA14" i="34"/>
  <c r="BA27" i="3"/>
  <c r="BL29" i="3"/>
  <c r="H5" i="3"/>
  <c r="G1" i="77"/>
  <c r="G1" i="78"/>
  <c r="M8" i="1"/>
  <c r="M6" i="1"/>
  <c r="G7" i="1"/>
  <c r="A118" i="9"/>
  <c r="G20" i="43"/>
  <c r="G14" i="3"/>
  <c r="BF5" i="3"/>
  <c r="BJ5" i="3"/>
  <c r="BP5" i="3"/>
  <c r="BR5" i="3"/>
  <c r="BH5" i="3"/>
  <c r="BK5" i="3"/>
  <c r="BN5" i="3"/>
  <c r="BA33" i="3"/>
  <c r="BB5" i="3"/>
  <c r="BL21" i="3"/>
  <c r="BL23" i="3"/>
  <c r="I4" i="6"/>
  <c r="BL19" i="3"/>
  <c r="BA17" i="3"/>
  <c r="AZ356" i="3"/>
  <c r="AZ321" i="3"/>
  <c r="AZ309" i="3"/>
  <c r="AZ503" i="3"/>
  <c r="AZ507" i="3"/>
  <c r="AZ523" i="3"/>
  <c r="AZ527" i="3"/>
  <c r="AZ516" i="3"/>
  <c r="AZ542" i="3"/>
  <c r="G574" i="3"/>
  <c r="G570" i="3"/>
  <c r="G551" i="3"/>
  <c r="BD5" i="3"/>
  <c r="AZ351" i="3"/>
  <c r="G400" i="3"/>
  <c r="BA401" i="3"/>
  <c r="BL401" i="3"/>
  <c r="BA403" i="3"/>
  <c r="BL403" i="3"/>
  <c r="BA404" i="3"/>
  <c r="AZ404" i="3" s="1"/>
  <c r="BA406" i="3"/>
  <c r="BL406" i="3"/>
  <c r="BA407" i="3"/>
  <c r="AZ407" i="3" s="1"/>
  <c r="G410" i="3"/>
  <c r="BL411" i="3"/>
  <c r="G412" i="3"/>
  <c r="G416" i="3"/>
  <c r="BA417" i="3"/>
  <c r="BL417" i="3"/>
  <c r="BA419" i="3"/>
  <c r="BL419" i="3"/>
  <c r="BA420" i="3"/>
  <c r="AZ420" i="3" s="1"/>
  <c r="BA422" i="3"/>
  <c r="BL422" i="3"/>
  <c r="BA423" i="3"/>
  <c r="AZ423" i="3" s="1"/>
  <c r="BA424" i="3"/>
  <c r="AZ424" i="3" s="1"/>
  <c r="BA426" i="3"/>
  <c r="BL426" i="3"/>
  <c r="AZ426" i="3" s="1"/>
  <c r="BL428" i="3"/>
  <c r="AZ459" i="3"/>
  <c r="G429" i="3"/>
  <c r="G431" i="3"/>
  <c r="BA432" i="3"/>
  <c r="BL432" i="3"/>
  <c r="BA433" i="3"/>
  <c r="AZ433" i="3" s="1"/>
  <c r="BA434" i="3"/>
  <c r="AZ434" i="3" s="1"/>
  <c r="BA435" i="3"/>
  <c r="AZ435" i="3" s="1"/>
  <c r="BL437" i="3"/>
  <c r="G438" i="3"/>
  <c r="BA439" i="3"/>
  <c r="BL439" i="3"/>
  <c r="BL441" i="3"/>
  <c r="G442" i="3"/>
  <c r="BL443" i="3"/>
  <c r="G444" i="3"/>
  <c r="G448" i="3"/>
  <c r="G453" i="3"/>
  <c r="BL454" i="3"/>
  <c r="G455" i="3"/>
  <c r="G457" i="3"/>
  <c r="BL458" i="3"/>
  <c r="G459" i="3"/>
  <c r="BA461" i="3"/>
  <c r="BL461" i="3"/>
  <c r="BA463" i="3"/>
  <c r="AZ463" i="3" s="1"/>
  <c r="BA464" i="3"/>
  <c r="AZ464" i="3" s="1"/>
  <c r="BL466" i="3"/>
  <c r="G467" i="3"/>
  <c r="BA468" i="3"/>
  <c r="BL468" i="3"/>
  <c r="G469" i="3"/>
  <c r="BL469" i="3"/>
  <c r="AZ469" i="3" s="1"/>
  <c r="BA470" i="3"/>
  <c r="AZ470" i="3" s="1"/>
  <c r="BA471" i="3"/>
  <c r="AZ471" i="3" s="1"/>
  <c r="BA472" i="3"/>
  <c r="AZ472" i="3" s="1"/>
  <c r="BL474" i="3"/>
  <c r="G475" i="3"/>
  <c r="BA476" i="3"/>
  <c r="BL476" i="3"/>
  <c r="BL478" i="3"/>
  <c r="G479" i="3"/>
  <c r="BA480" i="3"/>
  <c r="AZ480" i="3" s="1"/>
  <c r="BL480" i="3"/>
  <c r="BA481" i="3"/>
  <c r="BL481" i="3"/>
  <c r="G482" i="3"/>
  <c r="BL483" i="3"/>
  <c r="G484" i="3"/>
  <c r="BL485" i="3"/>
  <c r="G486" i="3"/>
  <c r="BL487" i="3"/>
  <c r="G488" i="3"/>
  <c r="BA489" i="3"/>
  <c r="AZ489" i="3" s="1"/>
  <c r="BL490" i="3"/>
  <c r="G491" i="3"/>
  <c r="BA492" i="3"/>
  <c r="AZ492" i="3" s="1"/>
  <c r="BA303" i="3"/>
  <c r="AZ303" i="3" s="1"/>
  <c r="BA316" i="3"/>
  <c r="BL316" i="3"/>
  <c r="BL328" i="3"/>
  <c r="AZ328" i="3" s="1"/>
  <c r="G329" i="3"/>
  <c r="BA331" i="3"/>
  <c r="AZ331" i="3" s="1"/>
  <c r="BL333" i="3"/>
  <c r="G339" i="3"/>
  <c r="BL348" i="3"/>
  <c r="G349" i="3"/>
  <c r="BA350" i="3"/>
  <c r="AZ350" i="3" s="1"/>
  <c r="BA353" i="3"/>
  <c r="BL353" i="3"/>
  <c r="BL363" i="3"/>
  <c r="AZ363" i="3" s="1"/>
  <c r="G364" i="3"/>
  <c r="BA366" i="3"/>
  <c r="AZ366" i="3" s="1"/>
  <c r="BL368" i="3"/>
  <c r="G369" i="3"/>
  <c r="BA370" i="3"/>
  <c r="AZ370" i="3" s="1"/>
  <c r="BA374" i="3"/>
  <c r="AZ374" i="3" s="1"/>
  <c r="G382" i="3"/>
  <c r="BA384" i="3"/>
  <c r="AZ384" i="3" s="1"/>
  <c r="BL386" i="3"/>
  <c r="G387" i="3"/>
  <c r="BA395" i="3"/>
  <c r="BA396" i="3"/>
  <c r="AZ396" i="3" s="1"/>
  <c r="BL208" i="3"/>
  <c r="G209" i="3"/>
  <c r="BA210" i="3"/>
  <c r="BL210" i="3"/>
  <c r="BA211" i="3"/>
  <c r="AZ211" i="3" s="1"/>
  <c r="BL213" i="3"/>
  <c r="G214" i="3"/>
  <c r="BL215" i="3"/>
  <c r="G216" i="3"/>
  <c r="G220" i="3"/>
  <c r="BA221" i="3"/>
  <c r="BL221" i="3"/>
  <c r="BA223" i="3"/>
  <c r="BL223" i="3"/>
  <c r="BA224" i="3"/>
  <c r="AZ224" i="3" s="1"/>
  <c r="BL226" i="3"/>
  <c r="G227" i="3"/>
  <c r="BA228" i="3"/>
  <c r="BL228" i="3"/>
  <c r="BL231" i="3"/>
  <c r="G232" i="3"/>
  <c r="BL233" i="3"/>
  <c r="G234" i="3"/>
  <c r="G236" i="3"/>
  <c r="BL237" i="3"/>
  <c r="G238" i="3"/>
  <c r="G243" i="3"/>
  <c r="G247" i="3"/>
  <c r="BL248" i="3"/>
  <c r="G249" i="3"/>
  <c r="G253" i="3"/>
  <c r="G256" i="3"/>
  <c r="G258" i="3"/>
  <c r="BL259" i="3"/>
  <c r="G260" i="3"/>
  <c r="G262" i="3"/>
  <c r="BL263" i="3"/>
  <c r="G264" i="3"/>
  <c r="BA122" i="3"/>
  <c r="AZ122" i="3" s="1"/>
  <c r="BL123" i="3"/>
  <c r="AZ123" i="3" s="1"/>
  <c r="BA125" i="3"/>
  <c r="AZ125" i="3" s="1"/>
  <c r="G128" i="3"/>
  <c r="BA130" i="3"/>
  <c r="BL130" i="3"/>
  <c r="BL134" i="3"/>
  <c r="AZ134" i="3" s="1"/>
  <c r="BA145" i="3"/>
  <c r="BL145" i="3"/>
  <c r="AZ145" i="3" s="1"/>
  <c r="BL150" i="3"/>
  <c r="AZ150" i="3" s="1"/>
  <c r="BL161" i="3"/>
  <c r="AZ161" i="3" s="1"/>
  <c r="BL266" i="3"/>
  <c r="G267" i="3"/>
  <c r="G269" i="3"/>
  <c r="BA270" i="3"/>
  <c r="BL270" i="3"/>
  <c r="BL272" i="3"/>
  <c r="G273" i="3"/>
  <c r="BA274" i="3"/>
  <c r="AZ274" i="3" s="1"/>
  <c r="BL274" i="3"/>
  <c r="BA276" i="3"/>
  <c r="AZ276" i="3" s="1"/>
  <c r="BA278" i="3"/>
  <c r="AZ278" i="3" s="1"/>
  <c r="BA279" i="3"/>
  <c r="AZ279" i="3" s="1"/>
  <c r="BA280" i="3"/>
  <c r="AZ280" i="3" s="1"/>
  <c r="BL282" i="3"/>
  <c r="G283" i="3"/>
  <c r="BA284" i="3"/>
  <c r="AZ284" i="3" s="1"/>
  <c r="BL284" i="3"/>
  <c r="BA285" i="3"/>
  <c r="AZ285" i="3" s="1"/>
  <c r="BA287" i="3"/>
  <c r="BL287" i="3"/>
  <c r="G292" i="3"/>
  <c r="G294" i="3"/>
  <c r="G301" i="3"/>
  <c r="G115" i="3"/>
  <c r="BL137" i="3"/>
  <c r="AZ153" i="3"/>
  <c r="BL153" i="3"/>
  <c r="G166" i="3"/>
  <c r="BA169" i="3"/>
  <c r="BL169" i="3"/>
  <c r="G172" i="3"/>
  <c r="BA174" i="3"/>
  <c r="AZ174" i="3" s="1"/>
  <c r="BL174" i="3"/>
  <c r="BA176" i="3"/>
  <c r="AZ176" i="3" s="1"/>
  <c r="G179" i="3"/>
  <c r="G182" i="3"/>
  <c r="BA185" i="3"/>
  <c r="BL185" i="3"/>
  <c r="BL187" i="3"/>
  <c r="AZ187" i="3" s="1"/>
  <c r="G188" i="3"/>
  <c r="BL189" i="3"/>
  <c r="G190" i="3"/>
  <c r="G192" i="3"/>
  <c r="BL193" i="3"/>
  <c r="G194" i="3"/>
  <c r="G196" i="3"/>
  <c r="BL197" i="3"/>
  <c r="G198" i="3"/>
  <c r="G200" i="3"/>
  <c r="BL201" i="3"/>
  <c r="G202" i="3"/>
  <c r="G204" i="3"/>
  <c r="BA206" i="3"/>
  <c r="BL206" i="3"/>
  <c r="BA207" i="3"/>
  <c r="AZ207" i="3" s="1"/>
  <c r="BA18" i="3"/>
  <c r="BL18" i="3"/>
  <c r="G19" i="3"/>
  <c r="BL20" i="3"/>
  <c r="G21" i="3"/>
  <c r="BA23" i="3"/>
  <c r="BL24" i="3"/>
  <c r="G25" i="3"/>
  <c r="BL26" i="3"/>
  <c r="G27" i="3"/>
  <c r="BL28" i="3"/>
  <c r="BA30" i="3"/>
  <c r="BL34" i="3"/>
  <c r="G39" i="3"/>
  <c r="G42" i="3"/>
  <c r="G44" i="3"/>
  <c r="BL45" i="3"/>
  <c r="G46" i="3"/>
  <c r="G48" i="3"/>
  <c r="BA49" i="3"/>
  <c r="BL49" i="3"/>
  <c r="AZ49" i="3" s="1"/>
  <c r="G50" i="3"/>
  <c r="G51" i="3"/>
  <c r="BA52" i="3"/>
  <c r="BL52" i="3"/>
  <c r="G53" i="3"/>
  <c r="G55" i="3"/>
  <c r="G58" i="3"/>
  <c r="G60" i="3"/>
  <c r="BL61" i="3"/>
  <c r="G62" i="3"/>
  <c r="G64" i="3"/>
  <c r="BA65" i="3"/>
  <c r="BL65" i="3"/>
  <c r="BA67" i="3"/>
  <c r="AZ67" i="3" s="1"/>
  <c r="BL67" i="3"/>
  <c r="BA68" i="3"/>
  <c r="AZ68" i="3" s="1"/>
  <c r="BA69" i="3"/>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AZ583" i="3"/>
  <c r="AZ534" i="3"/>
  <c r="AZ554" i="3"/>
  <c r="BL550" i="3"/>
  <c r="BA550" i="3"/>
  <c r="BL548" i="3"/>
  <c r="AZ548" i="3" s="1"/>
  <c r="BI5" i="3"/>
  <c r="BG5" i="3"/>
  <c r="BE5" i="3"/>
  <c r="BM5" i="3"/>
  <c r="G398" i="3"/>
  <c r="G399" i="3"/>
  <c r="BL399" i="3"/>
  <c r="AZ399" i="3" s="1"/>
  <c r="BA400" i="3"/>
  <c r="BL402" i="3"/>
  <c r="AZ402" i="3" s="1"/>
  <c r="G405" i="3"/>
  <c r="BL405" i="3"/>
  <c r="G408" i="3"/>
  <c r="BL408" i="3"/>
  <c r="BA409" i="3"/>
  <c r="AZ409" i="3" s="1"/>
  <c r="BA410" i="3"/>
  <c r="AZ410" i="3" s="1"/>
  <c r="BA411" i="3"/>
  <c r="AZ411" i="3" s="1"/>
  <c r="G414" i="3"/>
  <c r="G415" i="3"/>
  <c r="BL415" i="3"/>
  <c r="BA416" i="3"/>
  <c r="BL418" i="3"/>
  <c r="AZ418" i="3" s="1"/>
  <c r="G421" i="3"/>
  <c r="BL421" i="3"/>
  <c r="AZ421" i="3" s="1"/>
  <c r="G424" i="3"/>
  <c r="G425" i="3"/>
  <c r="BL425" i="3"/>
  <c r="BL427" i="3"/>
  <c r="AZ427" i="3" s="1"/>
  <c r="BA428" i="3"/>
  <c r="AZ428" i="3" s="1"/>
  <c r="BL430" i="3"/>
  <c r="AZ430" i="3" s="1"/>
  <c r="BA431" i="3"/>
  <c r="AZ431" i="3" s="1"/>
  <c r="G434" i="3"/>
  <c r="G435" i="3"/>
  <c r="G436" i="3"/>
  <c r="BL436" i="3"/>
  <c r="BA437" i="3"/>
  <c r="AZ437" i="3" s="1"/>
  <c r="BA438" i="3"/>
  <c r="BL440" i="3"/>
  <c r="AZ440" i="3" s="1"/>
  <c r="BA441" i="3"/>
  <c r="BA442" i="3"/>
  <c r="AZ442" i="3" s="1"/>
  <c r="BA443" i="3"/>
  <c r="G446" i="3"/>
  <c r="G447" i="3"/>
  <c r="BL447" i="3"/>
  <c r="G450" i="3"/>
  <c r="G451" i="3"/>
  <c r="G452" i="3"/>
  <c r="BL452" i="3"/>
  <c r="AZ452" i="3" s="1"/>
  <c r="BA453" i="3"/>
  <c r="AZ453" i="3" s="1"/>
  <c r="BA454" i="3"/>
  <c r="AZ454" i="3" s="1"/>
  <c r="BL456" i="3"/>
  <c r="AZ456" i="3" s="1"/>
  <c r="BA457" i="3"/>
  <c r="AZ457" i="3" s="1"/>
  <c r="BA458" i="3"/>
  <c r="AZ458" i="3" s="1"/>
  <c r="G472" i="3"/>
  <c r="G473" i="3"/>
  <c r="BL473" i="3"/>
  <c r="BA474" i="3"/>
  <c r="BA475" i="3"/>
  <c r="AZ475" i="3" s="1"/>
  <c r="BL477" i="3"/>
  <c r="AZ477" i="3" s="1"/>
  <c r="BA478" i="3"/>
  <c r="AZ478" i="3" s="1"/>
  <c r="BA479" i="3"/>
  <c r="AZ479" i="3" s="1"/>
  <c r="AZ326" i="3"/>
  <c r="AZ390" i="3"/>
  <c r="AZ372" i="3"/>
  <c r="AZ355" i="3"/>
  <c r="AZ347" i="3"/>
  <c r="AZ344" i="3"/>
  <c r="AZ337" i="3"/>
  <c r="AZ313" i="3"/>
  <c r="AZ305" i="3"/>
  <c r="AZ394" i="3"/>
  <c r="AZ325" i="3"/>
  <c r="AZ511" i="3"/>
  <c r="AZ515" i="3"/>
  <c r="AZ519" i="3"/>
  <c r="AZ555" i="3"/>
  <c r="AZ561" i="3"/>
  <c r="AZ504" i="3"/>
  <c r="AZ526" i="3"/>
  <c r="AZ566" i="3"/>
  <c r="AZ574" i="3"/>
  <c r="AZ582" i="3"/>
  <c r="BL586" i="3"/>
  <c r="AZ586" i="3" s="1"/>
  <c r="BL585" i="3"/>
  <c r="AZ585" i="3" s="1"/>
  <c r="G578" i="3"/>
  <c r="G562" i="3"/>
  <c r="BA551" i="3"/>
  <c r="G542" i="3"/>
  <c r="BL460" i="3"/>
  <c r="BL462" i="3"/>
  <c r="AZ462" i="3" s="1"/>
  <c r="G465" i="3"/>
  <c r="BL465" i="3"/>
  <c r="BA466" i="3"/>
  <c r="AZ466" i="3" s="1"/>
  <c r="BA467" i="3"/>
  <c r="AZ467" i="3" s="1"/>
  <c r="AZ473" i="3"/>
  <c r="BL205" i="3"/>
  <c r="G23" i="3"/>
  <c r="G24" i="3"/>
  <c r="G29" i="3"/>
  <c r="G31" i="3"/>
  <c r="G33" i="3"/>
  <c r="G35" i="3"/>
  <c r="BL36" i="3"/>
  <c r="G37" i="3"/>
  <c r="G41" i="3"/>
  <c r="BL41" i="3"/>
  <c r="BL43" i="3"/>
  <c r="AZ43" i="3" s="1"/>
  <c r="BA44" i="3"/>
  <c r="AZ44" i="3" s="1"/>
  <c r="BA45" i="3"/>
  <c r="AZ45" i="3" s="1"/>
  <c r="BL47" i="3"/>
  <c r="AZ47" i="3" s="1"/>
  <c r="BA48" i="3"/>
  <c r="AZ48" i="3" s="1"/>
  <c r="BL50" i="3"/>
  <c r="AZ50" i="3" s="1"/>
  <c r="G54" i="3"/>
  <c r="BL54" i="3"/>
  <c r="G57" i="3"/>
  <c r="BL57" i="3"/>
  <c r="BL59" i="3"/>
  <c r="AZ59" i="3" s="1"/>
  <c r="BA482" i="3"/>
  <c r="BA483" i="3"/>
  <c r="AZ483" i="3" s="1"/>
  <c r="BA484" i="3"/>
  <c r="BA485" i="3"/>
  <c r="AZ485" i="3" s="1"/>
  <c r="BA486" i="3"/>
  <c r="BA487" i="3"/>
  <c r="AZ487" i="3" s="1"/>
  <c r="BA488" i="3"/>
  <c r="BA490" i="3"/>
  <c r="AZ490" i="3" s="1"/>
  <c r="BA491" i="3"/>
  <c r="AZ491" i="3" s="1"/>
  <c r="G307" i="3"/>
  <c r="G311" i="3"/>
  <c r="G315" i="3"/>
  <c r="BA319" i="3"/>
  <c r="AZ319" i="3" s="1"/>
  <c r="BA323" i="3"/>
  <c r="AZ323" i="3" s="1"/>
  <c r="G327" i="3"/>
  <c r="G331" i="3"/>
  <c r="BA333" i="3"/>
  <c r="AZ333" i="3" s="1"/>
  <c r="BA335" i="3"/>
  <c r="AZ335" i="3" s="1"/>
  <c r="BA339" i="3"/>
  <c r="AZ339" i="3" s="1"/>
  <c r="G343" i="3"/>
  <c r="BA348" i="3"/>
  <c r="AZ348" i="3" s="1"/>
  <c r="BA349" i="3"/>
  <c r="AZ349" i="3" s="1"/>
  <c r="G351" i="3"/>
  <c r="BA354" i="3"/>
  <c r="AZ354" i="3" s="1"/>
  <c r="G358" i="3"/>
  <c r="BL359" i="3"/>
  <c r="AZ359" i="3" s="1"/>
  <c r="G362" i="3"/>
  <c r="G366" i="3"/>
  <c r="BA368" i="3"/>
  <c r="AZ368" i="3" s="1"/>
  <c r="BL381" i="3"/>
  <c r="AZ381" i="3" s="1"/>
  <c r="G384" i="3"/>
  <c r="BA386" i="3"/>
  <c r="AZ386" i="3" s="1"/>
  <c r="G396" i="3"/>
  <c r="G397" i="3"/>
  <c r="BL397" i="3"/>
  <c r="BA208" i="3"/>
  <c r="AZ208" i="3" s="1"/>
  <c r="BA209" i="3"/>
  <c r="AZ209" i="3" s="1"/>
  <c r="G212" i="3"/>
  <c r="BL212" i="3"/>
  <c r="BA213" i="3"/>
  <c r="AZ213" i="3" s="1"/>
  <c r="BA214" i="3"/>
  <c r="AZ214" i="3" s="1"/>
  <c r="BA215" i="3"/>
  <c r="AZ215" i="3" s="1"/>
  <c r="G218" i="3"/>
  <c r="G219" i="3"/>
  <c r="BL219" i="3"/>
  <c r="BA220" i="3"/>
  <c r="AZ220" i="3" s="1"/>
  <c r="BL222" i="3"/>
  <c r="AZ222" i="3" s="1"/>
  <c r="G225" i="3"/>
  <c r="BL225" i="3"/>
  <c r="BA226" i="3"/>
  <c r="AZ226" i="3" s="1"/>
  <c r="BA227" i="3"/>
  <c r="BL229" i="3"/>
  <c r="AZ229" i="3" s="1"/>
  <c r="G230" i="3"/>
  <c r="BL230" i="3"/>
  <c r="BA231" i="3"/>
  <c r="BA232" i="3"/>
  <c r="AZ232" i="3" s="1"/>
  <c r="BA233" i="3"/>
  <c r="BL235" i="3"/>
  <c r="AZ235" i="3" s="1"/>
  <c r="BA236" i="3"/>
  <c r="AZ236" i="3" s="1"/>
  <c r="BA237" i="3"/>
  <c r="AZ237" i="3" s="1"/>
  <c r="G240" i="3"/>
  <c r="G241" i="3"/>
  <c r="G242" i="3"/>
  <c r="BL242" i="3"/>
  <c r="AZ242" i="3" s="1"/>
  <c r="G245" i="3"/>
  <c r="G246" i="3"/>
  <c r="BL246" i="3"/>
  <c r="BA247" i="3"/>
  <c r="AZ247" i="3" s="1"/>
  <c r="BA248" i="3"/>
  <c r="AZ248" i="3" s="1"/>
  <c r="G251" i="3"/>
  <c r="G252" i="3"/>
  <c r="BL252" i="3"/>
  <c r="AZ252" i="3" s="1"/>
  <c r="G255" i="3"/>
  <c r="BL255" i="3"/>
  <c r="BL257" i="3"/>
  <c r="AZ257" i="3" s="1"/>
  <c r="BA258" i="3"/>
  <c r="AZ258" i="3" s="1"/>
  <c r="BA259" i="3"/>
  <c r="BL261" i="3"/>
  <c r="AZ261" i="3" s="1"/>
  <c r="BA262" i="3"/>
  <c r="AZ262" i="3" s="1"/>
  <c r="BA263" i="3"/>
  <c r="AZ263" i="3" s="1"/>
  <c r="BL265" i="3"/>
  <c r="AZ265" i="3" s="1"/>
  <c r="BA266" i="3"/>
  <c r="AZ266" i="3" s="1"/>
  <c r="BL268" i="3"/>
  <c r="AZ268" i="3" s="1"/>
  <c r="BL271" i="3"/>
  <c r="AZ271" i="3" s="1"/>
  <c r="BA272" i="3"/>
  <c r="BA273" i="3"/>
  <c r="AZ273" i="3" s="1"/>
  <c r="BL275" i="3"/>
  <c r="AZ275" i="3" s="1"/>
  <c r="G277" i="3"/>
  <c r="BL277" i="3"/>
  <c r="G279" i="3"/>
  <c r="G280" i="3"/>
  <c r="G281" i="3"/>
  <c r="BL281" i="3"/>
  <c r="BA282" i="3"/>
  <c r="AZ282" i="3" s="1"/>
  <c r="BA283" i="3"/>
  <c r="G286" i="3"/>
  <c r="BL286" i="3"/>
  <c r="AZ286" i="3" s="1"/>
  <c r="BL288" i="3"/>
  <c r="AZ288" i="3" s="1"/>
  <c r="BA289" i="3"/>
  <c r="BL291" i="3"/>
  <c r="AZ291" i="3" s="1"/>
  <c r="G293" i="3"/>
  <c r="BL293" i="3"/>
  <c r="AZ293" i="3" s="1"/>
  <c r="G295" i="3"/>
  <c r="G296" i="3"/>
  <c r="G297" i="3"/>
  <c r="BL297" i="3"/>
  <c r="G299" i="3"/>
  <c r="G300" i="3"/>
  <c r="BL300" i="3"/>
  <c r="AZ300" i="3" s="1"/>
  <c r="BA301" i="3"/>
  <c r="AZ301" i="3" s="1"/>
  <c r="BL114" i="3"/>
  <c r="AZ114" i="3" s="1"/>
  <c r="BA116" i="3"/>
  <c r="AZ116" i="3" s="1"/>
  <c r="G118" i="3"/>
  <c r="BL118" i="3"/>
  <c r="AZ118" i="3" s="1"/>
  <c r="BA120" i="3"/>
  <c r="AZ120" i="3" s="1"/>
  <c r="BL121" i="3"/>
  <c r="G123" i="3"/>
  <c r="G126" i="3"/>
  <c r="BL126" i="3"/>
  <c r="AZ126" i="3" s="1"/>
  <c r="BA128" i="3"/>
  <c r="AZ128" i="3" s="1"/>
  <c r="BL129" i="3"/>
  <c r="G132" i="3"/>
  <c r="BA133" i="3"/>
  <c r="AZ133" i="3" s="1"/>
  <c r="G136" i="3"/>
  <c r="BL138" i="3"/>
  <c r="BA140" i="3"/>
  <c r="AZ140" i="3" s="1"/>
  <c r="BL141" i="3"/>
  <c r="AZ141" i="3" s="1"/>
  <c r="G144" i="3"/>
  <c r="BL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9" i="3"/>
  <c r="AZ189" i="3" s="1"/>
  <c r="BA190" i="3"/>
  <c r="AZ190" i="3" s="1"/>
  <c r="BL191" i="3"/>
  <c r="AZ191" i="3" s="1"/>
  <c r="BA193" i="3"/>
  <c r="BA194" i="3"/>
  <c r="AZ194" i="3" s="1"/>
  <c r="BL195" i="3"/>
  <c r="AZ195" i="3" s="1"/>
  <c r="BA197" i="3"/>
  <c r="AZ197" i="3" s="1"/>
  <c r="BA198" i="3"/>
  <c r="AZ198" i="3" s="1"/>
  <c r="BL199" i="3"/>
  <c r="AZ199" i="3" s="1"/>
  <c r="BA201" i="3"/>
  <c r="BA202" i="3"/>
  <c r="AZ202" i="3" s="1"/>
  <c r="BL203" i="3"/>
  <c r="AZ203" i="3" s="1"/>
  <c r="AZ205" i="3"/>
  <c r="AZ41" i="3"/>
  <c r="AZ52" i="3"/>
  <c r="AZ54" i="3"/>
  <c r="BA60" i="3"/>
  <c r="AZ60" i="3" s="1"/>
  <c r="BA61" i="3"/>
  <c r="AZ61" i="3" s="1"/>
  <c r="BL63" i="3"/>
  <c r="AZ63" i="3" s="1"/>
  <c r="BA64" i="3"/>
  <c r="AZ64" i="3" s="1"/>
  <c r="BL66" i="3"/>
  <c r="AZ66" i="3" s="1"/>
  <c r="G69" i="3"/>
  <c r="G70" i="3"/>
  <c r="BL70" i="3"/>
  <c r="BL72" i="3"/>
  <c r="AZ72" i="3" s="1"/>
  <c r="BA73" i="3"/>
  <c r="BA74" i="3"/>
  <c r="AZ74" i="3" s="1"/>
  <c r="BA75" i="3"/>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BL101" i="3"/>
  <c r="AZ101" i="3" s="1"/>
  <c r="G104" i="3"/>
  <c r="BL104" i="3"/>
  <c r="AZ104" i="3" s="1"/>
  <c r="BA106" i="3"/>
  <c r="AZ106" i="3" s="1"/>
  <c r="BA108" i="3"/>
  <c r="AZ108" i="3" s="1"/>
  <c r="BA109" i="3"/>
  <c r="AZ109" i="3" s="1"/>
  <c r="BA110" i="3"/>
  <c r="AZ110" i="3" s="1"/>
  <c r="BA112" i="3"/>
  <c r="AZ112" i="3" s="1"/>
  <c r="AZ70" i="3"/>
  <c r="BL22" i="3"/>
  <c r="AZ22" i="3" s="1"/>
  <c r="BA38" i="3"/>
  <c r="F29" i="6"/>
  <c r="BA24" i="3"/>
  <c r="BA25" i="3"/>
  <c r="BL25" i="3"/>
  <c r="BA26" i="3"/>
  <c r="BA28" i="3"/>
  <c r="BA29" i="3"/>
  <c r="AZ29" i="3" s="1"/>
  <c r="BA31" i="3"/>
  <c r="BL31" i="3"/>
  <c r="BA32" i="3"/>
  <c r="BL32" i="3"/>
  <c r="BA34" i="3"/>
  <c r="AZ34" i="3" s="1"/>
  <c r="BA35" i="3"/>
  <c r="BL35" i="3"/>
  <c r="BA36" i="3"/>
  <c r="BA37" i="3"/>
  <c r="AZ37" i="3" s="1"/>
  <c r="BA15" i="3"/>
  <c r="BT5" i="3"/>
  <c r="G28" i="6" s="1"/>
  <c r="BQ5" i="3"/>
  <c r="F28" i="6" s="1"/>
  <c r="F30" i="6" s="1"/>
  <c r="BA19" i="3"/>
  <c r="BA20" i="3"/>
  <c r="AZ20" i="3" s="1"/>
  <c r="BA21" i="3"/>
  <c r="AZ21" i="3" s="1"/>
  <c r="BL27" i="3"/>
  <c r="BL30" i="3"/>
  <c r="BL33" i="3"/>
  <c r="BL38" i="3"/>
  <c r="AZ38" i="3" s="1"/>
  <c r="BL15" i="3"/>
  <c r="G29" i="6"/>
  <c r="A15" i="62"/>
  <c r="B61" i="72" s="1"/>
  <c r="G11" i="1"/>
  <c r="AB12" i="37"/>
  <c r="U12" i="37"/>
  <c r="AZ497" i="3"/>
  <c r="AZ529" i="3"/>
  <c r="AZ549" i="3"/>
  <c r="AZ565" i="3"/>
  <c r="AZ569" i="3"/>
  <c r="AZ573" i="3"/>
  <c r="AZ577" i="3"/>
  <c r="AA14" i="40"/>
  <c r="S14" i="40"/>
  <c r="U28" i="37"/>
  <c r="AB28" i="37"/>
  <c r="AC47" i="34"/>
  <c r="W47" i="34"/>
  <c r="S44" i="33"/>
  <c r="AA44" i="33"/>
  <c r="AA11" i="36"/>
  <c r="S11" i="36"/>
  <c r="W28" i="21"/>
  <c r="AC28" i="21"/>
  <c r="AC37" i="34"/>
  <c r="W37" i="34"/>
  <c r="S29" i="35"/>
  <c r="AA29" i="35"/>
  <c r="AA41" i="33"/>
  <c r="S41" i="33"/>
  <c r="U23" i="34"/>
  <c r="AB23" i="34"/>
  <c r="AB33" i="35"/>
  <c r="U33" i="35"/>
  <c r="AB34" i="35"/>
  <c r="U34" i="35"/>
  <c r="AB14" i="37"/>
  <c r="U14" i="37"/>
  <c r="AC31" i="40"/>
  <c r="W31" i="40"/>
  <c r="AA38" i="40"/>
  <c r="S38" i="40"/>
  <c r="W40" i="40"/>
  <c r="AC40" i="40"/>
  <c r="AZ551" i="3"/>
  <c r="AZ460" i="3"/>
  <c r="AZ310" i="3"/>
  <c r="AZ362" i="3"/>
  <c r="AC46" i="21"/>
  <c r="W44" i="21"/>
  <c r="AC5" i="3"/>
  <c r="G509" i="3"/>
  <c r="AZ564" i="3"/>
  <c r="AZ572" i="3"/>
  <c r="AZ580" i="3"/>
  <c r="W11" i="36"/>
  <c r="W31" i="34"/>
  <c r="AC40" i="37"/>
  <c r="W40" i="37"/>
  <c r="W32" i="36"/>
  <c r="AC32" i="36"/>
  <c r="U11" i="35"/>
  <c r="AB11" i="35"/>
  <c r="W31" i="33"/>
  <c r="AC31" i="33"/>
  <c r="S12" i="21"/>
  <c r="AA12" i="21"/>
  <c r="AC9" i="34"/>
  <c r="W9" i="34"/>
  <c r="U27" i="37"/>
  <c r="AB27" i="37"/>
  <c r="AC32" i="40"/>
  <c r="W32" i="40"/>
  <c r="S36" i="39"/>
  <c r="AA36" i="39"/>
  <c r="AZ405" i="3"/>
  <c r="AZ415" i="3"/>
  <c r="AZ425" i="3"/>
  <c r="AZ447" i="3"/>
  <c r="BA14" i="3"/>
  <c r="AZ465" i="3"/>
  <c r="AZ476" i="3"/>
  <c r="AZ397" i="3"/>
  <c r="AZ212" i="3"/>
  <c r="AZ219" i="3"/>
  <c r="AZ230" i="3"/>
  <c r="AZ246" i="3"/>
  <c r="AZ255" i="3"/>
  <c r="U36" i="39"/>
  <c r="F46" i="21"/>
  <c r="AA46" i="21" s="1"/>
  <c r="J30" i="21"/>
  <c r="AC30" i="21" s="1"/>
  <c r="H14" i="21"/>
  <c r="U14" i="21" s="1"/>
  <c r="U23" i="40"/>
  <c r="U8" i="33"/>
  <c r="S38" i="33"/>
  <c r="J28" i="34"/>
  <c r="F23" i="35"/>
  <c r="AA23" i="35" s="1"/>
  <c r="U8" i="35"/>
  <c r="F12" i="36"/>
  <c r="S44" i="39"/>
  <c r="AA12" i="34"/>
  <c r="AA12" i="33"/>
  <c r="AC12" i="33"/>
  <c r="C15" i="39"/>
  <c r="S40" i="39"/>
  <c r="C25" i="39"/>
  <c r="W39" i="40"/>
  <c r="U38" i="40"/>
  <c r="U9" i="40"/>
  <c r="W39" i="33"/>
  <c r="U33" i="33"/>
  <c r="S34" i="35"/>
  <c r="S32" i="36"/>
  <c r="F39" i="37"/>
  <c r="U30" i="37"/>
  <c r="J36" i="39"/>
  <c r="J45" i="39"/>
  <c r="J12" i="21"/>
  <c r="AC12" i="21" s="1"/>
  <c r="F9" i="34"/>
  <c r="F12" i="35"/>
  <c r="F9" i="36"/>
  <c r="AA9" i="36" s="1"/>
  <c r="H24" i="36"/>
  <c r="AB24" i="36" s="1"/>
  <c r="F25" i="37"/>
  <c r="AA25" i="37" s="1"/>
  <c r="F26" i="37"/>
  <c r="AA26" i="37" s="1"/>
  <c r="J38" i="40"/>
  <c r="AC38" i="40" s="1"/>
  <c r="F40" i="40"/>
  <c r="BL14" i="3"/>
  <c r="AZ297" i="3"/>
  <c r="AZ157" i="3"/>
  <c r="AZ165" i="3"/>
  <c r="AZ173" i="3"/>
  <c r="AZ181" i="3"/>
  <c r="AZ270" i="3"/>
  <c r="AZ277" i="3"/>
  <c r="AZ281" i="3"/>
  <c r="AZ121" i="3"/>
  <c r="AZ137" i="3"/>
  <c r="AZ35" i="3"/>
  <c r="AZ65" i="3"/>
  <c r="AZ57" i="3"/>
  <c r="B12" i="1"/>
  <c r="E12" i="1" s="1"/>
  <c r="B10" i="1"/>
  <c r="E10" i="1" s="1"/>
  <c r="D1" i="66"/>
  <c r="E10" i="66" s="1"/>
  <c r="AZ80" i="3"/>
  <c r="AZ84" i="3"/>
  <c r="AZ107" i="3"/>
  <c r="K12" i="1"/>
  <c r="M12" i="1" s="1"/>
  <c r="O12" i="1" s="1"/>
  <c r="P12" i="1" s="1"/>
  <c r="J51" i="67"/>
  <c r="C42" i="1"/>
  <c r="H100" i="43"/>
  <c r="E26" i="66"/>
  <c r="C30" i="66"/>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C20" i="43"/>
  <c r="F100" i="43"/>
  <c r="H17" i="43"/>
  <c r="D9" i="53"/>
  <c r="B25" i="72" s="1"/>
  <c r="B24" i="72"/>
  <c r="G6" i="1"/>
  <c r="H85" i="43"/>
  <c r="H81" i="43"/>
  <c r="H84" i="43"/>
  <c r="H88" i="43"/>
  <c r="H78" i="43"/>
  <c r="H70" i="43"/>
  <c r="H71" i="43"/>
  <c r="C17" i="43"/>
  <c r="F33" i="43"/>
  <c r="G17" i="43"/>
  <c r="F34" i="43"/>
  <c r="M7" i="43"/>
  <c r="N6" i="43"/>
  <c r="M2" i="43"/>
  <c r="M10" i="43"/>
  <c r="N3" i="43"/>
  <c r="F48" i="43" s="1"/>
  <c r="H55" i="43" s="1"/>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1"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AC14" i="21"/>
  <c r="W30"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8" i="67"/>
  <c r="L48" i="67"/>
  <c r="M9" i="78"/>
  <c r="F43" i="77"/>
  <c r="M28" i="15"/>
  <c r="F43" i="15"/>
  <c r="M24" i="78"/>
  <c r="M22" i="77"/>
  <c r="F6" i="77"/>
  <c r="F13" i="15"/>
  <c r="F6" i="78"/>
  <c r="F8" i="15"/>
  <c r="L48" i="78"/>
  <c r="L47" i="67"/>
  <c r="F26" i="67"/>
  <c r="M26" i="15"/>
  <c r="M9" i="15"/>
  <c r="F36" i="78"/>
  <c r="C76" i="78"/>
  <c r="M26" i="67"/>
  <c r="L48" i="15"/>
  <c r="F38" i="78"/>
  <c r="C76" i="77"/>
  <c r="F7" i="15"/>
  <c r="M8" i="78"/>
  <c r="F7" i="67"/>
  <c r="F9" i="77"/>
  <c r="F42" i="15"/>
  <c r="F13" i="77"/>
  <c r="F40" i="77"/>
  <c r="M29" i="77"/>
  <c r="F43" i="78"/>
  <c r="L48" i="77"/>
  <c r="F9" i="78"/>
  <c r="F26" i="78"/>
  <c r="M24" i="77"/>
  <c r="M28" i="78"/>
  <c r="M23" i="78"/>
  <c r="M26" i="77"/>
  <c r="J15" i="15"/>
  <c r="F16" i="77"/>
  <c r="M8" i="77"/>
  <c r="F16" i="78"/>
  <c r="F42" i="67"/>
  <c r="F8" i="77"/>
  <c r="M6" i="15"/>
  <c r="M22" i="78"/>
  <c r="F42" i="77"/>
  <c r="F36" i="15"/>
  <c r="F42" i="78"/>
  <c r="F16" i="15"/>
  <c r="F7" i="77"/>
  <c r="F7" i="78"/>
  <c r="M29" i="15"/>
  <c r="F13" i="78"/>
  <c r="F9" i="15"/>
  <c r="M26" i="78"/>
  <c r="J15" i="77"/>
  <c r="M6" i="78"/>
  <c r="F36" i="77"/>
  <c r="M23" i="15"/>
  <c r="F37" i="78"/>
  <c r="M27" i="77"/>
  <c r="L47" i="78"/>
  <c r="F37" i="77"/>
  <c r="M9" i="77"/>
  <c r="C76" i="15"/>
  <c r="G1" i="73"/>
  <c r="M22" i="15"/>
  <c r="M28" i="77"/>
  <c r="M23" i="77"/>
  <c r="F9" i="67"/>
  <c r="F40" i="78"/>
  <c r="M6" i="77"/>
  <c r="L47" i="77"/>
  <c r="J15" i="78"/>
  <c r="M29" i="78"/>
  <c r="F26" i="77"/>
  <c r="F8" i="78"/>
  <c r="F37" i="67"/>
  <c r="F38" i="77"/>
  <c r="M23" i="67"/>
  <c r="AZ28" i="3" l="1"/>
  <c r="AZ24" i="3"/>
  <c r="AZ23" i="3"/>
  <c r="AZ27" i="3"/>
  <c r="G8" i="31"/>
  <c r="H8" i="31" s="1"/>
  <c r="I8" i="31" s="1"/>
  <c r="J8" i="31" s="1"/>
  <c r="K8" i="31" s="1"/>
  <c r="L8" i="31" s="1"/>
  <c r="M8" i="31" s="1"/>
  <c r="N8" i="31" s="1"/>
  <c r="O8" i="31" s="1"/>
  <c r="P8" i="31" s="1"/>
  <c r="Q8" i="31" s="1"/>
  <c r="R8" i="31" s="1"/>
  <c r="S8" i="31" s="1"/>
  <c r="G44" i="31"/>
  <c r="AA39" i="40"/>
  <c r="S39" i="40"/>
  <c r="U23" i="35"/>
  <c r="AB23" i="35"/>
  <c r="G88" i="34"/>
  <c r="H88" i="34" s="1"/>
  <c r="I88" i="34" s="1"/>
  <c r="J88" i="34" s="1"/>
  <c r="K88" i="34" s="1"/>
  <c r="L88" i="34" s="1"/>
  <c r="M88" i="34" s="1"/>
  <c r="H25" i="34"/>
  <c r="J25" i="34"/>
  <c r="AC37" i="39"/>
  <c r="W37" i="39"/>
  <c r="AB44" i="39"/>
  <c r="U44" i="39"/>
  <c r="AC36" i="35"/>
  <c r="W36" i="35"/>
  <c r="F53" i="9"/>
  <c r="F32" i="78"/>
  <c r="F60" i="78" s="1"/>
  <c r="F28" i="78"/>
  <c r="C28" i="78" s="1"/>
  <c r="M18" i="78"/>
  <c r="M18" i="77"/>
  <c r="F32" i="77"/>
  <c r="F60" i="77" s="1"/>
  <c r="F28" i="77"/>
  <c r="C28" i="77" s="1"/>
  <c r="W17" i="21"/>
  <c r="S46" i="21"/>
  <c r="AB14" i="21"/>
  <c r="S9" i="36"/>
  <c r="C6" i="43"/>
  <c r="G5" i="3"/>
  <c r="B3" i="3" s="1"/>
  <c r="AB12" i="36"/>
  <c r="AB13" i="34"/>
  <c r="AZ33" i="3"/>
  <c r="AZ36" i="3"/>
  <c r="AZ26" i="3"/>
  <c r="AZ25" i="3"/>
  <c r="AZ99" i="3"/>
  <c r="AZ75" i="3"/>
  <c r="AZ73" i="3"/>
  <c r="AZ201" i="3"/>
  <c r="AZ193" i="3"/>
  <c r="AZ138" i="3"/>
  <c r="AZ129" i="3"/>
  <c r="AZ289" i="3"/>
  <c r="AZ283" i="3"/>
  <c r="AZ272" i="3"/>
  <c r="AZ259" i="3"/>
  <c r="AZ233" i="3"/>
  <c r="AZ231" i="3"/>
  <c r="AZ227" i="3"/>
  <c r="AZ488" i="3"/>
  <c r="AZ486" i="3"/>
  <c r="AZ484" i="3"/>
  <c r="AZ482" i="3"/>
  <c r="AZ474" i="3"/>
  <c r="AZ443" i="3"/>
  <c r="AZ441" i="3"/>
  <c r="AZ438" i="3"/>
  <c r="AZ416" i="3"/>
  <c r="AZ400" i="3"/>
  <c r="AZ69" i="3"/>
  <c r="AZ30" i="3"/>
  <c r="AZ223" i="3"/>
  <c r="AZ221" i="3"/>
  <c r="AZ210" i="3"/>
  <c r="AZ395" i="3"/>
  <c r="AZ468" i="3"/>
  <c r="AZ461" i="3"/>
  <c r="AZ432" i="3"/>
  <c r="AZ422" i="3"/>
  <c r="AZ406" i="3"/>
  <c r="E8" i="6"/>
  <c r="F27" i="6" s="1"/>
  <c r="P24" i="79"/>
  <c r="P22" i="79"/>
  <c r="M20" i="79"/>
  <c r="C19" i="79" s="1"/>
  <c r="P25" i="79"/>
  <c r="P23" i="79"/>
  <c r="O19" i="79"/>
  <c r="P21" i="79"/>
  <c r="AZ117" i="3"/>
  <c r="AZ113" i="3"/>
  <c r="AZ317" i="3"/>
  <c r="AZ455" i="3"/>
  <c r="AB34" i="36"/>
  <c r="U34" i="36"/>
  <c r="AC23" i="35"/>
  <c r="W23" i="35"/>
  <c r="W44" i="34"/>
  <c r="AC44" i="34"/>
  <c r="W15" i="34"/>
  <c r="AC15" i="34"/>
  <c r="AA9" i="33"/>
  <c r="S9" i="33"/>
  <c r="AB13" i="37"/>
  <c r="U13" i="37"/>
  <c r="AC44" i="39"/>
  <c r="W44" i="39"/>
  <c r="AB39" i="37"/>
  <c r="U39" i="37"/>
  <c r="W12" i="36"/>
  <c r="AC12" i="36"/>
  <c r="AZ19" i="3"/>
  <c r="AZ15" i="3"/>
  <c r="AZ18" i="3"/>
  <c r="F68" i="78"/>
  <c r="C10" i="78"/>
  <c r="C6" i="78"/>
  <c r="F65" i="78"/>
  <c r="Q71" i="78"/>
  <c r="F66" i="78"/>
  <c r="F51" i="78"/>
  <c r="F64" i="78"/>
  <c r="C27" i="78"/>
  <c r="M7" i="78"/>
  <c r="J10" i="78" s="1"/>
  <c r="F50" i="78"/>
  <c r="C49" i="78" s="1"/>
  <c r="C48" i="78" s="1"/>
  <c r="F71" i="78"/>
  <c r="L58" i="78"/>
  <c r="Q73" i="78" s="1"/>
  <c r="L59" i="78"/>
  <c r="Q74" i="78" s="1"/>
  <c r="J53" i="78"/>
  <c r="F1" i="78" s="1"/>
  <c r="K53" i="78"/>
  <c r="L56" i="78"/>
  <c r="J57" i="78"/>
  <c r="J55" i="78" s="1"/>
  <c r="J58" i="78" s="1"/>
  <c r="Q50" i="78" s="1"/>
  <c r="F68" i="77"/>
  <c r="F51" i="77"/>
  <c r="Q71" i="77"/>
  <c r="F65" i="77"/>
  <c r="C27" i="77"/>
  <c r="F66" i="77"/>
  <c r="F64" i="77"/>
  <c r="L59" i="77"/>
  <c r="Q74" i="77" s="1"/>
  <c r="L58" i="77"/>
  <c r="Q60" i="77" s="1"/>
  <c r="L56" i="77"/>
  <c r="K53" i="77"/>
  <c r="J53" i="77"/>
  <c r="Q52" i="77" s="1"/>
  <c r="J57" i="77"/>
  <c r="J55" i="77" s="1"/>
  <c r="J58" i="77" s="1"/>
  <c r="Q50" i="77" s="1"/>
  <c r="F50" i="77"/>
  <c r="C49" i="77" s="1"/>
  <c r="C48" i="77" s="1"/>
  <c r="M7" i="77"/>
  <c r="C6" i="77"/>
  <c r="C10" i="77"/>
  <c r="F71" i="77"/>
  <c r="G3" i="43"/>
  <c r="AE11" i="43" s="1"/>
  <c r="AE13" i="43" s="1"/>
  <c r="G3" i="79"/>
  <c r="C60" i="78"/>
  <c r="J6" i="78"/>
  <c r="Q52" i="78"/>
  <c r="H53" i="43"/>
  <c r="H56" i="43"/>
  <c r="H52" i="43"/>
  <c r="H49" i="43"/>
  <c r="H50" i="43"/>
  <c r="H48" i="43"/>
  <c r="H54" i="43"/>
  <c r="F30" i="69"/>
  <c r="M18" i="67"/>
  <c r="M18" i="15"/>
  <c r="F32" i="67"/>
  <c r="F60" i="67" s="1"/>
  <c r="F32" i="15"/>
  <c r="F60" i="15" s="1"/>
  <c r="F28" i="15"/>
  <c r="C28" i="15" s="1"/>
  <c r="F28" i="67"/>
  <c r="F30" i="68"/>
  <c r="C30" i="68" s="1"/>
  <c r="F31" i="12"/>
  <c r="F30" i="11"/>
  <c r="C30" i="11" s="1"/>
  <c r="F52" i="9"/>
  <c r="E10" i="6"/>
  <c r="J101" i="43"/>
  <c r="J104" i="43" s="1"/>
  <c r="E14" i="6"/>
  <c r="E64" i="39" s="1"/>
  <c r="AA11" i="43"/>
  <c r="AA13" i="43" s="1"/>
  <c r="AI11" i="43"/>
  <c r="AI13" i="43" s="1"/>
  <c r="AB11" i="43"/>
  <c r="AB13" i="43" s="1"/>
  <c r="AJ11" i="43"/>
  <c r="AJ13" i="43" s="1"/>
  <c r="M101" i="43"/>
  <c r="M109" i="43" s="1"/>
  <c r="H22" i="43"/>
  <c r="C101" i="43"/>
  <c r="C109" i="43" s="1"/>
  <c r="F101" i="43"/>
  <c r="F109" i="43" s="1"/>
  <c r="K101" i="43"/>
  <c r="K105" i="43" s="1"/>
  <c r="E29" i="6"/>
  <c r="K15" i="1" s="1"/>
  <c r="E13" i="6"/>
  <c r="E63" i="39" s="1"/>
  <c r="E56" i="39"/>
  <c r="AZ17" i="3"/>
  <c r="E15" i="6"/>
  <c r="E60" i="40" s="1"/>
  <c r="D19" i="12"/>
  <c r="C19" i="12" s="1"/>
  <c r="J107" i="43"/>
  <c r="E11" i="6"/>
  <c r="E61" i="39" s="1"/>
  <c r="E12" i="6"/>
  <c r="AZ206" i="3"/>
  <c r="AZ185" i="3"/>
  <c r="AZ169" i="3"/>
  <c r="AZ287" i="3"/>
  <c r="AZ130" i="3"/>
  <c r="AZ228" i="3"/>
  <c r="AZ353" i="3"/>
  <c r="AZ316" i="3"/>
  <c r="AZ481" i="3"/>
  <c r="AZ439" i="3"/>
  <c r="AZ419" i="3"/>
  <c r="AZ417" i="3"/>
  <c r="AZ403" i="3"/>
  <c r="AZ401" i="3"/>
  <c r="AZ550" i="3"/>
  <c r="C106" i="43"/>
  <c r="G30" i="6"/>
  <c r="G31" i="6" s="1"/>
  <c r="E28" i="6"/>
  <c r="E30" i="6" s="1"/>
  <c r="AZ32" i="3"/>
  <c r="AZ31" i="3"/>
  <c r="AZ13" i="3"/>
  <c r="BA5" i="3"/>
  <c r="E27" i="6" s="1"/>
  <c r="K20" i="6" s="1"/>
  <c r="E51" i="40"/>
  <c r="F31" i="6"/>
  <c r="E59" i="40"/>
  <c r="E4" i="4"/>
  <c r="B5" i="62" s="1"/>
  <c r="C4" i="4"/>
  <c r="B4" i="62" s="1"/>
  <c r="D68" i="39"/>
  <c r="D70" i="39" s="1"/>
  <c r="P24" i="43"/>
  <c r="B66" i="40" s="1"/>
  <c r="C28" i="67"/>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AA9" i="34"/>
  <c r="S9" i="34"/>
  <c r="W45" i="39"/>
  <c r="AC45" i="39"/>
  <c r="W28" i="34"/>
  <c r="AC28" i="34"/>
  <c r="C24" i="12"/>
  <c r="D9" i="69"/>
  <c r="C9" i="69" s="1"/>
  <c r="C31" i="12"/>
  <c r="C48" i="69"/>
  <c r="C30" i="69"/>
  <c r="D9" i="68"/>
  <c r="C9" i="68" s="1"/>
  <c r="S25" i="37"/>
  <c r="AA40" i="40"/>
  <c r="S40" i="40"/>
  <c r="S12" i="35"/>
  <c r="AA12" i="35"/>
  <c r="AC36" i="39"/>
  <c r="W36" i="39"/>
  <c r="S39" i="37"/>
  <c r="AA39" i="37"/>
  <c r="AA12" i="36"/>
  <c r="S12" i="36"/>
  <c r="AZ14" i="3"/>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M104" i="43"/>
  <c r="M105"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J53" i="67"/>
  <c r="K53" i="67"/>
  <c r="F70" i="67"/>
  <c r="F51" i="67"/>
  <c r="L59" i="67"/>
  <c r="L58" i="67"/>
  <c r="F50" i="67"/>
  <c r="M7" i="67"/>
  <c r="F65" i="67"/>
  <c r="F71" i="15"/>
  <c r="Q71" i="15"/>
  <c r="F64" i="15"/>
  <c r="F51" i="15"/>
  <c r="J57" i="15"/>
  <c r="J55" i="15" s="1"/>
  <c r="J58" i="15" s="1"/>
  <c r="Q50" i="15" s="1"/>
  <c r="L56" i="15"/>
  <c r="M7" i="15"/>
  <c r="F50"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F31" i="15"/>
  <c r="M17" i="15"/>
  <c r="F31" i="67"/>
  <c r="F59" i="67"/>
  <c r="F59" i="15"/>
  <c r="F38" i="67"/>
  <c r="C16" i="78"/>
  <c r="M24" i="67"/>
  <c r="M29" i="67"/>
  <c r="C16" i="77"/>
  <c r="M9" i="67"/>
  <c r="F13" i="67"/>
  <c r="F6" i="15"/>
  <c r="M22" i="67"/>
  <c r="F43" i="67"/>
  <c r="F37" i="15"/>
  <c r="M24" i="15"/>
  <c r="C16" i="15"/>
  <c r="M28" i="67"/>
  <c r="F36" i="67"/>
  <c r="F6" i="67"/>
  <c r="F40" i="15"/>
  <c r="L47" i="15"/>
  <c r="J15" i="67"/>
  <c r="F26" i="15"/>
  <c r="F16" i="67"/>
  <c r="F38" i="15"/>
  <c r="F40" i="67"/>
  <c r="C76" i="67"/>
  <c r="M8" i="15"/>
  <c r="M8" i="67"/>
  <c r="M6" i="67"/>
  <c r="B73" i="72" l="1"/>
  <c r="B71" i="72"/>
  <c r="M107" i="43"/>
  <c r="B113" i="43"/>
  <c r="B117" i="43" s="1"/>
  <c r="C117" i="43" s="1"/>
  <c r="N101" i="43"/>
  <c r="N103" i="43" s="1"/>
  <c r="N104" i="46"/>
  <c r="E22" i="43"/>
  <c r="H101" i="43"/>
  <c r="H107" i="43" s="1"/>
  <c r="E101" i="43"/>
  <c r="E102" i="43" s="1"/>
  <c r="AF11" i="43"/>
  <c r="AF13" i="43" s="1"/>
  <c r="Z7" i="43"/>
  <c r="Q73" i="77"/>
  <c r="Q60" i="78"/>
  <c r="C27" i="15"/>
  <c r="L59" i="15"/>
  <c r="Q74" i="15" s="1"/>
  <c r="L58" i="15"/>
  <c r="Q73" i="15" s="1"/>
  <c r="F65" i="15"/>
  <c r="C10" i="15"/>
  <c r="C6" i="15"/>
  <c r="F68" i="67"/>
  <c r="F68" i="15"/>
  <c r="F66" i="15"/>
  <c r="C6" i="67"/>
  <c r="C5" i="67" s="1"/>
  <c r="C32" i="67" s="1"/>
  <c r="F64" i="67"/>
  <c r="F71" i="67"/>
  <c r="F66" i="67"/>
  <c r="Q71" i="67"/>
  <c r="AB25" i="34"/>
  <c r="U25" i="34"/>
  <c r="C36" i="79"/>
  <c r="T13" i="79"/>
  <c r="V13" i="79" s="1"/>
  <c r="C34" i="79"/>
  <c r="C33" i="79"/>
  <c r="T15" i="79"/>
  <c r="V15" i="79" s="1"/>
  <c r="T16" i="79"/>
  <c r="V16" i="79" s="1"/>
  <c r="C38" i="79"/>
  <c r="T8" i="79"/>
  <c r="V8" i="79" s="1"/>
  <c r="C37" i="79"/>
  <c r="T10" i="79"/>
  <c r="V10" i="79" s="1"/>
  <c r="T12" i="79"/>
  <c r="V12" i="79" s="1"/>
  <c r="C39" i="79"/>
  <c r="E39" i="79" s="1"/>
  <c r="T9" i="79"/>
  <c r="V9" i="79" s="1"/>
  <c r="C35" i="79"/>
  <c r="T14" i="79"/>
  <c r="V14" i="79" s="1"/>
  <c r="T11" i="79"/>
  <c r="V11" i="79" s="1"/>
  <c r="AC25" i="34"/>
  <c r="W25" i="34"/>
  <c r="Q61" i="78"/>
  <c r="F1" i="77"/>
  <c r="Q61" i="77"/>
  <c r="C66" i="78"/>
  <c r="C5" i="78"/>
  <c r="C32" i="78" s="1"/>
  <c r="E58" i="40"/>
  <c r="D115" i="43"/>
  <c r="E115" i="43" s="1"/>
  <c r="F115" i="43" s="1"/>
  <c r="G115" i="43" s="1"/>
  <c r="H115" i="43" s="1"/>
  <c r="J5" i="78"/>
  <c r="J26" i="78" s="1"/>
  <c r="J101" i="79"/>
  <c r="AG11" i="79"/>
  <c r="AG13" i="79" s="1"/>
  <c r="AC11" i="79"/>
  <c r="AC13" i="79" s="1"/>
  <c r="Y11" i="79"/>
  <c r="Y13" i="79" s="1"/>
  <c r="AI11" i="79"/>
  <c r="AI13" i="79" s="1"/>
  <c r="AE11" i="79"/>
  <c r="AE13" i="79" s="1"/>
  <c r="AA11" i="79"/>
  <c r="AA13" i="79" s="1"/>
  <c r="F22" i="79"/>
  <c r="B113" i="79"/>
  <c r="K101" i="79"/>
  <c r="G101" i="79"/>
  <c r="C101" i="79"/>
  <c r="H101" i="79"/>
  <c r="Z11" i="79"/>
  <c r="Z13" i="79" s="1"/>
  <c r="AD11" i="79"/>
  <c r="AD13" i="79" s="1"/>
  <c r="AH11" i="79"/>
  <c r="AH13" i="79" s="1"/>
  <c r="E22" i="79"/>
  <c r="F101" i="79"/>
  <c r="H22" i="79"/>
  <c r="M101" i="79"/>
  <c r="I101" i="79"/>
  <c r="E101" i="79"/>
  <c r="L101" i="79"/>
  <c r="D101" i="79"/>
  <c r="Z7" i="79"/>
  <c r="AB11" i="79"/>
  <c r="AB13" i="79" s="1"/>
  <c r="AF11" i="79"/>
  <c r="AF13" i="79" s="1"/>
  <c r="AJ11" i="79"/>
  <c r="AJ13" i="79" s="1"/>
  <c r="G22" i="79"/>
  <c r="N101" i="79"/>
  <c r="C5" i="77"/>
  <c r="J6" i="77"/>
  <c r="J10" i="77"/>
  <c r="O7" i="1"/>
  <c r="C38" i="78"/>
  <c r="G101" i="43"/>
  <c r="F22" i="43"/>
  <c r="D101" i="43"/>
  <c r="G22" i="43"/>
  <c r="AD11" i="43"/>
  <c r="AD13" i="43" s="1"/>
  <c r="S5" i="43"/>
  <c r="T5" i="43" s="1"/>
  <c r="V5" i="43" s="1"/>
  <c r="AC11" i="43"/>
  <c r="AC13" i="43" s="1"/>
  <c r="L101" i="43"/>
  <c r="I101" i="43"/>
  <c r="AH11" i="43"/>
  <c r="AH13" i="43" s="1"/>
  <c r="Z11" i="43"/>
  <c r="Z13" i="43" s="1"/>
  <c r="AG11" i="43"/>
  <c r="AG13" i="43" s="1"/>
  <c r="Y11" i="43"/>
  <c r="Y13" i="43" s="1"/>
  <c r="C60" i="77"/>
  <c r="C66" i="77"/>
  <c r="D5" i="43"/>
  <c r="F24" i="77"/>
  <c r="F24" i="78"/>
  <c r="C24" i="77"/>
  <c r="F107" i="43"/>
  <c r="M20" i="6"/>
  <c r="I20" i="6" s="1"/>
  <c r="B116" i="43"/>
  <c r="C116" i="43" s="1"/>
  <c r="H103" i="43"/>
  <c r="E107" i="43"/>
  <c r="J105" i="43"/>
  <c r="J102" i="43"/>
  <c r="J103" i="43"/>
  <c r="J109" i="43"/>
  <c r="J106" i="43"/>
  <c r="E109" i="43"/>
  <c r="H104" i="43"/>
  <c r="H102" i="43"/>
  <c r="E104" i="43"/>
  <c r="K104" i="43"/>
  <c r="C105" i="43"/>
  <c r="C107" i="43"/>
  <c r="H109" i="43"/>
  <c r="H105" i="43"/>
  <c r="H106" i="43"/>
  <c r="E106" i="43"/>
  <c r="K107" i="43"/>
  <c r="K106" i="43"/>
  <c r="F106" i="43"/>
  <c r="F103" i="43"/>
  <c r="I118" i="43"/>
  <c r="J118" i="43" s="1"/>
  <c r="K118" i="43" s="1"/>
  <c r="L118" i="43" s="1"/>
  <c r="M118" i="43" s="1"/>
  <c r="G118" i="43"/>
  <c r="H118" i="43" s="1"/>
  <c r="N102" i="43"/>
  <c r="N106" i="43"/>
  <c r="M103" i="43"/>
  <c r="M106" i="43"/>
  <c r="M102" i="43"/>
  <c r="N107" i="43"/>
  <c r="D117" i="43"/>
  <c r="E117" i="43" s="1"/>
  <c r="F117" i="43" s="1"/>
  <c r="G117" i="43" s="1"/>
  <c r="H117" i="43" s="1"/>
  <c r="I115" i="43"/>
  <c r="J115" i="43" s="1"/>
  <c r="K115" i="43" s="1"/>
  <c r="L115" i="43" s="1"/>
  <c r="M115" i="43" s="1"/>
  <c r="D118" i="43"/>
  <c r="E118" i="43" s="1"/>
  <c r="F118" i="43" s="1"/>
  <c r="I117" i="43"/>
  <c r="J117" i="43" s="1"/>
  <c r="K117" i="43" s="1"/>
  <c r="L117" i="43" s="1"/>
  <c r="M117" i="43" s="1"/>
  <c r="F104" i="43"/>
  <c r="F102" i="43"/>
  <c r="F105" i="43"/>
  <c r="C104" i="43"/>
  <c r="C102" i="43"/>
  <c r="C103" i="43"/>
  <c r="E65" i="39"/>
  <c r="K102" i="43"/>
  <c r="B115" i="43"/>
  <c r="D116" i="43"/>
  <c r="E116" i="43" s="1"/>
  <c r="F116" i="43" s="1"/>
  <c r="G116" i="43" s="1"/>
  <c r="H116" i="43" s="1"/>
  <c r="I116" i="43"/>
  <c r="J116" i="43" s="1"/>
  <c r="K116" i="43" s="1"/>
  <c r="L116" i="43" s="1"/>
  <c r="M116" i="43" s="1"/>
  <c r="B118" i="43"/>
  <c r="C118" i="43" s="1"/>
  <c r="K103" i="43"/>
  <c r="K109" i="43"/>
  <c r="E16" i="6"/>
  <c r="E56" i="40"/>
  <c r="E57" i="40"/>
  <c r="E62" i="39"/>
  <c r="K24" i="6"/>
  <c r="M24" i="6" s="1"/>
  <c r="I24" i="6" s="1"/>
  <c r="S24" i="6" s="1"/>
  <c r="AZ5" i="3"/>
  <c r="K21" i="6"/>
  <c r="K25" i="6"/>
  <c r="M25" i="6" s="1"/>
  <c r="I25" i="6" s="1"/>
  <c r="S25" i="6" s="1"/>
  <c r="K14" i="1"/>
  <c r="K22" i="6"/>
  <c r="M22" i="6" s="1"/>
  <c r="I22" i="6" s="1"/>
  <c r="S22" i="6" s="1"/>
  <c r="K23" i="6"/>
  <c r="M23" i="6" s="1"/>
  <c r="I23" i="6" s="1"/>
  <c r="S23" i="6" s="1"/>
  <c r="K19" i="6"/>
  <c r="K26" i="6"/>
  <c r="M26" i="6" s="1"/>
  <c r="I26" i="6" s="1"/>
  <c r="S26" i="6" s="1"/>
  <c r="E31" i="6"/>
  <c r="A18" i="62"/>
  <c r="B64" i="72" s="1"/>
  <c r="K4" i="4"/>
  <c r="B46" i="48" s="1"/>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H10" i="39"/>
  <c r="J10" i="39"/>
  <c r="C49" i="15"/>
  <c r="Q60" i="67"/>
  <c r="Q73" i="67"/>
  <c r="F27" i="11"/>
  <c r="Q61" i="67"/>
  <c r="Q74" i="67"/>
  <c r="C49" i="67"/>
  <c r="F1" i="67"/>
  <c r="Q52" i="67"/>
  <c r="C17" i="15"/>
  <c r="C17" i="77"/>
  <c r="C16" i="67"/>
  <c r="B4" i="72" l="1"/>
  <c r="N104" i="43"/>
  <c r="N109" i="43"/>
  <c r="E103" i="43"/>
  <c r="E105" i="43"/>
  <c r="N105" i="43"/>
  <c r="D22" i="43"/>
  <c r="J24" i="78"/>
  <c r="C5" i="15"/>
  <c r="C32" i="15" s="1"/>
  <c r="Q60" i="15"/>
  <c r="Q61" i="15"/>
  <c r="E37" i="79"/>
  <c r="G37" i="79"/>
  <c r="I37" i="79" s="1"/>
  <c r="G38" i="79"/>
  <c r="I38" i="79" s="1"/>
  <c r="E38" i="79"/>
  <c r="E34" i="79"/>
  <c r="G34" i="79"/>
  <c r="I34" i="79" s="1"/>
  <c r="G36" i="79"/>
  <c r="I36" i="79" s="1"/>
  <c r="E36" i="79"/>
  <c r="E35" i="79"/>
  <c r="G35" i="79"/>
  <c r="I35" i="79" s="1"/>
  <c r="E33" i="79"/>
  <c r="G33" i="79"/>
  <c r="I33" i="79" s="1"/>
  <c r="J5" i="77"/>
  <c r="J24" i="77" s="1"/>
  <c r="J18" i="78"/>
  <c r="S6" i="1"/>
  <c r="AR6" i="1" s="1"/>
  <c r="S13" i="1"/>
  <c r="S9" i="1"/>
  <c r="S12" i="1"/>
  <c r="S10" i="1"/>
  <c r="S11" i="1"/>
  <c r="S7" i="1"/>
  <c r="C38" i="77"/>
  <c r="C32" i="77"/>
  <c r="D109" i="79"/>
  <c r="D107" i="79"/>
  <c r="D105" i="79"/>
  <c r="D103" i="79"/>
  <c r="D106" i="79"/>
  <c r="D104" i="79"/>
  <c r="D102" i="79"/>
  <c r="E109" i="79"/>
  <c r="E107" i="79"/>
  <c r="E105" i="79"/>
  <c r="E103" i="79"/>
  <c r="E106" i="79"/>
  <c r="E104" i="79"/>
  <c r="E102" i="79"/>
  <c r="M109" i="79"/>
  <c r="M107" i="79"/>
  <c r="M105" i="79"/>
  <c r="M103" i="79"/>
  <c r="M106" i="79"/>
  <c r="M104" i="79"/>
  <c r="M102" i="79"/>
  <c r="C107" i="79"/>
  <c r="C105" i="79"/>
  <c r="C103" i="79"/>
  <c r="C109" i="79"/>
  <c r="C106" i="79"/>
  <c r="C104" i="79"/>
  <c r="C102" i="79"/>
  <c r="K107" i="79"/>
  <c r="K105" i="79"/>
  <c r="K103" i="79"/>
  <c r="K109" i="79"/>
  <c r="K106" i="79"/>
  <c r="K104" i="79"/>
  <c r="K102" i="79"/>
  <c r="J107" i="79"/>
  <c r="J105" i="79"/>
  <c r="J103" i="79"/>
  <c r="J106" i="79"/>
  <c r="J104" i="79"/>
  <c r="J102" i="79"/>
  <c r="J109" i="79"/>
  <c r="E7" i="70"/>
  <c r="L109" i="43"/>
  <c r="L102" i="43"/>
  <c r="L105" i="43"/>
  <c r="L104" i="43"/>
  <c r="L106" i="43"/>
  <c r="L103" i="43"/>
  <c r="L107" i="43"/>
  <c r="S2" i="43"/>
  <c r="T2" i="43" s="1"/>
  <c r="V2" i="43" s="1"/>
  <c r="S6" i="43"/>
  <c r="T6" i="43" s="1"/>
  <c r="V6" i="43" s="1"/>
  <c r="S4" i="43"/>
  <c r="T4" i="43" s="1"/>
  <c r="V4" i="43" s="1"/>
  <c r="S7" i="43"/>
  <c r="T7" i="43" s="1"/>
  <c r="V7" i="43" s="1"/>
  <c r="C23" i="43"/>
  <c r="C21" i="43" s="1"/>
  <c r="C29" i="43" s="1"/>
  <c r="C30" i="43" s="1"/>
  <c r="E30" i="43" s="1"/>
  <c r="S3" i="43"/>
  <c r="T3" i="43" s="1"/>
  <c r="V3" i="43" s="1"/>
  <c r="I109" i="43"/>
  <c r="I102" i="43"/>
  <c r="I106" i="43"/>
  <c r="I103" i="43"/>
  <c r="I104" i="43"/>
  <c r="I105" i="43"/>
  <c r="I107" i="43"/>
  <c r="D109" i="43"/>
  <c r="D103" i="43"/>
  <c r="D104" i="43"/>
  <c r="D107" i="43"/>
  <c r="D106" i="43"/>
  <c r="D105" i="43"/>
  <c r="D102" i="43"/>
  <c r="G105" i="43"/>
  <c r="G103" i="43"/>
  <c r="G106" i="43"/>
  <c r="G109" i="43"/>
  <c r="G104" i="43"/>
  <c r="G102" i="43"/>
  <c r="G107" i="43"/>
  <c r="N109" i="79"/>
  <c r="N107" i="79"/>
  <c r="N105" i="79"/>
  <c r="N103" i="79"/>
  <c r="N106" i="79"/>
  <c r="N104" i="79"/>
  <c r="N102" i="79"/>
  <c r="L107" i="79"/>
  <c r="L105" i="79"/>
  <c r="L103" i="79"/>
  <c r="L109" i="79"/>
  <c r="L106" i="79"/>
  <c r="L104" i="79"/>
  <c r="L102" i="79"/>
  <c r="I109" i="79"/>
  <c r="I107" i="79"/>
  <c r="I105" i="79"/>
  <c r="I103" i="79"/>
  <c r="I106" i="79"/>
  <c r="I104" i="79"/>
  <c r="I102" i="79"/>
  <c r="F107" i="79"/>
  <c r="F105" i="79"/>
  <c r="F103" i="79"/>
  <c r="F109" i="79"/>
  <c r="F106" i="79"/>
  <c r="F104" i="79"/>
  <c r="F102" i="79"/>
  <c r="D22" i="79"/>
  <c r="H107" i="79"/>
  <c r="H105" i="79"/>
  <c r="H103" i="79"/>
  <c r="H109" i="79"/>
  <c r="H106" i="79"/>
  <c r="H104" i="79"/>
  <c r="H102" i="79"/>
  <c r="G107" i="79"/>
  <c r="G105" i="79"/>
  <c r="G103" i="79"/>
  <c r="G109" i="79"/>
  <c r="G106" i="79"/>
  <c r="G104" i="79"/>
  <c r="G102" i="79"/>
  <c r="I118" i="79"/>
  <c r="J118" i="79" s="1"/>
  <c r="K118" i="79" s="1"/>
  <c r="L118" i="79" s="1"/>
  <c r="M118" i="79" s="1"/>
  <c r="I117" i="79"/>
  <c r="J117" i="79" s="1"/>
  <c r="K117" i="79" s="1"/>
  <c r="L117" i="79" s="1"/>
  <c r="M117" i="79" s="1"/>
  <c r="I115" i="79"/>
  <c r="J115" i="79" s="1"/>
  <c r="K115" i="79" s="1"/>
  <c r="L115" i="79" s="1"/>
  <c r="M115" i="79" s="1"/>
  <c r="B118" i="79"/>
  <c r="C118" i="79" s="1"/>
  <c r="B117" i="79"/>
  <c r="C117" i="79" s="1"/>
  <c r="B116" i="79"/>
  <c r="C116" i="79" s="1"/>
  <c r="B115" i="79"/>
  <c r="G118" i="79"/>
  <c r="H118" i="79" s="1"/>
  <c r="I116" i="79"/>
  <c r="J116" i="79" s="1"/>
  <c r="K116" i="79" s="1"/>
  <c r="L116" i="79" s="1"/>
  <c r="M116" i="79" s="1"/>
  <c r="D118" i="79"/>
  <c r="E118" i="79" s="1"/>
  <c r="F118" i="79" s="1"/>
  <c r="D117" i="79"/>
  <c r="E117" i="79" s="1"/>
  <c r="F117" i="79" s="1"/>
  <c r="G117" i="79" s="1"/>
  <c r="H117" i="79" s="1"/>
  <c r="D116" i="79"/>
  <c r="E116" i="79" s="1"/>
  <c r="F116" i="79" s="1"/>
  <c r="G116" i="79" s="1"/>
  <c r="H116" i="79" s="1"/>
  <c r="D115" i="79"/>
  <c r="E115" i="79" s="1"/>
  <c r="F115" i="79" s="1"/>
  <c r="G115" i="79" s="1"/>
  <c r="H115" i="79" s="1"/>
  <c r="C24" i="78"/>
  <c r="J59" i="77"/>
  <c r="J60" i="77" s="1"/>
  <c r="AR7" i="1"/>
  <c r="T7" i="1"/>
  <c r="AQ7" i="1"/>
  <c r="M21" i="6"/>
  <c r="I21" i="6" s="1"/>
  <c r="S21" i="6" s="1"/>
  <c r="S8" i="1"/>
  <c r="E66" i="39"/>
  <c r="C115" i="43"/>
  <c r="D113" i="43" s="1"/>
  <c r="J22" i="43" s="1"/>
  <c r="AY6" i="3"/>
  <c r="E3" i="6"/>
  <c r="D3" i="33" s="1"/>
  <c r="M14" i="1"/>
  <c r="K16" i="1"/>
  <c r="AQ6" i="1"/>
  <c r="D3" i="37"/>
  <c r="T6" i="1"/>
  <c r="K27" i="6"/>
  <c r="M19" i="6"/>
  <c r="E37" i="43"/>
  <c r="AA7" i="36"/>
  <c r="R36" i="36" s="1"/>
  <c r="E36" i="36" s="1"/>
  <c r="E40" i="36" s="1"/>
  <c r="F40" i="36" s="1"/>
  <c r="AC11" i="37"/>
  <c r="W11" i="37"/>
  <c r="AB7" i="37"/>
  <c r="T42" i="37" s="1"/>
  <c r="G42" i="37" s="1"/>
  <c r="G46" i="37" s="1"/>
  <c r="H46" i="37" s="1"/>
  <c r="W11" i="34"/>
  <c r="AC11" i="34"/>
  <c r="J5" i="67"/>
  <c r="J5" i="15"/>
  <c r="AB7" i="36"/>
  <c r="T36" i="36" s="1"/>
  <c r="E38" i="43"/>
  <c r="E6" i="3"/>
  <c r="C47" i="68"/>
  <c r="D45" i="68" s="1"/>
  <c r="AA10" i="39"/>
  <c r="C13" i="12"/>
  <c r="C26" i="12"/>
  <c r="D25" i="12" s="1"/>
  <c r="F34" i="11"/>
  <c r="F11" i="12"/>
  <c r="F34" i="68"/>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C47" i="11"/>
  <c r="D45" i="11" s="1"/>
  <c r="C29" i="11"/>
  <c r="D27" i="11" s="1"/>
  <c r="C14" i="77"/>
  <c r="C17" i="78"/>
  <c r="E29" i="43" l="1"/>
  <c r="C26" i="43" s="1"/>
  <c r="C38" i="15"/>
  <c r="J26" i="77"/>
  <c r="J18" i="77"/>
  <c r="AA7" i="34"/>
  <c r="R49" i="34" s="1"/>
  <c r="E6" i="70"/>
  <c r="AQ11" i="1"/>
  <c r="AR11" i="1"/>
  <c r="T11" i="1"/>
  <c r="AR12" i="1"/>
  <c r="AQ12" i="1"/>
  <c r="T12" i="1"/>
  <c r="AR13" i="1"/>
  <c r="T13" i="1"/>
  <c r="AQ13" i="1"/>
  <c r="AR10" i="1"/>
  <c r="T10" i="1"/>
  <c r="AQ10" i="1"/>
  <c r="AR9" i="1"/>
  <c r="AQ9" i="1"/>
  <c r="T9" i="1"/>
  <c r="C15" i="77"/>
  <c r="C18" i="77"/>
  <c r="C19" i="77"/>
  <c r="E8" i="70"/>
  <c r="C115" i="79"/>
  <c r="D113" i="79" s="1"/>
  <c r="J22" i="79" s="1"/>
  <c r="S7" i="79"/>
  <c r="T7" i="79" s="1"/>
  <c r="V7" i="79" s="1"/>
  <c r="S6" i="79"/>
  <c r="T6" i="79" s="1"/>
  <c r="V6" i="79" s="1"/>
  <c r="S2" i="79"/>
  <c r="T2" i="79" s="1"/>
  <c r="V2" i="79" s="1"/>
  <c r="S5" i="79"/>
  <c r="T5" i="79" s="1"/>
  <c r="V5" i="79" s="1"/>
  <c r="S4" i="79"/>
  <c r="T4" i="79" s="1"/>
  <c r="V4" i="79" s="1"/>
  <c r="S3" i="79"/>
  <c r="T3" i="79" s="1"/>
  <c r="V3" i="79" s="1"/>
  <c r="C23" i="79"/>
  <c r="C21" i="79" s="1"/>
  <c r="C29" i="79" s="1"/>
  <c r="Q48" i="77"/>
  <c r="L46" i="77"/>
  <c r="AR8" i="1"/>
  <c r="AQ8" i="1"/>
  <c r="T8" i="1"/>
  <c r="D3" i="21"/>
  <c r="D14" i="12"/>
  <c r="D17" i="12" s="1"/>
  <c r="C17" i="12" s="1"/>
  <c r="D19" i="11"/>
  <c r="C19" i="11" s="1"/>
  <c r="C20" i="11" s="1"/>
  <c r="C25" i="11" s="1"/>
  <c r="B14" i="74"/>
  <c r="B1" i="74" s="1"/>
  <c r="C17" i="4"/>
  <c r="B4" i="52" s="1"/>
  <c r="B43" i="72" s="1"/>
  <c r="D3" i="34"/>
  <c r="D37" i="11"/>
  <c r="C37" i="11" s="1"/>
  <c r="M18" i="9"/>
  <c r="B118" i="9"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103" i="3"/>
  <c r="AY50" i="3"/>
  <c r="AY160" i="3"/>
  <c r="AY289" i="3"/>
  <c r="AY183" i="3"/>
  <c r="AY261" i="3"/>
  <c r="AY284" i="3"/>
  <c r="AY209"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7" i="3"/>
  <c r="AY196" i="3"/>
  <c r="AY139" i="3"/>
  <c r="AY74" i="3"/>
  <c r="AY123" i="3"/>
  <c r="AY204" i="3"/>
  <c r="AY252" i="3"/>
  <c r="AY363" i="3"/>
  <c r="AY489" i="3"/>
  <c r="AY412" i="3"/>
  <c r="AY43" i="3"/>
  <c r="AY229" i="3"/>
  <c r="AY379" i="3"/>
  <c r="AY326" i="3"/>
  <c r="AY436" i="3"/>
  <c r="AY557" i="3"/>
  <c r="AY540" i="3"/>
  <c r="AY105" i="3"/>
  <c r="AY69" i="3"/>
  <c r="AY52" i="3"/>
  <c r="AY198"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498" i="3"/>
  <c r="AY586" i="3"/>
  <c r="D20" i="12"/>
  <c r="C20" i="12" s="1"/>
  <c r="C18" i="12" s="1"/>
  <c r="O14" i="1"/>
  <c r="M16" i="1"/>
  <c r="M27" i="6"/>
  <c r="I19" i="6"/>
  <c r="L18" i="9" s="1"/>
  <c r="D6" i="6"/>
  <c r="C36" i="11"/>
  <c r="J24" i="67"/>
  <c r="J18" i="67"/>
  <c r="J24" i="15"/>
  <c r="J18" i="15"/>
  <c r="G36" i="36"/>
  <c r="R37" i="36"/>
  <c r="AB7" i="34"/>
  <c r="T49" i="34" s="1"/>
  <c r="G49" i="34" s="1"/>
  <c r="G53" i="34" s="1"/>
  <c r="H53" i="34" s="1"/>
  <c r="W7" i="21"/>
  <c r="AA7" i="21"/>
  <c r="R48" i="21" s="1"/>
  <c r="E48" i="21" s="1"/>
  <c r="E52" i="21" s="1"/>
  <c r="F52" i="21" s="1"/>
  <c r="C36" i="68"/>
  <c r="U7" i="2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C23" i="12"/>
  <c r="C14" i="78"/>
  <c r="E7" i="76"/>
  <c r="R50" i="34" l="1"/>
  <c r="C49" i="34" s="1"/>
  <c r="C15" i="78"/>
  <c r="C18" i="78"/>
  <c r="E29" i="79"/>
  <c r="C26" i="79" s="1"/>
  <c r="C30" i="79"/>
  <c r="E30" i="79" s="1"/>
  <c r="C27" i="79" s="1"/>
  <c r="C20" i="77"/>
  <c r="C26" i="77" s="1"/>
  <c r="J59" i="78"/>
  <c r="J60" i="78" s="1"/>
  <c r="Q48" i="78" s="1"/>
  <c r="C14" i="12"/>
  <c r="C24" i="11"/>
  <c r="C22" i="11" s="1"/>
  <c r="C28" i="11"/>
  <c r="C27" i="11" s="1"/>
  <c r="C14" i="74"/>
  <c r="B2" i="74" s="1"/>
  <c r="D19" i="6"/>
  <c r="D26" i="6"/>
  <c r="C18" i="4"/>
  <c r="D8" i="6"/>
  <c r="D23" i="6"/>
  <c r="D14" i="6"/>
  <c r="D5" i="6"/>
  <c r="D9" i="6"/>
  <c r="D10" i="6"/>
  <c r="D29" i="6"/>
  <c r="H25" i="6"/>
  <c r="H23" i="6"/>
  <c r="H26" i="6"/>
  <c r="H20" i="6"/>
  <c r="M19" i="9"/>
  <c r="C118" i="9" s="1"/>
  <c r="D25" i="6"/>
  <c r="D15" i="6"/>
  <c r="D22" i="6"/>
  <c r="D21" i="6"/>
  <c r="D24" i="6"/>
  <c r="D20" i="6"/>
  <c r="D12" i="6"/>
  <c r="D11" i="6"/>
  <c r="D13" i="6"/>
  <c r="D28" i="6"/>
  <c r="E61" i="40"/>
  <c r="H22" i="6"/>
  <c r="H21" i="6"/>
  <c r="H24" i="6"/>
  <c r="D10" i="11"/>
  <c r="C10" i="11" s="1"/>
  <c r="D10" i="68"/>
  <c r="N16" i="1"/>
  <c r="L16" i="1"/>
  <c r="C34" i="68"/>
  <c r="C38" i="68" s="1"/>
  <c r="C34" i="11"/>
  <c r="P14" i="1"/>
  <c r="P16" i="1" s="1"/>
  <c r="C11" i="12" s="1"/>
  <c r="O16" i="1"/>
  <c r="S19" i="6"/>
  <c r="S27" i="6" s="1"/>
  <c r="H19" i="6"/>
  <c r="L19" i="9" s="1"/>
  <c r="I27" i="6"/>
  <c r="B2" i="43"/>
  <c r="R49" i="2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B7" i="76"/>
  <c r="E6" i="76"/>
  <c r="C50" i="34" l="1"/>
  <c r="C23" i="77"/>
  <c r="C29" i="77" s="1"/>
  <c r="Q49" i="77" s="1"/>
  <c r="C19" i="78"/>
  <c r="C20" i="78" s="1"/>
  <c r="C26" i="78" s="1"/>
  <c r="E2" i="76"/>
  <c r="B2" i="79"/>
  <c r="C31" i="11"/>
  <c r="L46" i="78"/>
  <c r="L57" i="77"/>
  <c r="L60" i="77" s="1"/>
  <c r="R24" i="6"/>
  <c r="R22" i="6"/>
  <c r="R25" i="6"/>
  <c r="R23" i="6"/>
  <c r="A7" i="51"/>
  <c r="B7" i="72" s="1"/>
  <c r="A10" i="51"/>
  <c r="B9" i="72" s="1"/>
  <c r="C4" i="52"/>
  <c r="B45" i="72" s="1"/>
  <c r="D27" i="6"/>
  <c r="D19" i="68"/>
  <c r="C10" i="68"/>
  <c r="D30" i="6"/>
  <c r="R20" i="6"/>
  <c r="R21" i="6"/>
  <c r="D16" i="6"/>
  <c r="R26" i="6"/>
  <c r="C35" i="68"/>
  <c r="C38" i="11"/>
  <c r="C35" i="11"/>
  <c r="C12" i="12"/>
  <c r="C15" i="12"/>
  <c r="F50" i="69"/>
  <c r="F50" i="11"/>
  <c r="F50" i="68"/>
  <c r="R19" i="6"/>
  <c r="H27" i="6"/>
  <c r="B3" i="43"/>
  <c r="C49" i="21"/>
  <c r="I63" i="40"/>
  <c r="H65" i="40"/>
  <c r="I70" i="39"/>
  <c r="B6" i="76"/>
  <c r="F35" i="77"/>
  <c r="M21" i="77"/>
  <c r="C57" i="77" l="1"/>
  <c r="C64" i="77" s="1"/>
  <c r="C33" i="77"/>
  <c r="J14" i="77"/>
  <c r="J22" i="77" s="1"/>
  <c r="J19" i="77"/>
  <c r="C36" i="77"/>
  <c r="C13" i="77"/>
  <c r="C75" i="77" s="1"/>
  <c r="C23" i="78"/>
  <c r="C29" i="78" s="1"/>
  <c r="C57" i="78" s="1"/>
  <c r="R10" i="1"/>
  <c r="R13" i="1"/>
  <c r="R11" i="1"/>
  <c r="R9" i="1"/>
  <c r="R12" i="1"/>
  <c r="R7" i="1"/>
  <c r="R8" i="1"/>
  <c r="B2" i="76"/>
  <c r="B3" i="76" s="1"/>
  <c r="B3" i="79"/>
  <c r="F63" i="77"/>
  <c r="C62" i="77" s="1"/>
  <c r="C34" i="77"/>
  <c r="J20" i="77"/>
  <c r="L57" i="78"/>
  <c r="L60" i="78" s="1"/>
  <c r="Q57" i="77"/>
  <c r="Q66" i="77"/>
  <c r="R27" i="6"/>
  <c r="R6" i="1"/>
  <c r="C19" i="68"/>
  <c r="D37" i="68"/>
  <c r="C37" i="68" s="1"/>
  <c r="C33" i="68" s="1"/>
  <c r="D31" i="6"/>
  <c r="C33" i="11"/>
  <c r="C42" i="11" s="1"/>
  <c r="C16" i="12"/>
  <c r="C21" i="12" s="1"/>
  <c r="C22" i="12" s="1"/>
  <c r="C30" i="12" s="1"/>
  <c r="C28" i="12" s="1"/>
  <c r="J63" i="40"/>
  <c r="I65" i="40"/>
  <c r="J70" i="39"/>
  <c r="F35" i="67"/>
  <c r="F35" i="15"/>
  <c r="M21" i="15"/>
  <c r="M21" i="78"/>
  <c r="F35" i="78"/>
  <c r="M21" i="67"/>
  <c r="C61" i="77" l="1"/>
  <c r="C31" i="77"/>
  <c r="C56" i="77"/>
  <c r="C65" i="77" s="1"/>
  <c r="J19" i="78"/>
  <c r="C37" i="77"/>
  <c r="J17" i="77"/>
  <c r="Q70" i="77"/>
  <c r="J13" i="77"/>
  <c r="J23" i="77" s="1"/>
  <c r="C13" i="78"/>
  <c r="Y24" i="31" s="1"/>
  <c r="J14" i="78"/>
  <c r="J22" i="78" s="1"/>
  <c r="C33" i="78"/>
  <c r="C36" i="78"/>
  <c r="Q49" i="78"/>
  <c r="C6" i="68"/>
  <c r="C7" i="68" s="1"/>
  <c r="C5" i="68" s="1"/>
  <c r="C34" i="78"/>
  <c r="F63" i="78"/>
  <c r="C62" i="78" s="1"/>
  <c r="J20" i="78"/>
  <c r="J16" i="77"/>
  <c r="J25" i="77" s="1"/>
  <c r="C59" i="77"/>
  <c r="C58" i="77" s="1"/>
  <c r="C67" i="77" s="1"/>
  <c r="F63" i="67"/>
  <c r="C62" i="67" s="1"/>
  <c r="C34" i="67"/>
  <c r="J20" i="67"/>
  <c r="C37" i="78"/>
  <c r="C61" i="78"/>
  <c r="C64" i="78"/>
  <c r="J20" i="15"/>
  <c r="F63" i="15"/>
  <c r="C62" i="15" s="1"/>
  <c r="C34" i="15"/>
  <c r="R16" i="1"/>
  <c r="Q66" i="78"/>
  <c r="Q57" i="78"/>
  <c r="C39" i="11"/>
  <c r="C43" i="11" s="1"/>
  <c r="C41" i="11" s="1"/>
  <c r="C27" i="12"/>
  <c r="C25" i="12" s="1"/>
  <c r="C32" i="12" s="1"/>
  <c r="B2" i="12" s="1"/>
  <c r="B3" i="12" s="1"/>
  <c r="C39" i="68"/>
  <c r="C43" i="68" s="1"/>
  <c r="C42" i="68"/>
  <c r="I6" i="6"/>
  <c r="I7" i="6" s="1"/>
  <c r="I5" i="6"/>
  <c r="C24" i="68"/>
  <c r="K63" i="40"/>
  <c r="J65" i="40"/>
  <c r="K70" i="39"/>
  <c r="Q70" i="78" l="1"/>
  <c r="C30" i="77"/>
  <c r="C39" i="77" s="1"/>
  <c r="Q69" i="77" s="1"/>
  <c r="Q68" i="77" s="1"/>
  <c r="C75" i="78"/>
  <c r="J17" i="78"/>
  <c r="C59" i="78"/>
  <c r="J13" i="78"/>
  <c r="J23" i="78" s="1"/>
  <c r="C31" i="78"/>
  <c r="C56" i="78"/>
  <c r="C65" i="78" s="1"/>
  <c r="C30" i="78"/>
  <c r="C39" i="78" s="1"/>
  <c r="C80" i="78" s="1"/>
  <c r="C79" i="78" s="1"/>
  <c r="C23" i="68"/>
  <c r="C20" i="68"/>
  <c r="C25" i="68" s="1"/>
  <c r="C46" i="68"/>
  <c r="C45" i="68" s="1"/>
  <c r="C41" i="68"/>
  <c r="C46" i="11"/>
  <c r="C45" i="11" s="1"/>
  <c r="C49" i="11" s="1"/>
  <c r="C51" i="11" s="1"/>
  <c r="C52" i="11" s="1"/>
  <c r="B2" i="11" s="1"/>
  <c r="B3" i="11" s="1"/>
  <c r="C28" i="68"/>
  <c r="C27" i="68" s="1"/>
  <c r="L63" i="40"/>
  <c r="K65" i="40"/>
  <c r="L70" i="39"/>
  <c r="E2" i="70"/>
  <c r="C34" i="69"/>
  <c r="L51" i="78"/>
  <c r="C17" i="67"/>
  <c r="J16" i="78" l="1"/>
  <c r="J25" i="78" s="1"/>
  <c r="C80" i="77"/>
  <c r="C79" i="77" s="1"/>
  <c r="C58" i="78"/>
  <c r="C67" i="78" s="1"/>
  <c r="Q69" i="78"/>
  <c r="Q68" i="78" s="1"/>
  <c r="Q67" i="78"/>
  <c r="C22" i="68"/>
  <c r="C49" i="68"/>
  <c r="C51" i="68" s="1"/>
  <c r="C31" i="68"/>
  <c r="C56" i="11"/>
  <c r="C57" i="11" s="1"/>
  <c r="M63" i="40"/>
  <c r="L65" i="40"/>
  <c r="M70" i="39"/>
  <c r="C35" i="69"/>
  <c r="C38" i="69"/>
  <c r="D10" i="69"/>
  <c r="L51" i="77"/>
  <c r="Q67" i="77" l="1"/>
  <c r="C52" i="68"/>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7"/>
  <c r="J29" i="77" l="1"/>
  <c r="F69" i="77"/>
  <c r="C68" i="77" s="1"/>
  <c r="C71" i="77" s="1"/>
  <c r="C40" i="77"/>
  <c r="Q66" i="67"/>
  <c r="Q57" i="67"/>
  <c r="C58" i="67"/>
  <c r="C67" i="67" s="1"/>
  <c r="C19" i="15"/>
  <c r="Q65" i="77" l="1"/>
  <c r="Q75" i="77" s="1"/>
  <c r="Q56" i="77"/>
  <c r="Q62" i="77" s="1"/>
  <c r="C46" i="77"/>
  <c r="C83" i="77"/>
  <c r="C82" i="77" s="1"/>
  <c r="C43" i="77"/>
  <c r="Q47" i="77"/>
  <c r="Q53" i="77" s="1"/>
  <c r="B2" i="77"/>
  <c r="B3" i="77"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F41" i="78"/>
  <c r="L51" i="15"/>
  <c r="M27" i="78"/>
  <c r="M27" i="15"/>
  <c r="F41" i="67"/>
  <c r="F41" i="15"/>
  <c r="Q67" i="15" l="1"/>
  <c r="J29" i="78"/>
  <c r="F69" i="78"/>
  <c r="C68" i="78" s="1"/>
  <c r="C40" i="78"/>
  <c r="X24" i="31" s="1"/>
  <c r="C71" i="78"/>
  <c r="J26" i="15"/>
  <c r="J29" i="15" s="1"/>
  <c r="J26" i="67"/>
  <c r="J29" i="67" s="1"/>
  <c r="C58" i="15"/>
  <c r="C67" i="15" s="1"/>
  <c r="F69" i="15"/>
  <c r="C40" i="15"/>
  <c r="C43" i="15" s="1"/>
  <c r="L46" i="15"/>
  <c r="Q57" i="15"/>
  <c r="Q66" i="15"/>
  <c r="F69" i="67"/>
  <c r="C68" i="67" s="1"/>
  <c r="C71" i="67" s="1"/>
  <c r="C40" i="67"/>
  <c r="C83" i="67" s="1"/>
  <c r="C82" i="67" s="1"/>
  <c r="B2" i="78" l="1"/>
  <c r="B3" i="78" s="1"/>
  <c r="Q56" i="78"/>
  <c r="Q62" i="78" s="1"/>
  <c r="C46" i="78"/>
  <c r="C83" i="78"/>
  <c r="C82" i="78" s="1"/>
  <c r="Q47" i="78"/>
  <c r="Q53" i="78" s="1"/>
  <c r="C43" i="78"/>
  <c r="Q65" i="78"/>
  <c r="Q75"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2" i="68"/>
  <c r="B3" i="67"/>
  <c r="D2" i="35"/>
  <c r="F20" i="31"/>
  <c r="D2" i="34"/>
  <c r="D2" i="36"/>
  <c r="D2" i="33"/>
  <c r="E2" i="68"/>
  <c r="D2" i="37"/>
  <c r="D2" i="21"/>
  <c r="B2" i="36" l="1"/>
  <c r="B3" i="36" s="1"/>
  <c r="B2" i="35"/>
  <c r="B3" i="35" s="1"/>
  <c r="B2" i="37"/>
  <c r="B3" i="37" s="1"/>
  <c r="B2" i="34"/>
  <c r="B2" i="21"/>
  <c r="B3" i="21" s="1"/>
  <c r="B2" i="70"/>
  <c r="B3" i="70" s="1"/>
  <c r="B3" i="68"/>
  <c r="D19" i="9"/>
  <c r="D20" i="9"/>
  <c r="C19" i="9"/>
  <c r="C21" i="9" l="1"/>
  <c r="C102" i="9"/>
  <c r="B3" i="34"/>
  <c r="G19" i="9"/>
  <c r="D102" i="9"/>
  <c r="D22" i="9"/>
  <c r="D21" i="9"/>
  <c r="D103" i="9"/>
  <c r="C20" i="9"/>
  <c r="C103" i="9" l="1"/>
  <c r="G20" i="9"/>
  <c r="R24" i="31" s="1"/>
  <c r="S24" i="31" s="1"/>
  <c r="C32" i="9"/>
  <c r="G21" i="9"/>
  <c r="D34" i="9"/>
  <c r="R42" i="31" l="1"/>
  <c r="S42" i="31" s="1"/>
  <c r="R36" i="31"/>
  <c r="S36" i="31" s="1"/>
  <c r="R26" i="31"/>
  <c r="S26" i="31" s="1"/>
  <c r="R37" i="31"/>
  <c r="S37" i="31" s="1"/>
  <c r="R31" i="31"/>
  <c r="S31" i="31" s="1"/>
  <c r="R34" i="31"/>
  <c r="S34" i="31" s="1"/>
  <c r="R29" i="31"/>
  <c r="S29" i="31" s="1"/>
  <c r="R28" i="31"/>
  <c r="R44" i="31"/>
  <c r="S44" i="31" s="1"/>
  <c r="R39" i="31"/>
  <c r="S39" i="31" s="1"/>
  <c r="R30" i="31"/>
  <c r="R38" i="31"/>
  <c r="S38" i="31" s="1"/>
  <c r="R25" i="31"/>
  <c r="S25" i="31" s="1"/>
  <c r="R33" i="31"/>
  <c r="S33" i="31" s="1"/>
  <c r="R41" i="31"/>
  <c r="S41" i="31" s="1"/>
  <c r="R32" i="31"/>
  <c r="S32" i="31" s="1"/>
  <c r="R40" i="31"/>
  <c r="S40" i="31" s="1"/>
  <c r="R27" i="31"/>
  <c r="S27" i="31" s="1"/>
  <c r="R35" i="31"/>
  <c r="S35" i="31" s="1"/>
  <c r="R43" i="31"/>
  <c r="S43" i="31" s="1"/>
  <c r="H109" i="9"/>
  <c r="S28" i="31" l="1"/>
  <c r="S30" i="31"/>
  <c r="E23" i="74"/>
  <c r="F23" i="74"/>
  <c r="E22" i="74"/>
  <c r="F22" i="74"/>
  <c r="F21" i="74"/>
  <c r="E21" i="74"/>
  <c r="E20" i="74"/>
  <c r="F20" i="74"/>
  <c r="F19" i="74"/>
  <c r="F17" i="74"/>
  <c r="E17" i="74"/>
  <c r="F18" i="74"/>
  <c r="E18" i="74"/>
  <c r="F16" i="74"/>
  <c r="E16" i="74"/>
  <c r="E15" i="74"/>
  <c r="F15" i="74"/>
  <c r="H110" i="9"/>
  <c r="D18" i="53" s="1"/>
  <c r="B35" i="72" s="1"/>
  <c r="D124" i="9"/>
  <c r="D16" i="53"/>
  <c r="B34" i="72" s="1"/>
  <c r="E19" i="74" l="1"/>
  <c r="S22" i="31"/>
  <c r="D10" i="52"/>
  <c r="H14" i="74"/>
  <c r="D17" i="53"/>
  <c r="B36" i="72" s="1"/>
  <c r="D125" i="9"/>
  <c r="D11" i="52" s="1"/>
  <c r="B20" i="31" l="1"/>
  <c r="R22" i="31"/>
  <c r="B21" i="31" s="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I14" i="74" l="1"/>
  <c r="B8" i="74" s="1"/>
  <c r="D127" i="9"/>
  <c r="D13" i="52" s="1"/>
  <c r="D12" i="52"/>
  <c r="B38" i="72"/>
  <c r="D20" i="53"/>
  <c r="B40" i="72" s="1"/>
  <c r="F118" i="9"/>
  <c r="G118" i="9" s="1"/>
  <c r="G4" i="52" s="1"/>
  <c r="D118" i="9"/>
  <c r="D119" i="9" s="1"/>
  <c r="D5" i="52" s="1"/>
  <c r="H118" i="9"/>
  <c r="C104" i="9" s="1"/>
  <c r="B52" i="72" l="1"/>
  <c r="B49" i="72"/>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<sst xmlns="http://schemas.openxmlformats.org/spreadsheetml/2006/main" count="8647" uniqueCount="3180">
  <si>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</si>
  <si>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</si>
  <si>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</si>
  <si>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</si>
  <si>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</si>
  <si>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</si>
  <si>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</si>
  <si>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</si>
  <si>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</si>
  <si>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</si>
  <si>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</si>
  <si>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</si>
  <si>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</si>
  <si>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</si>
  <si>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</si>
  <si>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</si>
  <si>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</si>
  <si>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</si>
  <si>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</si>
  <si>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</si>
  <si>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</si>
  <si>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</si>
  <si>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</si>
  <si>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</si>
  <si>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</si>
  <si>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</si>
  <si>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</si>
  <si>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</si>
  <si>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</si>
  <si>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</si>
  <si>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</si>
  <si>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</si>
  <si>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</si>
  <si>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</si>
  <si>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</si>
  <si>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</si>
  <si>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</si>
  <si>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</si>
  <si>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</si>
  <si>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</si>
  <si>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</si>
  <si>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</si>
  <si>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</si>
  <si>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</si>
  <si>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</si>
  <si>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</si>
  <si>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</si>
  <si>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</si>
  <si>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</si>
  <si>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</si>
  <si>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</si>
  <si>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</si>
  <si>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</si>
  <si>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</si>
  <si>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</si>
  <si>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</si>
  <si>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</si>
  <si>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</si>
  <si>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</si>
  <si>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</si>
  <si>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</si>
  <si>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</si>
  <si>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</si>
  <si>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</si>
  <si>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</si>
  <si>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</si>
  <si>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</si>
  <si>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</si>
  <si>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</si>
  <si>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</si>
  <si>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</si>
  <si>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</si>
  <si>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</si>
  <si>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</si>
  <si>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</si>
  <si>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</si>
  <si>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</si>
  <si>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</si>
  <si>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</si>
  <si>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</si>
  <si>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</si>
  <si>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</si>
  <si>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</si>
  <si>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</si>
  <si>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</si>
  <si>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</si>
  <si>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</si>
  <si>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</si>
  <si>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</si>
  <si>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</si>
  <si>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</si>
  <si>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</si>
  <si>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</si>
  <si>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</si>
  <si>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</si>
  <si>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</si>
  <si>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</si>
  <si>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</si>
  <si>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</si>
  <si>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</si>
  <si>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</si>
  <si>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</si>
  <si>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</si>
  <si>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</si>
  <si>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</si>
  <si>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</si>
  <si>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</si>
  <si>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</si>
  <si>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</si>
  <si>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</si>
  <si>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</si>
  <si>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</si>
  <si>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</si>
  <si>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</si>
  <si>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</si>
  <si>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</si>
  <si>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</si>
  <si>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</si>
  <si>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</si>
  <si>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</si>
  <si>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</si>
  <si>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</si>
  <si>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</si>
  <si>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</si>
  <si>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</si>
  <si>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</si>
  <si>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</si>
  <si>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</si>
  <si>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</si>
  <si>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</si>
  <si>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</si>
  <si>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</si>
  <si>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</si>
  <si>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</si>
  <si>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</si>
  <si>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</si>
  <si>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</si>
  <si>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</si>
  <si>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</si>
  <si>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</si>
  <si>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</si>
  <si>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</si>
  <si>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</si>
  <si>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</si>
  <si>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</si>
  <si>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</si>
  <si>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</si>
  <si>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</si>
  <si>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</si>
  <si>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</si>
  <si>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</si>
  <si>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</si>
  <si>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</si>
  <si>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</si>
  <si>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</si>
  <si>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</si>
  <si>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</si>
  <si>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</si>
  <si>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</si>
  <si>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</si>
  <si>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</si>
  <si>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</si>
  <si>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</si>
  <si>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</si>
  <si>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</si>
  <si>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</si>
  <si>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</si>
  <si>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</si>
  <si>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</si>
  <si>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</si>
  <si>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</si>
  <si>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</si>
  <si>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</si>
  <si>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</si>
  <si>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</si>
  <si>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</si>
  <si>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</si>
  <si>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</si>
  <si>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</si>
  <si>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</si>
  <si>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</si>
  <si>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</si>
  <si>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</si>
  <si>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</si>
  <si>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</si>
  <si>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</si>
  <si>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</si>
  <si>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</si>
  <si>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</si>
  <si>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</si>
  <si>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</si>
  <si>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</si>
  <si>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</si>
  <si>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</si>
  <si>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</si>
  <si>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</si>
  <si>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</si>
  <si>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</si>
  <si>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</si>
  <si>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</si>
  <si>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</si>
  <si>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</si>
  <si>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</si>
  <si>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</si>
  <si>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</si>
  <si>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</si>
  <si>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</si>
  <si>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</si>
  <si>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</si>
  <si>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</si>
  <si>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</si>
  <si>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</si>
  <si>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</si>
  <si>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</si>
  <si>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</si>
  <si>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</si>
  <si>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</si>
  <si>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</si>
  <si>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</si>
  <si>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</si>
  <si>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</si>
  <si>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</si>
  <si>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</si>
  <si>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</si>
  <si>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</si>
  <si>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</si>
  <si>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</si>
  <si>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</si>
  <si>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</si>
  <si>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</si>
  <si>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</si>
  <si>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</si>
  <si>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</si>
  <si>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</si>
  <si>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</si>
  <si>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</si>
  <si>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</si>
  <si>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</si>
  <si>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</si>
  <si>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</si>
  <si>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</si>
  <si>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</si>
  <si>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</si>
  <si>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</si>
  <si>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</si>
  <si>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</si>
  <si>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</si>
  <si>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</si>
  <si>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</si>
  <si>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</si>
  <si>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</si>
  <si>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</si>
  <si>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</si>
  <si>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</si>
  <si>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</si>
  <si>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</si>
  <si>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</si>
  <si>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</si>
  <si>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</si>
  <si>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</si>
  <si>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</si>
  <si>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</si>
  <si>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</si>
  <si>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</si>
  <si>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</si>
  <si>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</si>
  <si>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</si>
  <si>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</si>
  <si>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</si>
  <si>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</si>
  <si>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</si>
  <si>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</si>
  <si>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</si>
  <si>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</si>
  <si>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</si>
  <si>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</si>
  <si>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</si>
  <si>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</si>
  <si>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</si>
  <si>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</si>
  <si>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</si>
  <si>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</si>
  <si>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</si>
  <si>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</si>
  <si>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</si>
  <si>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</si>
  <si>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</si>
  <si>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</si>
  <si>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</si>
  <si>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</si>
  <si>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</si>
  <si>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</si>
  <si>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</si>
  <si>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</si>
  <si>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</si>
  <si>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</si>
  <si>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</si>
  <si>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</si>
  <si>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</si>
  <si>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</si>
  <si>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</si>
  <si>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</si>
  <si>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</si>
  <si>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</si>
  <si>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</si>
  <si>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</si>
  <si>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</si>
  <si>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</si>
  <si>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</si>
  <si>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</si>
  <si>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</si>
  <si>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</si>
  <si>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</si>
  <si>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</si>
  <si>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</si>
  <si>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</si>
  <si>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</si>
  <si>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</si>
  <si>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</si>
  <si>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</si>
  <si>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</si>
  <si>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</si>
  <si>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</si>
  <si>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</si>
  <si>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</si>
  <si>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</si>
  <si>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</si>
  <si>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</si>
  <si>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</si>
  <si>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</si>
  <si>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</si>
  <si>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</si>
  <si>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</si>
  <si>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</si>
  <si>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</si>
  <si>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</si>
  <si>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</si>
  <si>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</si>
  <si>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</si>
  <si>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</si>
  <si>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</si>
  <si>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</si>
  <si>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</si>
  <si>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</si>
  <si>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</si>
  <si>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</si>
  <si>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</si>
  <si>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</si>
  <si>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</si>
  <si>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</si>
  <si>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</si>
  <si>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</si>
  <si>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</si>
  <si>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</si>
  <si>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</si>
  <si>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</si>
  <si>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</si>
  <si>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</si>
  <si>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</si>
  <si>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</si>
  <si>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</si>
  <si>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</si>
  <si>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</si>
  <si>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</si>
  <si>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</si>
  <si>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</si>
  <si>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</si>
  <si>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</si>
  <si>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</si>
  <si>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</si>
  <si>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</si>
  <si>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</si>
  <si>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</si>
  <si>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</si>
  <si>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</si>
  <si>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</si>
  <si>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</si>
  <si>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</si>
  <si>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</si>
  <si>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</si>
  <si>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</si>
  <si>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</si>
  <si>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</si>
  <si>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</si>
  <si>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</si>
  <si>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</si>
  <si>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</si>
  <si>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</si>
  <si>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</si>
  <si>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</si>
  <si>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</si>
  <si>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</si>
  <si>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</si>
  <si>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</si>
  <si>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</si>
  <si>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</si>
  <si>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</si>
  <si>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</si>
  <si>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</si>
  <si>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</si>
  <si>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</si>
  <si>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</si>
  <si>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</si>
  <si>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</si>
  <si>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</si>
  <si>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</si>
  <si>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</si>
  <si>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</si>
  <si>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</si>
  <si>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</si>
  <si>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</si>
  <si>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</si>
  <si>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</si>
  <si>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</si>
  <si>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</si>
  <si>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</si>
  <si>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</si>
  <si>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</si>
  <si>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</si>
  <si>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</si>
  <si>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</si>
  <si>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</si>
  <si>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</si>
  <si>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</si>
  <si>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</si>
  <si>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</si>
  <si>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</si>
  <si>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</si>
  <si>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</si>
  <si>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</si>
  <si>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</si>
  <si>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</si>
  <si>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</si>
  <si>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</si>
  <si>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</si>
  <si>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</si>
  <si>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</si>
  <si>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</si>
  <si>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</si>
  <si>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</si>
  <si>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</si>
  <si>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</si>
  <si>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</si>
  <si>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</si>
  <si>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</si>
  <si>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</si>
  <si>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</si>
  <si>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</si>
  <si>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</si>
  <si>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</si>
  <si>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</si>
  <si>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</si>
  <si>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</si>
  <si>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</si>
  <si>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</si>
  <si>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</si>
  <si>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</si>
  <si>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</si>
  <si>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</si>
  <si>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</si>
  <si>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</si>
  <si>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</si>
  <si>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</si>
  <si>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</si>
  <si>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</si>
  <si>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</si>
  <si>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</si>
  <si>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</si>
  <si>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</si>
  <si>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</si>
  <si>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</si>
  <si>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</si>
  <si>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</si>
  <si>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</si>
  <si>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</si>
  <si>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</si>
  <si>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</si>
  <si>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</si>
  <si>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</si>
  <si>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</si>
  <si>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</si>
  <si>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</si>
  <si>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</si>
  <si>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</si>
  <si>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</si>
  <si>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</si>
  <si>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</si>
  <si>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</si>
  <si>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</si>
  <si>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</si>
  <si>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</si>
  <si>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</si>
  <si>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</si>
  <si>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</si>
  <si>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</si>
  <si>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</si>
  <si>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</si>
  <si>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</si>
  <si>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</si>
  <si>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</si>
  <si>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</si>
  <si>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</si>
  <si>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</si>
  <si>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</si>
  <si>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</si>
  <si>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</si>
  <si>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</si>
  <si>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</si>
  <si>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</si>
  <si>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</si>
  <si>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</si>
  <si>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</si>
  <si>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</si>
  <si>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</si>
  <si>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</si>
  <si>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</si>
  <si>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</si>
  <si>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</si>
  <si>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</si>
  <si>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</si>
  <si>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</si>
  <si>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</si>
  <si>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</si>
  <si>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</si>
  <si>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</si>
  <si>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</si>
  <si>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</si>
  <si>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</si>
  <si>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</si>
  <si>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</si>
  <si>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</si>
  <si>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</si>
  <si>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</si>
  <si>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</si>
  <si>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</si>
  <si>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</si>
  <si>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</si>
  <si>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</si>
  <si>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</si>
  <si>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</si>
  <si>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</si>
  <si>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</si>
  <si>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</si>
  <si>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</si>
  <si>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</si>
  <si>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</si>
  <si>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</si>
  <si>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</si>
  <si>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</si>
  <si>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</si>
  <si>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</si>
  <si>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</si>
  <si>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</si>
  <si>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</si>
  <si>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</si>
  <si>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</si>
  <si>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</si>
  <si>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</si>
  <si>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</si>
  <si>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</si>
  <si>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</si>
  <si>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</si>
  <si>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</si>
  <si>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</si>
  <si>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</si>
  <si>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</si>
  <si>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</si>
  <si>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</si>
  <si>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</si>
  <si>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</si>
  <si>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</si>
  <si>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</si>
  <si>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</si>
  <si>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</si>
  <si>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</si>
  <si>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</si>
  <si>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</si>
  <si>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</si>
  <si>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</si>
  <si>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</si>
  <si>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</si>
  <si>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</si>
  <si>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</si>
  <si>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</si>
  <si>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</si>
  <si>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</si>
  <si>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</si>
  <si>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</si>
  <si>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</si>
  <si>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</si>
  <si>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</si>
  <si>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</si>
  <si>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</si>
  <si>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</si>
  <si>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</si>
  <si>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</si>
  <si>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</si>
  <si>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</si>
  <si>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</si>
  <si>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</si>
  <si>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</si>
  <si>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</si>
  <si>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</si>
  <si>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</si>
  <si>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</si>
  <si>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</si>
  <si>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</si>
  <si>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</si>
  <si>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</si>
  <si>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</si>
  <si>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</si>
  <si>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</si>
  <si>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</si>
  <si>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</si>
  <si>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</si>
  <si>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</si>
  <si>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</si>
  <si>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</si>
  <si>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</si>
  <si>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</si>
  <si>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</si>
  <si>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</si>
  <si>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</si>
  <si>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</si>
  <si>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</si>
  <si>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</si>
  <si>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</si>
  <si>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</si>
  <si>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</si>
  <si>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</si>
  <si>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</si>
  <si>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</si>
  <si>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</si>
  <si>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</si>
  <si>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</si>
  <si>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</si>
  <si>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</si>
  <si>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</si>
  <si>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</si>
  <si>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</si>
  <si>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</si>
  <si>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</si>
  <si>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</si>
  <si>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</si>
  <si>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</si>
  <si>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</si>
  <si>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</si>
  <si>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</si>
  <si>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</si>
  <si>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</si>
  <si>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</si>
  <si>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</si>
  <si>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</si>
  <si>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</si>
  <si>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</si>
  <si>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</si>
  <si>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</si>
  <si>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</si>
  <si>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</si>
  <si>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</si>
  <si>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</si>
  <si>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</si>
  <si>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</si>
  <si>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</si>
  <si>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</si>
  <si>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</si>
  <si>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</si>
  <si>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</si>
  <si>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</si>
  <si>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</si>
  <si>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</si>
  <si>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</si>
  <si>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</si>
  <si>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</si>
  <si>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</si>
  <si>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</si>
  <si>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</si>
  <si>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</si>
  <si>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</si>
  <si>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</si>
  <si>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</si>
  <si>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</si>
  <si>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</si>
  <si>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</si>
  <si>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</si>
  <si>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</si>
  <si>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</si>
  <si>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</si>
  <si>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</si>
  <si>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</si>
  <si>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</si>
  <si>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</si>
  <si>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</si>
  <si>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</si>
  <si>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</si>
  <si>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</si>
  <si>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</si>
  <si>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</si>
  <si>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</si>
  <si>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</si>
  <si>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</si>
  <si>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</si>
  <si>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</si>
  <si>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</si>
  <si>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</si>
  <si>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</si>
  <si>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</si>
  <si>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</si>
  <si>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</si>
  <si>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</si>
  <si>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</si>
  <si>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</si>
  <si>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</si>
  <si>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</si>
  <si>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</si>
  <si>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</si>
  <si>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</si>
  <si>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</si>
  <si>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</si>
  <si>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</si>
  <si>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</si>
  <si>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</si>
  <si>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</si>
  <si>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</si>
  <si>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</si>
  <si>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</si>
  <si>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</si>
  <si>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</si>
  <si>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</si>
  <si>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</si>
  <si>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</si>
  <si>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</si>
  <si>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</si>
  <si>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</si>
  <si>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</si>
  <si>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</si>
  <si>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</si>
  <si>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</si>
  <si>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</si>
  <si>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</si>
  <si>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</si>
  <si>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</si>
  <si>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</si>
  <si>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</si>
  <si>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</si>
  <si>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</si>
  <si>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</si>
  <si>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</si>
  <si>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</si>
  <si>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</si>
  <si>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</si>
  <si>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</si>
  <si>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</si>
  <si>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</si>
  <si>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</si>
  <si>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</si>
  <si>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</si>
  <si>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</si>
  <si>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</si>
  <si>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</si>
  <si>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</si>
  <si>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</si>
  <si>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</si>
  <si>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</si>
  <si>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</si>
  <si>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</si>
  <si>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</si>
  <si>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</si>
  <si>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</si>
  <si>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</si>
  <si>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</si>
  <si>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</si>
  <si>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</si>
  <si>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</si>
  <si>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</si>
  <si>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</si>
  <si>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</si>
  <si>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</si>
  <si>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</si>
  <si>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</si>
  <si>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</si>
  <si>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</si>
  <si>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</si>
  <si>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</si>
  <si>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</si>
  <si>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</si>
  <si>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</si>
  <si>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</si>
  <si>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</si>
  <si>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</si>
  <si>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</si>
  <si>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</si>
  <si>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</si>
  <si>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</si>
  <si>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</si>
  <si>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</si>
  <si>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</si>
  <si>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</si>
  <si>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</si>
  <si>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</si>
  <si>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</si>
  <si>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</si>
  <si>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</si>
  <si>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</si>
  <si>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</si>
  <si>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</si>
  <si>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</si>
  <si>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</si>
  <si>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</si>
  <si>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</si>
  <si>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</si>
  <si>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</si>
  <si>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</si>
  <si>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</si>
  <si>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</si>
  <si>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</si>
  <si>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</si>
  <si>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</si>
  <si>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</si>
  <si>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</si>
  <si>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</si>
  <si>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</si>
  <si>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</si>
  <si>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</si>
  <si>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</si>
  <si>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</si>
  <si>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</si>
  <si>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</si>
  <si>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</si>
  <si>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</si>
  <si>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</si>
  <si>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</si>
  <si>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</si>
  <si>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</si>
  <si>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</si>
  <si>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</si>
  <si>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</si>
  <si>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</si>
  <si>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</si>
  <si>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</si>
  <si>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</si>
  <si>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</si>
  <si>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</si>
  <si>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</si>
  <si>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</si>
  <si>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</si>
  <si>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</si>
  <si>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</si>
  <si>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</si>
  <si>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</si>
  <si>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</si>
  <si>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</si>
  <si>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</si>
  <si>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</si>
  <si>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</si>
  <si>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</si>
  <si>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</si>
  <si>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</si>
  <si>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</si>
  <si>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</si>
  <si>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</si>
  <si>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</si>
  <si>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</si>
  <si>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</si>
  <si>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</si>
  <si>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</si>
  <si>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</si>
  <si>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</si>
  <si>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</si>
  <si>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</si>
  <si>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</si>
  <si>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</si>
  <si>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</si>
  <si>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</si>
  <si>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</si>
  <si>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</si>
  <si>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</si>
  <si>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</si>
  <si>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</si>
  <si>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</si>
  <si>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</si>
  <si>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</si>
  <si>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</si>
  <si>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</si>
  <si>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</si>
  <si>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</si>
  <si>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</si>
  <si>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</si>
  <si>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</si>
  <si>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</si>
  <si>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</si>
  <si>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</si>
  <si>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</si>
  <si>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</si>
  <si>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</si>
  <si>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</si>
  <si>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</si>
  <si>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</si>
  <si>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</si>
  <si>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</si>
  <si>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</si>
  <si>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</si>
  <si>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</si>
  <si>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</si>
  <si>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</si>
  <si>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</si>
  <si>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</si>
  <si>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</si>
  <si>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</si>
  <si>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</si>
  <si>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</si>
  <si>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</si>
  <si>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</si>
  <si>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</si>
  <si>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</si>
  <si>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</si>
  <si>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</si>
  <si>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</si>
  <si>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</si>
  <si>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</si>
  <si>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</si>
  <si>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</si>
  <si>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</si>
  <si>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</si>
  <si>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</si>
  <si>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</si>
  <si>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</si>
  <si>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</si>
  <si>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</si>
  <si>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</si>
  <si>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</si>
  <si>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</si>
  <si>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</si>
  <si>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</si>
  <si>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</si>
  <si>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</si>
  <si>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</si>
  <si>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</si>
  <si>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</si>
  <si>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</si>
  <si>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</si>
  <si>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</si>
  <si>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</si>
  <si>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</si>
  <si>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</si>
  <si>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</si>
  <si>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</si>
  <si>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</si>
  <si>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</si>
  <si>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</si>
  <si>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</si>
  <si>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</si>
  <si>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</si>
  <si>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</si>
  <si>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</si>
  <si>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</si>
  <si>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</si>
  <si>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</si>
  <si>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</si>
  <si>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</si>
  <si>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</si>
  <si>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</si>
  <si>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</si>
  <si>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</si>
  <si>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</si>
  <si>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</si>
  <si>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</si>
  <si>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</si>
  <si>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</si>
  <si>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</si>
  <si>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</si>
  <si>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</si>
  <si>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</si>
  <si>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</si>
  <si>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</si>
  <si>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</si>
  <si>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</si>
  <si>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</si>
  <si>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</si>
  <si>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</si>
  <si>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</si>
  <si>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</si>
  <si>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</si>
  <si>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</si>
  <si>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</si>
  <si>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</si>
  <si>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</si>
  <si>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</si>
  <si>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</si>
  <si>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</si>
  <si>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</si>
  <si>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</si>
  <si>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</si>
  <si>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</si>
  <si>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</si>
  <si>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</si>
  <si>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</si>
  <si>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</si>
  <si>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</si>
  <si>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</si>
  <si>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</si>
  <si>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</si>
  <si>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</si>
  <si>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</si>
  <si>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</si>
  <si>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</si>
  <si>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</si>
  <si>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</si>
  <si>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</si>
  <si>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</si>
  <si>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</si>
  <si>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</si>
  <si>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</si>
  <si>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</si>
  <si>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</si>
  <si>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</si>
  <si>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</si>
  <si>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</si>
  <si>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</si>
  <si>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</si>
  <si>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</si>
  <si>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</si>
  <si>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</si>
  <si>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</si>
  <si>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</si>
  <si>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</si>
  <si>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</si>
  <si>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</si>
  <si>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</si>
  <si>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</si>
  <si>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</si>
  <si>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</si>
  <si>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</si>
  <si>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</si>
  <si>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</si>
  <si>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</si>
  <si>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</si>
  <si>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</si>
  <si>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</si>
  <si>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</si>
  <si>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</si>
  <si>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</si>
  <si>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</si>
  <si>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</si>
  <si>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</si>
  <si>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</si>
  <si>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</si>
  <si>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</si>
  <si>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</si>
  <si>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</si>
  <si>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</si>
  <si>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</si>
  <si>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</si>
  <si>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</si>
  <si>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</si>
  <si>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</si>
  <si>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</si>
  <si>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</si>
  <si>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</si>
  <si>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</si>
  <si>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</si>
  <si>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</si>
  <si>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</si>
  <si>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</si>
  <si>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</si>
  <si>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</si>
  <si>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</si>
  <si>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</si>
  <si>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</si>
  <si>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</si>
  <si>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</si>
  <si>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</si>
  <si>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</si>
  <si>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</si>
  <si>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</si>
  <si>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</si>
  <si>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</si>
  <si>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</si>
  <si>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</si>
  <si>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</si>
  <si>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</si>
  <si>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</si>
  <si>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</si>
  <si>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</si>
  <si>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</si>
  <si>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</si>
  <si>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</si>
  <si>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</si>
  <si>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</si>
  <si>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</si>
  <si>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</si>
  <si>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</si>
  <si>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</si>
  <si>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</si>
  <si>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</si>
  <si>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</si>
  <si>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</si>
  <si>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</si>
  <si>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</si>
  <si>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</si>
  <si>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</si>
  <si>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</si>
  <si>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</si>
  <si>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</si>
  <si>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</si>
  <si>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</si>
  <si>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</si>
  <si>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</si>
  <si>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</si>
  <si>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</si>
  <si>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</si>
  <si>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</si>
  <si>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</si>
  <si>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</si>
  <si>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</si>
  <si>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</si>
  <si>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</si>
  <si>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</si>
  <si>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</si>
  <si>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</si>
  <si>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</si>
  <si>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</si>
  <si>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</si>
  <si>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</si>
  <si>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</si>
  <si>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</si>
  <si>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</si>
  <si>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</si>
  <si>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</si>
  <si>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</si>
  <si>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</si>
  <si>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</si>
  <si>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</si>
  <si>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</si>
  <si>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</si>
  <si>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</si>
  <si>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</si>
  <si>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</si>
  <si>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</si>
  <si>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</si>
  <si>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</si>
  <si>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</si>
  <si>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</si>
  <si>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</si>
  <si>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</si>
  <si>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</si>
  <si>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</si>
  <si>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</si>
  <si>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</si>
  <si>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</si>
  <si>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</si>
  <si>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</si>
  <si>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</si>
  <si>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</si>
  <si>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</si>
  <si>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</si>
  <si>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</si>
  <si>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</si>
  <si>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</si>
  <si>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</si>
  <si>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</si>
  <si>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</si>
  <si>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</si>
  <si>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</si>
  <si>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</si>
  <si>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</si>
  <si>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</si>
  <si>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</si>
  <si>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</si>
  <si>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</si>
  <si>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</si>
  <si>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</si>
  <si>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</si>
  <si>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</si>
  <si>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</si>
  <si>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</si>
  <si>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</si>
  <si>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</si>
  <si>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</si>
  <si>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</si>
  <si>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</si>
  <si>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</si>
  <si>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</si>
  <si>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</si>
  <si>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</si>
  <si>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</si>
  <si>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</si>
  <si>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</si>
  <si>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</si>
  <si>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</si>
  <si>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</si>
  <si>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</si>
  <si>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</si>
  <si>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</si>
  <si>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</si>
  <si>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</si>
  <si>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</si>
  <si>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</si>
  <si>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</si>
  <si>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</si>
  <si>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</si>
  <si>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</si>
  <si>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</si>
  <si>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</si>
  <si>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</si>
  <si>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</si>
  <si>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</si>
  <si>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</si>
  <si>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</si>
  <si>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</si>
  <si>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</si>
  <si>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</si>
  <si>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</si>
  <si>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</si>
  <si>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</si>
  <si>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</si>
  <si>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</si>
  <si>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</si>
  <si>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</si>
  <si>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</si>
  <si>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</si>
  <si>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</si>
  <si>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</si>
  <si>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</si>
  <si>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</si>
  <si>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</si>
  <si>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</si>
  <si>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</si>
  <si>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</si>
  <si>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</si>
  <si>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</si>
  <si>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</si>
  <si>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</si>
  <si>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</si>
  <si>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</si>
  <si>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</si>
  <si>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</si>
  <si>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</si>
  <si>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</si>
  <si>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</si>
  <si>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</si>
  <si>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</si>
  <si>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</si>
  <si>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</si>
  <si>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</si>
  <si>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</si>
  <si>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</si>
  <si>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</si>
  <si>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</si>
  <si>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</si>
  <si>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</si>
  <si>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</si>
  <si>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</si>
  <si>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</si>
  <si>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</si>
  <si>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</si>
  <si>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</si>
  <si>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</si>
  <si>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</si>
  <si>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</si>
  <si>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</si>
  <si>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</si>
  <si>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</si>
  <si>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</si>
  <si>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</si>
  <si>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</si>
  <si>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</si>
  <si>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</si>
  <si>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</si>
  <si>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</si>
  <si>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</si>
  <si>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</si>
  <si>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</si>
  <si>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</si>
  <si>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</si>
  <si>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</si>
  <si>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</si>
  <si>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</si>
  <si>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</si>
  <si>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</si>
  <si>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</si>
  <si>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</si>
  <si>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</si>
  <si>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</si>
  <si>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</si>
  <si>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</si>
  <si>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</si>
  <si>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</si>
  <si>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</si>
  <si>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</si>
  <si>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</si>
  <si>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</si>
  <si>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</si>
  <si>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</si>
  <si>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</si>
  <si>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</si>
  <si>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</si>
  <si>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</si>
  <si>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</si>
  <si>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</si>
  <si>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</si>
  <si>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</si>
  <si>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</si>
  <si>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</si>
  <si>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</si>
  <si>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</si>
  <si>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</si>
  <si>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</si>
  <si>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</si>
  <si>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</si>
  <si>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</si>
  <si>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</si>
  <si>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</si>
  <si>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</si>
  <si>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</si>
  <si>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</si>
  <si>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</si>
  <si>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</si>
  <si>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</si>
  <si>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</si>
  <si>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</si>
  <si>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</si>
  <si>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</si>
  <si>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</si>
  <si>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</si>
  <si>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</si>
  <si>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</si>
  <si>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</si>
  <si>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</si>
  <si>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</si>
  <si>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</si>
  <si>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</si>
  <si>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</si>
  <si>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</si>
  <si>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</si>
  <si>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</si>
  <si>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</si>
  <si>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</si>
  <si>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</si>
  <si>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</si>
  <si>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</si>
  <si>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</si>
  <si>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</si>
  <si>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</si>
  <si>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</si>
  <si>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</si>
  <si>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</si>
  <si>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</si>
  <si>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</si>
  <si>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</si>
  <si>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</si>
  <si>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</si>
  <si>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</si>
  <si>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</si>
  <si>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</si>
  <si>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</si>
  <si>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</si>
  <si>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</si>
  <si>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</si>
  <si>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</si>
  <si>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</si>
  <si>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</si>
  <si>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</si>
  <si>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</si>
  <si>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</si>
  <si>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</si>
  <si>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</si>
  <si>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</si>
  <si>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</si>
  <si>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</si>
  <si>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</si>
  <si>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</si>
  <si>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</si>
  <si>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</si>
  <si>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</si>
  <si>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</si>
  <si>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</si>
  <si>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</si>
  <si>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</si>
  <si>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</si>
  <si>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</si>
  <si>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</si>
  <si>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</si>
  <si>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</si>
  <si>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</si>
  <si>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</si>
  <si>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</si>
  <si>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</si>
  <si>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</si>
  <si>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</si>
  <si>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</si>
  <si>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</si>
  <si>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</si>
  <si>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</si>
  <si>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</si>
  <si>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</si>
  <si>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</si>
  <si>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</si>
  <si>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</si>
  <si>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</si>
  <si>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</si>
  <si>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</si>
  <si>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</si>
  <si>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</si>
  <si>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</si>
  <si>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</si>
  <si>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</si>
  <si>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</si>
  <si>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</si>
  <si>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</si>
  <si>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</si>
  <si>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</si>
  <si>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</si>
  <si>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</si>
  <si>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</si>
  <si>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</si>
  <si>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</si>
  <si>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</si>
  <si>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</si>
  <si>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</si>
  <si>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</si>
  <si>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</si>
  <si>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</si>
  <si>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</si>
  <si>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</si>
  <si>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</si>
  <si>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</si>
  <si>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</si>
  <si>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</si>
  <si>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</si>
  <si>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</si>
  <si>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</si>
  <si>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</si>
  <si>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</si>
  <si>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</si>
  <si>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</si>
  <si>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</si>
  <si>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</si>
  <si>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</si>
  <si>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</si>
  <si>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</si>
  <si>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</si>
  <si>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</si>
  <si>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</si>
  <si>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</si>
  <si>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</si>
  <si>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</si>
  <si>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</si>
  <si>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</si>
  <si>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</si>
  <si>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</si>
  <si>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</si>
  <si>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</si>
  <si>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</si>
  <si>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</si>
  <si>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</si>
  <si>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</si>
  <si>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</si>
  <si>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</si>
  <si>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</si>
  <si>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</si>
  <si>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</si>
  <si>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</si>
  <si>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</si>
  <si>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</si>
  <si>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</si>
  <si>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</si>
  <si>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</si>
  <si>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</si>
  <si>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</si>
  <si>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</si>
  <si>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</si>
  <si>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</si>
  <si>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</si>
  <si>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</si>
  <si>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</si>
  <si>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</si>
  <si>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</si>
  <si>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</si>
  <si>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</si>
  <si>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</si>
  <si>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</si>
  <si>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</si>
  <si>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</si>
  <si>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</si>
  <si>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</si>
  <si>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</si>
  <si>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</si>
  <si>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</si>
  <si>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</si>
  <si>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</si>
  <si>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</si>
  <si>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</si>
  <si>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</si>
  <si>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</si>
  <si>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</si>
  <si>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</si>
  <si>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</si>
  <si>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</si>
  <si>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</si>
  <si>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</si>
  <si>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</si>
  <si>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</si>
  <si>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</si>
  <si>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</si>
  <si>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</si>
  <si>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</si>
  <si>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</si>
  <si>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</si>
  <si>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</si>
  <si>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</si>
  <si>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</si>
  <si>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</si>
  <si>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</si>
  <si>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</si>
  <si>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</si>
  <si>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</si>
  <si>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</si>
  <si>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</si>
  <si>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</si>
  <si>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</si>
  <si>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</si>
  <si>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</si>
  <si>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</si>
  <si>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</si>
  <si>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</si>
  <si>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</si>
  <si>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</si>
  <si>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</si>
  <si>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</si>
  <si>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</si>
  <si>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</si>
  <si>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</si>
  <si>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</si>
  <si>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</si>
  <si>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</si>
  <si>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</si>
  <si>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</si>
  <si>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</si>
  <si>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</si>
  <si>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</si>
  <si>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</si>
  <si>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</si>
  <si>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</si>
  <si>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</si>
  <si>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</si>
  <si>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</si>
  <si>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</si>
  <si>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</si>
  <si>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</si>
  <si>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</si>
  <si>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</si>
  <si>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</si>
  <si>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</si>
  <si>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</si>
  <si>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</si>
  <si>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</si>
  <si>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</si>
  <si>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</si>
  <si>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</si>
  <si>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</si>
  <si>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</si>
  <si>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</si>
  <si>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</si>
  <si>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</si>
  <si>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</si>
  <si>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</si>
  <si>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</si>
  <si>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</si>
  <si>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</si>
  <si>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</si>
  <si>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</si>
  <si>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</si>
  <si>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</si>
  <si>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</si>
  <si>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</si>
  <si>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</si>
  <si>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</si>
  <si>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</si>
  <si>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</si>
  <si>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</si>
  <si>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</si>
  <si>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</si>
  <si>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</si>
  <si>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</si>
  <si>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</si>
  <si>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</si>
  <si>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</si>
  <si>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</si>
  <si>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</si>
  <si>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</si>
  <si>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</si>
  <si>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</si>
  <si>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</si>
  <si>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</si>
  <si>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</si>
  <si>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</si>
  <si>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</si>
  <si>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</si>
  <si>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</si>
  <si>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</si>
  <si>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</si>
  <si>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</si>
  <si>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</si>
  <si>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</si>
  <si>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</si>
  <si>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</si>
  <si>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</si>
  <si>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</si>
  <si>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</si>
  <si>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</si>
  <si>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</si>
  <si>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</si>
  <si>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</si>
  <si>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</si>
  <si>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</si>
  <si>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</si>
  <si>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</si>
  <si>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</si>
  <si>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</si>
  <si>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</si>
  <si>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</si>
  <si>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</si>
  <si>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</si>
  <si>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</si>
  <si>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</si>
  <si>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</si>
  <si>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</si>
  <si>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</si>
  <si>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</si>
  <si>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</si>
  <si>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</si>
  <si>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</si>
  <si>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</si>
  <si>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</si>
  <si>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</si>
  <si>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</si>
  <si>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</si>
  <si>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</si>
  <si>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</si>
  <si>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</si>
  <si>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</si>
  <si>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</si>
  <si>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</si>
  <si>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</si>
  <si>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</si>
  <si>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</si>
  <si>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</si>
  <si>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</si>
  <si>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</si>
  <si>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</si>
  <si>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</si>
  <si>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</si>
  <si>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</si>
  <si>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</si>
  <si>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</si>
  <si>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</si>
  <si>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</si>
  <si>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</si>
  <si>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</si>
  <si>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</si>
  <si>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</si>
  <si>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</si>
  <si>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</si>
  <si>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</si>
  <si>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</si>
  <si>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</si>
  <si>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</si>
  <si>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</si>
  <si>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</si>
  <si>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</si>
  <si>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</si>
  <si>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</si>
  <si>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</si>
  <si>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</si>
  <si>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</si>
  <si>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</si>
  <si>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</si>
  <si>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</si>
  <si>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</si>
  <si>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</si>
  <si>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</si>
  <si>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</si>
  <si>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</si>
  <si>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</si>
  <si>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</si>
  <si>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</si>
  <si>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</si>
  <si>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</si>
  <si>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</si>
  <si>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</si>
  <si>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</si>
  <si>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</si>
  <si>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</si>
  <si>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</si>
  <si>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</si>
  <si>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</si>
  <si>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</si>
  <si>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</si>
  <si>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</si>
  <si>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</si>
  <si>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</si>
  <si>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</si>
  <si>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</si>
  <si>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</si>
  <si>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</si>
  <si>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</si>
  <si>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</si>
  <si>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</si>
  <si>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</si>
  <si>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</si>
  <si>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</si>
  <si>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</si>
  <si>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</si>
  <si>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</si>
  <si>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</si>
  <si>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</si>
  <si>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</si>
  <si>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</si>
  <si>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</si>
  <si>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</si>
  <si>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</si>
  <si>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</si>
  <si>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</si>
  <si>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</si>
  <si>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</si>
  <si>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</si>
  <si>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</si>
  <si>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</si>
  <si>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</si>
  <si>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</si>
  <si>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</si>
  <si>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</si>
  <si>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</si>
  <si>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</si>
  <si>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</si>
  <si>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</si>
  <si>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</si>
  <si>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</si>
  <si>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</si>
  <si>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</si>
  <si>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</si>
  <si>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</si>
  <si>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</si>
  <si>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</si>
  <si>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</si>
  <si>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</si>
  <si>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</si>
  <si>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</si>
  <si>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</si>
  <si>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</si>
  <si>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</si>
  <si>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</si>
  <si>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</si>
  <si>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</si>
  <si>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</si>
  <si>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</si>
  <si>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</si>
  <si>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</si>
  <si>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</si>
  <si>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</si>
  <si>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</si>
  <si>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</si>
  <si>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</si>
  <si>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</si>
  <si>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</si>
  <si>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</si>
  <si>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</si>
  <si>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</si>
  <si>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</si>
  <si>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</si>
  <si>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</si>
  <si>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</si>
  <si>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</si>
  <si>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</si>
  <si>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</si>
  <si>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</si>
  <si>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</si>
  <si>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</si>
  <si>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</si>
  <si>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</si>
  <si>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</si>
  <si>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</si>
  <si>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</si>
  <si>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</si>
  <si>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</si>
  <si>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</si>
  <si>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</si>
  <si>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</si>
  <si>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</si>
  <si>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</si>
  <si>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</si>
  <si>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</si>
  <si>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</si>
  <si>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</si>
  <si>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</si>
  <si>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</si>
  <si>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</si>
  <si>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</si>
  <si>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</si>
  <si>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</si>
  <si>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</si>
  <si>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</si>
  <si>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</si>
  <si>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</si>
  <si>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</si>
  <si>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</si>
  <si>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</si>
  <si>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</si>
  <si>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</si>
  <si>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</si>
  <si>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</si>
  <si>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</si>
  <si>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</si>
  <si>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</si>
  <si>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</si>
  <si>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</si>
  <si>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</si>
  <si>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</si>
  <si>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</si>
  <si>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</si>
  <si>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</si>
  <si>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</si>
  <si>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</si>
  <si>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</si>
  <si>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</si>
  <si>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</si>
  <si>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</si>
  <si>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</si>
  <si>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</si>
  <si>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</si>
  <si>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</si>
  <si>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</si>
  <si>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</si>
  <si>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</si>
  <si>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</si>
  <si>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</si>
  <si>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</si>
  <si>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</si>
  <si>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</si>
  <si>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</si>
  <si>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</si>
  <si>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</si>
  <si>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</si>
  <si>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</si>
  <si>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</si>
  <si>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</si>
  <si>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</si>
  <si>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</si>
  <si>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</si>
  <si>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</si>
  <si>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</si>
  <si>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</si>
  <si>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</si>
  <si>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</si>
  <si>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</si>
  <si>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</si>
  <si>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</si>
  <si>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</si>
  <si>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</si>
  <si>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</si>
  <si>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</si>
  <si>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</si>
  <si>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</si>
  <si>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</si>
  <si>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</si>
  <si>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</si>
  <si>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</si>
  <si>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</si>
  <si>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</si>
  <si>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</si>
  <si>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</si>
  <si>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</si>
  <si>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</si>
  <si>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</si>
  <si>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</si>
  <si>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</si>
  <si>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</si>
  <si>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</si>
  <si>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</si>
  <si>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</si>
  <si>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</si>
  <si>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</si>
  <si>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</si>
  <si>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</si>
  <si>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</si>
  <si>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</si>
  <si>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</si>
  <si>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</si>
  <si>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</si>
  <si>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</si>
  <si>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</si>
  <si>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</si>
  <si>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</si>
  <si>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</si>
  <si>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</si>
  <si>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</si>
  <si>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</si>
  <si>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</si>
  <si>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</si>
  <si>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</si>
  <si>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</si>
  <si>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</si>
  <si>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</si>
  <si>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</si>
  <si>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</si>
  <si>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</si>
  <si>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</si>
  <si>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</si>
  <si>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</si>
  <si>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</si>
  <si>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</si>
  <si>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</si>
  <si>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</si>
  <si>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</si>
  <si>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</si>
  <si>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</si>
  <si>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</si>
  <si>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</si>
  <si>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</si>
  <si>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</si>
  <si>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</si>
  <si>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</si>
  <si>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</si>
  <si>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</si>
  <si>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</si>
  <si>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</si>
  <si>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</si>
  <si>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</si>
  <si>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</si>
  <si>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</si>
  <si>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</si>
  <si>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</si>
  <si>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</si>
  <si>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</si>
  <si>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</si>
  <si>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</si>
  <si>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</si>
  <si>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</si>
  <si>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</si>
  <si>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</si>
  <si>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</si>
  <si>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</si>
  <si>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</si>
  <si>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</si>
  <si>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</si>
  <si>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</si>
  <si>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</si>
  <si>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</si>
  <si>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</si>
  <si>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</si>
  <si>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</si>
  <si>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</si>
  <si>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</si>
  <si>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</si>
  <si>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</si>
  <si>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</si>
  <si>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</si>
  <si>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</si>
  <si>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</si>
  <si>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</si>
  <si>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</si>
  <si>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</si>
  <si>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</si>
  <si>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</si>
  <si>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</si>
  <si>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</si>
  <si>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</si>
  <si>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</si>
  <si>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</si>
  <si>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</si>
  <si>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</si>
  <si>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</si>
  <si>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</si>
  <si>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</si>
  <si>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</si>
  <si>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</si>
  <si>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</si>
  <si>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</si>
  <si>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</si>
  <si>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</si>
  <si>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</si>
  <si>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</si>
  <si>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</si>
  <si>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</si>
  <si>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</si>
  <si>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</si>
  <si>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</si>
  <si>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</si>
  <si>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</si>
  <si>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</si>
  <si>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</si>
  <si>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</si>
  <si>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</si>
  <si>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</si>
  <si>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</si>
  <si>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</si>
  <si>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</si>
  <si>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</si>
  <si>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</si>
  <si>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</si>
  <si>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</si>
  <si>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</si>
  <si>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</si>
  <si>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</si>
  <si>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</si>
  <si>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</si>
  <si>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</si>
  <si>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</si>
  <si>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</si>
  <si>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</si>
  <si>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</si>
  <si>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</si>
  <si>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</si>
  <si>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</si>
  <si>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</si>
  <si>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</si>
  <si>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</si>
  <si>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</si>
  <si>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</si>
  <si>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</si>
  <si>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</si>
  <si>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</si>
  <si>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</si>
  <si>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</si>
  <si>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</si>
  <si>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</si>
  <si>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</si>
  <si>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</si>
  <si>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</si>
  <si>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</si>
  <si>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</si>
  <si>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</si>
  <si>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</si>
  <si>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</si>
  <si>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</si>
  <si>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</si>
  <si>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</si>
  <si>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</si>
  <si>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</si>
  <si>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</si>
  <si>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</si>
  <si>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</si>
  <si>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</si>
  <si>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</si>
  <si>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</si>
  <si>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</si>
  <si>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</si>
  <si>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</si>
  <si>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</si>
  <si>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</si>
  <si>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</si>
  <si>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</si>
  <si>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</si>
  <si>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</si>
  <si>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</si>
  <si>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</si>
  <si>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</si>
  <si>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</si>
  <si>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</si>
  <si>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</si>
  <si>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</si>
  <si>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</si>
  <si>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</si>
  <si>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</si>
  <si>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</si>
  <si>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</si>
  <si>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</si>
  <si>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</si>
  <si>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</si>
  <si>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</si>
  <si>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</si>
  <si>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</si>
  <si>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</si>
  <si>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</si>
  <si>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</si>
  <si>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</si>
  <si>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</si>
  <si>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</si>
  <si>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</si>
  <si>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</si>
  <si>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</si>
  <si>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</si>
  <si>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</si>
  <si>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</si>
  <si>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</si>
  <si>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</si>
  <si>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</si>
  <si>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</si>
  <si>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</si>
  <si>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</si>
  <si>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</si>
  <si>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</si>
  <si>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</si>
  <si>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</si>
  <si>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</si>
  <si>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</si>
  <si>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</si>
  <si>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</si>
  <si>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</si>
  <si>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</si>
  <si>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</si>
  <si>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</si>
  <si>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</si>
  <si>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</si>
  <si>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</si>
  <si>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</si>
  <si>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</si>
  <si>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</si>
  <si>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</si>
  <si>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</si>
  <si>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</si>
  <si>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</si>
  <si>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</si>
  <si>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</si>
  <si>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</si>
  <si>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</si>
  <si>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</si>
  <si>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</si>
  <si>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</si>
  <si>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</si>
  <si>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</si>
  <si>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</si>
  <si>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</si>
  <si>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</si>
  <si>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</si>
  <si>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</si>
  <si>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</si>
  <si>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</si>
  <si>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</si>
  <si>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</si>
  <si>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</si>
  <si>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</si>
  <si>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</si>
  <si>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</si>
  <si>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</si>
  <si>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</si>
  <si>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</si>
  <si>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</si>
  <si>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</si>
  <si>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</si>
  <si>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</si>
  <si>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</si>
  <si>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</si>
  <si>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</si>
  <si>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</si>
  <si>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</si>
  <si>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</si>
  <si>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</si>
  <si>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</si>
  <si>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</si>
  <si>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</si>
  <si>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</si>
  <si>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</si>
  <si>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</si>
  <si>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</si>
  <si>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</si>
  <si>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</si>
  <si>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</si>
  <si>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</si>
  <si>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</si>
  <si>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</si>
  <si>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</si>
  <si>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</si>
  <si>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</si>
  <si>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</si>
  <si>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</si>
  <si>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</si>
  <si>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</si>
  <si>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</si>
  <si>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</si>
  <si>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</si>
  <si>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</si>
  <si>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</si>
  <si>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</si>
  <si>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</si>
  <si>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</si>
  <si>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</si>
  <si>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</si>
  <si>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</si>
  <si>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</si>
  <si>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</si>
  <si>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</si>
  <si>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</si>
  <si>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</si>
  <si>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</si>
  <si>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</si>
  <si>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</si>
  <si>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</si>
  <si>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</si>
  <si>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</si>
  <si>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</si>
  <si>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</si>
  <si>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</si>
  <si>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</si>
  <si>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</si>
  <si>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</si>
  <si>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</si>
  <si>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</si>
  <si>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</si>
  <si>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</si>
  <si>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</si>
  <si>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</si>
  <si>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</si>
  <si>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</si>
  <si>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</si>
  <si>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</si>
  <si>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</si>
  <si>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</si>
  <si>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</si>
  <si>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</si>
  <si>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</si>
  <si>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</si>
  <si>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</si>
  <si>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</si>
  <si>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</si>
  <si>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</si>
  <si>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</si>
  <si>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</si>
  <si>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</si>
  <si>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</si>
  <si>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</si>
  <si>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</si>
  <si>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</si>
  <si>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</si>
  <si>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</si>
  <si>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</si>
  <si>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</si>
  <si>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</si>
  <si>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</si>
  <si>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</si>
  <si>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</si>
  <si>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</si>
  <si>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</si>
  <si>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</si>
  <si>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</si>
  <si>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</si>
  <si>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</si>
  <si>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</si>
  <si>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</si>
  <si>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</si>
  <si>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</si>
  <si>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</si>
  <si>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</si>
  <si>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</si>
  <si>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</si>
  <si>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</si>
  <si>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</si>
  <si>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</si>
  <si>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</si>
  <si>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</si>
  <si>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</si>
  <si>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</si>
  <si>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</si>
  <si>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</si>
  <si>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</si>
  <si>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</si>
  <si>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</si>
  <si>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</si>
  <si>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</si>
  <si>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</si>
  <si>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</si>
  <si>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</si>
  <si>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</si>
  <si>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</si>
  <si>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</si>
  <si>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</si>
  <si>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</si>
  <si>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</si>
  <si>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</si>
  <si>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</si>
  <si>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</si>
  <si>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</si>
  <si>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</si>
  <si>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</si>
  <si>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</si>
  <si>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</si>
  <si>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</si>
  <si>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</si>
  <si>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</si>
  <si>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</si>
  <si>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</si>
  <si>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</si>
  <si>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</si>
  <si>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</si>
  <si>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</si>
  <si>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</si>
  <si>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</si>
  <si>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</si>
  <si>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</si>
  <si>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</si>
  <si>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</si>
  <si>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</si>
  <si>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</si>
  <si>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</si>
  <si>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</si>
  <si>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</si>
  <si>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</si>
  <si>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</si>
  <si>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</si>
  <si>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</si>
  <si>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</si>
  <si>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</si>
  <si>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</si>
  <si>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</si>
  <si>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</si>
  <si>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</si>
  <si>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</si>
  <si>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</si>
  <si>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</si>
  <si>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</si>
  <si>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</si>
  <si>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</si>
  <si>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</si>
  <si>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</si>
  <si>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</si>
  <si>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</si>
  <si>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</si>
  <si>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</si>
  <si>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</si>
  <si>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</si>
  <si>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</si>
  <si>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</si>
  <si>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</si>
  <si>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</si>
  <si>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</si>
  <si>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</si>
  <si>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</si>
  <si>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</si>
  <si>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</si>
  <si>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</si>
  <si>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</si>
  <si>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</si>
  <si>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</si>
  <si>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</si>
  <si>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</si>
  <si>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</si>
  <si>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</si>
  <si>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</si>
  <si>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</si>
  <si>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</si>
  <si>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</si>
  <si>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</si>
  <si>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</si>
  <si>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</si>
  <si>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</si>
  <si>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</si>
  <si>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</si>
  <si>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</si>
  <si>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</si>
  <si>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</si>
  <si>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</si>
  <si>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</si>
  <si>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</si>
  <si>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</si>
  <si>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</si>
  <si>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</si>
  <si>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</si>
  <si>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</si>
  <si>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</si>
  <si>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</si>
  <si>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</si>
  <si>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</si>
  <si>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</si>
  <si>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</si>
  <si>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</si>
  <si>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</si>
  <si>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</si>
  <si>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</si>
  <si>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</si>
  <si>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</si>
  <si>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</si>
  <si>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</si>
  <si>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</si>
  <si>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</si>
  <si>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</si>
  <si>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</si>
  <si>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</si>
  <si>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</si>
  <si>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</si>
  <si>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</si>
  <si>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</si>
  <si>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</si>
  <si>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</si>
  <si>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</si>
  <si>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</si>
  <si>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</si>
  <si>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</si>
  <si>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</si>
  <si>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</si>
  <si>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</si>
  <si>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</si>
  <si>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</si>
  <si>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</si>
  <si>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</si>
  <si>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</si>
  <si>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</si>
  <si>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</si>
  <si>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</si>
  <si>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</si>
  <si>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</si>
  <si>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</si>
  <si>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</si>
  <si>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</si>
  <si>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</si>
  <si>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</si>
  <si>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</si>
  <si>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</si>
  <si>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</si>
  <si>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</si>
  <si>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</si>
  <si>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</si>
  <si>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</si>
  <si>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</si>
  <si>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</si>
  <si>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</si>
  <si>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</si>
  <si>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</si>
  <si>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</si>
  <si>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</si>
  <si>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</si>
  <si>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</si>
  <si>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</si>
  <si>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</si>
  <si>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</si>
  <si>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</si>
  <si>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</si>
  <si>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</si>
  <si>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</si>
  <si>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</si>
  <si>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</si>
  <si>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</si>
  <si>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</si>
  <si>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</si>
  <si>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</si>
  <si>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</si>
  <si>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</si>
  <si>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</si>
  <si>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</si>
  <si>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</si>
  <si>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</si>
  <si>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</si>
  <si>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</si>
  <si>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</si>
  <si>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</si>
  <si>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</si>
  <si>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</si>
  <si>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</si>
  <si>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</si>
  <si>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</si>
  <si>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</si>
  <si>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</si>
  <si>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</si>
  <si>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</si>
  <si>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</si>
  <si>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</si>
  <si>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</si>
  <si>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</si>
  <si>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</si>
  <si>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</si>
  <si>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</si>
  <si>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</si>
  <si>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</si>
  <si>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</si>
  <si>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</si>
  <si>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</si>
  <si>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</si>
  <si>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</si>
  <si>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</si>
  <si>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</si>
  <si>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</si>
  <si>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</si>
  <si>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</si>
  <si>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</si>
  <si>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</si>
  <si>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</si>
  <si>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</si>
  <si>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</si>
  <si>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</si>
  <si>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</si>
  <si>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</si>
  <si>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</si>
  <si>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</si>
  <si>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</si>
  <si>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</si>
  <si>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</si>
  <si>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</si>
  <si>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</si>
  <si>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</si>
  <si>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</si>
  <si>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</si>
  <si>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</si>
  <si>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</si>
  <si>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</si>
  <si>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</si>
  <si>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</si>
  <si>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</si>
  <si>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</si>
  <si>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</si>
  <si>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</si>
  <si>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</si>
  <si>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</si>
  <si>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</si>
  <si>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</si>
  <si>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</si>
  <si>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</si>
  <si>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</si>
  <si>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</si>
  <si>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</si>
  <si>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</si>
  <si>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</si>
  <si>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</si>
  <si>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</si>
  <si>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</si>
  <si>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</si>
  <si>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</si>
  <si>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</si>
  <si>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</si>
  <si>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</si>
  <si>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</si>
  <si>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</si>
  <si>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</si>
  <si>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</si>
  <si>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</si>
  <si>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</si>
  <si>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</si>
  <si>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</si>
  <si>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</si>
  <si>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</si>
  <si>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</si>
  <si>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</si>
  <si>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</si>
  <si>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</si>
  <si>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</si>
  <si>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</si>
  <si>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</si>
  <si>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</si>
  <si>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</si>
  <si>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</si>
  <si>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</si>
  <si>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</si>
  <si>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</si>
  <si>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</si>
  <si>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</si>
  <si>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</si>
  <si>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</si>
  <si>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</si>
  <si>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</si>
  <si>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</si>
  <si>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</si>
  <si>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</si>
  <si>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</si>
  <si>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</si>
  <si>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</si>
  <si>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</si>
  <si>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</si>
  <si>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</si>
  <si>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</si>
  <si>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</si>
  <si>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</si>
  <si>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</si>
  <si>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</si>
  <si>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</si>
  <si>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</si>
  <si>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</si>
  <si>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</si>
  <si>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</si>
  <si>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</si>
  <si>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</si>
  <si>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</si>
  <si>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</si>
  <si>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</si>
  <si>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</si>
  <si>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</si>
  <si>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</si>
  <si>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</si>
  <si>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</si>
  <si>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</si>
  <si>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</si>
  <si>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</si>
  <si>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</si>
  <si>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</si>
  <si>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</si>
  <si>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</si>
  <si>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</si>
  <si>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</si>
  <si>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</si>
  <si>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</si>
  <si>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</si>
  <si>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</si>
  <si>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</si>
  <si>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</si>
  <si>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</si>
  <si>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</si>
  <si>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</si>
  <si>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</si>
  <si>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</si>
  <si>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</si>
  <si>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</si>
  <si>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</si>
  <si>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</si>
  <si>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</si>
  <si>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</si>
  <si>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</si>
  <si>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</si>
  <si>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</si>
  <si>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</si>
  <si>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</si>
  <si>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</si>
  <si>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</si>
  <si>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</si>
  <si>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</si>
  <si>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</si>
  <si>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</si>
  <si>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</si>
  <si>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</si>
  <si>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</si>
  <si>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</si>
  <si>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</si>
  <si>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</si>
  <si>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</si>
  <si>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</si>
  <si>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</si>
  <si>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</si>
  <si>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</si>
  <si>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</si>
  <si>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</si>
  <si>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</si>
  <si>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</si>
  <si>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</si>
  <si>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</si>
  <si>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</si>
  <si>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</si>
  <si>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</si>
  <si>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</si>
  <si>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</si>
  <si>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</si>
  <si>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</si>
  <si>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</si>
  <si>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</si>
  <si>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</si>
  <si>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</si>
  <si>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</si>
  <si>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</si>
  <si>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</si>
  <si>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</si>
  <si>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</si>
  <si>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</si>
  <si>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</si>
  <si>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</si>
  <si>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</si>
  <si>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</si>
  <si>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</si>
  <si>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</si>
  <si>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</si>
  <si>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</si>
  <si>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</si>
  <si>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</si>
  <si>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</si>
  <si>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</si>
  <si>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</si>
  <si>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</si>
  <si>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</si>
  <si>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</si>
  <si>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</si>
  <si>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</si>
  <si>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</si>
  <si>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</si>
  <si>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</si>
  <si>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</si>
  <si>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</si>
  <si>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</si>
  <si>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</si>
  <si>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</si>
  <si>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</si>
  <si>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</si>
  <si>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</si>
  <si>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</si>
  <si>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</si>
  <si>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</si>
  <si>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</si>
  <si>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</si>
  <si>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</si>
  <si>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</si>
  <si>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</si>
  <si>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</si>
  <si>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</si>
  <si>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</si>
  <si>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</si>
  <si>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</si>
  <si>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</si>
  <si>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</si>
  <si>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</si>
  <si>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</si>
  <si>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</si>
  <si>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</si>
  <si>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</si>
  <si>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</si>
  <si>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</si>
  <si>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</si>
  <si>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</si>
  <si>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</si>
  <si>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</si>
  <si>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</si>
  <si>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</si>
  <si>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</si>
  <si>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</si>
  <si>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</si>
  <si>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</si>
  <si>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</si>
  <si>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</si>
  <si>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</si>
  <si>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</si>
  <si>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</si>
  <si>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</si>
  <si>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</si>
  <si>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</si>
  <si>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</si>
  <si>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</si>
  <si>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</si>
  <si>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</si>
  <si>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</si>
  <si>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</si>
  <si>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</si>
  <si>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</si>
  <si>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</si>
  <si>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</si>
  <si>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</si>
  <si>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</si>
  <si>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</si>
  <si>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</si>
  <si>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</si>
  <si>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</si>
  <si>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</si>
  <si>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</si>
  <si>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</si>
  <si>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</si>
  <si>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</si>
  <si>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</si>
  <si>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</si>
  <si>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</si>
  <si>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</si>
  <si>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</si>
  <si>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</si>
  <si>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</si>
  <si>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</si>
  <si>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</si>
  <si>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</si>
  <si>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</si>
  <si>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</si>
  <si>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</si>
  <si>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</si>
  <si>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</si>
  <si>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</si>
  <si>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</si>
  <si>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</si>
  <si>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</si>
  <si>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</si>
  <si>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</si>
  <si>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</si>
  <si>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</si>
  <si>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</si>
  <si>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</si>
  <si>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</si>
  <si>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</si>
  <si>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</si>
  <si>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</si>
  <si>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</si>
  <si>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</si>
  <si>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</si>
  <si>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</si>
  <si>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</si>
  <si>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</si>
  <si>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</si>
  <si>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</si>
  <si>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</si>
  <si>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</si>
  <si>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</si>
  <si>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</si>
  <si>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</si>
  <si>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</si>
  <si>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</si>
  <si>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</si>
  <si>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</si>
  <si>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</si>
  <si>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</si>
  <si>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</si>
  <si>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</si>
  <si>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</si>
  <si>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</si>
  <si>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</si>
  <si>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</si>
  <si>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</si>
  <si>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</si>
  <si>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</si>
  <si>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</si>
  <si>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</si>
  <si>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</si>
  <si>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</si>
  <si>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</si>
  <si>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</si>
  <si>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</si>
  <si>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</si>
  <si>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</si>
  <si>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</si>
  <si>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</si>
  <si>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</si>
  <si>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</si>
  <si>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</si>
  <si>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</si>
  <si>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</si>
  <si>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</si>
  <si>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</si>
  <si>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</si>
  <si>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</si>
  <si>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</si>
  <si>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</si>
  <si>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</si>
  <si>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</si>
  <si>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</si>
  <si>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</si>
  <si>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</si>
  <si>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</si>
  <si>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</si>
  <si>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</si>
  <si>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</si>
  <si>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</si>
  <si>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</si>
  <si>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</si>
  <si>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</si>
  <si>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</si>
  <si>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</si>
  <si>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</si>
  <si>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</si>
  <si>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</si>
  <si>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</si>
  <si>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</si>
  <si>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</si>
  <si>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</si>
  <si>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</si>
  <si>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</si>
  <si>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</si>
  <si>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</si>
  <si>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</si>
  <si>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</si>
  <si>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</si>
  <si>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</si>
  <si>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</si>
  <si>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</si>
  <si>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</si>
  <si>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</si>
  <si>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</si>
  <si>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</si>
  <si>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</si>
  <si>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</si>
  <si>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</si>
  <si>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</si>
  <si>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</si>
  <si>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</si>
  <si>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</si>
  <si>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</si>
  <si>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</si>
  <si>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</si>
  <si>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</si>
  <si>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</si>
  <si>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</si>
  <si>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</si>
  <si>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</si>
  <si>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</si>
  <si>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</si>
  <si>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</si>
  <si>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</si>
  <si>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</si>
  <si>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</si>
  <si>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</si>
  <si>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</si>
  <si>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</si>
  <si>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</si>
  <si>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</si>
  <si>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</si>
  <si>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</si>
  <si>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</si>
  <si>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</si>
  <si>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</si>
  <si>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</si>
  <si>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</si>
  <si>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</si>
  <si>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</si>
  <si>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</si>
  <si>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</si>
  <si>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</si>
  <si>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</si>
  <si>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</si>
  <si>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</si>
  <si>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</si>
  <si>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</si>
  <si>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</si>
  <si>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</si>
  <si>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</si>
  <si>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</si>
  <si>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</si>
  <si>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</si>
  <si>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</si>
  <si>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</si>
  <si>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</si>
  <si>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</si>
  <si>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</si>
  <si>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</si>
  <si>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</si>
  <si>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</si>
  <si>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</si>
  <si>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</si>
  <si>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</si>
  <si>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</si>
  <si>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</si>
  <si>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</si>
  <si>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</si>
  <si>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</si>
  <si>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</si>
  <si>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</si>
  <si>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</si>
  <si>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</si>
  <si>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</si>
  <si>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</si>
  <si>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</si>
  <si>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</si>
  <si>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</si>
  <si>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</si>
  <si>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</si>
  <si>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</si>
  <si>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</si>
  <si>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</si>
  <si>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</si>
  <si>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</si>
  <si>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</si>
  <si>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</si>
  <si>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</si>
  <si>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</si>
  <si>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</si>
  <si>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</si>
  <si>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</si>
  <si>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</si>
  <si>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</si>
  <si>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</si>
  <si>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</si>
  <si>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</si>
  <si>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</si>
  <si>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</si>
  <si>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</si>
  <si>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</si>
  <si>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</si>
  <si>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</si>
  <si>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</si>
  <si>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</si>
  <si>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</si>
  <si>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</si>
  <si>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</si>
  <si>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</si>
  <si>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</si>
  <si>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</si>
  <si>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</si>
  <si>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</si>
  <si>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</si>
  <si>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</si>
  <si>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</si>
  <si>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</si>
  <si>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</si>
  <si>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</si>
  <si>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</si>
  <si>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</si>
  <si>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</si>
  <si>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</si>
  <si>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</si>
  <si>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</si>
  <si>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</si>
  <si>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</si>
  <si>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</si>
  <si>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</si>
  <si>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</si>
  <si>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</si>
  <si>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</si>
  <si>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</si>
  <si>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</si>
  <si>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</si>
  <si>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</si>
  <si>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</si>
  <si>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</si>
  <si>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</si>
  <si>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</si>
  <si>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</si>
  <si>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</si>
  <si>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</si>
  <si>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</si>
  <si>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</si>
  <si>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</si>
  <si>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</si>
  <si>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</si>
  <si>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</si>
  <si>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</si>
  <si>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</si>
  <si>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</si>
  <si>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</si>
  <si>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</si>
  <si>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</si>
  <si>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</si>
  <si>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</si>
  <si>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</si>
  <si>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</si>
  <si>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</si>
  <si>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</si>
  <si>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</si>
  <si>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</si>
  <si>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</si>
  <si>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</si>
  <si>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</si>
  <si>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</si>
  <si>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</si>
  <si>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</si>
  <si>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</si>
  <si>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</si>
  <si>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</si>
  <si>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</si>
  <si>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</si>
  <si>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</si>
  <si>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</si>
  <si>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</si>
  <si>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</si>
  <si>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</si>
  <si>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</si>
  <si>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</si>
  <si>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</si>
  <si>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</si>
  <si>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</si>
  <si>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</si>
  <si>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</si>
  <si>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</si>
  <si>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</si>
  <si>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</si>
  <si>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</si>
  <si>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</si>
  <si>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</si>
  <si>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</si>
  <si>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</si>
  <si>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</si>
  <si>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</si>
  <si>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</si>
  <si>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</si>
  <si>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</si>
  <si>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</si>
  <si>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</si>
  <si>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</si>
  <si>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</si>
  <si>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</si>
  <si>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</si>
  <si>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</si>
  <si>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</si>
  <si>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</si>
  <si>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</si>
  <si>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</si>
  <si>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</si>
  <si>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</si>
  <si>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</si>
  <si>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</si>
  <si>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欧红伟</t>
  </si>
  <si>
    <t>梁津</t>
  </si>
  <si>
    <t>北京高斓大厦有限公司</t>
    <phoneticPr fontId="6" type="noConversion"/>
  </si>
  <si>
    <t>抵押</t>
  </si>
  <si>
    <t>房地产抵押价值</t>
  </si>
  <si>
    <t>北京市</t>
  </si>
  <si>
    <t>企业</t>
  </si>
  <si>
    <t>办公、商业</t>
  </si>
  <si>
    <t>办公、商业</t>
    <phoneticPr fontId="6" type="noConversion"/>
  </si>
  <si>
    <t>办公项目</t>
  </si>
  <si>
    <t>现房</t>
  </si>
  <si>
    <t>正常</t>
    <phoneticPr fontId="6" type="noConversion"/>
  </si>
  <si>
    <t>通路</t>
  </si>
  <si>
    <t>通电</t>
  </si>
  <si>
    <t>通讯</t>
  </si>
  <si>
    <t>通上水</t>
  </si>
  <si>
    <t>通下水</t>
  </si>
  <si>
    <t>燃气</t>
  </si>
  <si>
    <t>地上</t>
  </si>
  <si>
    <t>办公楼</t>
  </si>
  <si>
    <t>底商</t>
  </si>
  <si>
    <t>地下</t>
  </si>
  <si>
    <t>101、102、103、105、106、107、108、109、110、111、112、115、116、117、118、119、120、121、122、123、125、126、127、129、130、131、132、133</t>
  </si>
  <si>
    <t>201-203、205、208-211、213、215-218、230、232-233、235-239、250、251</t>
  </si>
  <si>
    <t>2017-1-0796-P01DYGJ1</t>
    <phoneticPr fontId="6" type="noConversion"/>
  </si>
  <si>
    <t>交通银行股份有限公司北京东三环支行</t>
    <phoneticPr fontId="6" type="noConversion"/>
  </si>
  <si>
    <t>朝阳区亮马桥路32号</t>
    <phoneticPr fontId="6" type="noConversion"/>
  </si>
  <si>
    <t>收益法-1层</t>
    <phoneticPr fontId="17" type="noConversion"/>
  </si>
  <si>
    <t>收益法-2层</t>
    <phoneticPr fontId="17" type="noConversion"/>
  </si>
  <si>
    <t>钢混</t>
  </si>
  <si>
    <t>押一</t>
  </si>
  <si>
    <t>收益法-206</t>
    <phoneticPr fontId="17" type="noConversion"/>
  </si>
  <si>
    <t>基准地价修正-1层</t>
  </si>
  <si>
    <t>基准地价修正-1层</t>
    <phoneticPr fontId="17" type="noConversion"/>
  </si>
  <si>
    <t>基准地价修正-2层</t>
  </si>
  <si>
    <t>基准地价修正-2层</t>
    <phoneticPr fontId="17" type="noConversion"/>
  </si>
  <si>
    <t>批发零售用地</t>
  </si>
  <si>
    <t>不临58条商业街</t>
  </si>
  <si>
    <t>六通一平</t>
  </si>
  <si>
    <t>缺少</t>
  </si>
  <si>
    <t>通热</t>
  </si>
  <si>
    <t>较好</t>
  </si>
  <si>
    <t>一般</t>
  </si>
  <si>
    <t>较差</t>
  </si>
  <si>
    <t>未包含在土地购买价格中</t>
  </si>
  <si>
    <t>已包含在土地取得成本中</t>
  </si>
  <si>
    <t>520、524、526-528</t>
  </si>
  <si>
    <t>701-715、725-726</t>
  </si>
  <si>
    <t>807-809、812-817</t>
  </si>
  <si>
    <t>903-909、912-915、920</t>
  </si>
  <si>
    <t>1105-1110、1112-1115</t>
  </si>
  <si>
    <t>1206-1212</t>
  </si>
  <si>
    <t>1212A</t>
  </si>
  <si>
    <t>13层</t>
  </si>
  <si>
    <t>1701、1709、1711-1712</t>
  </si>
  <si>
    <t>19层</t>
  </si>
  <si>
    <t>1807-1808、1812-1816</t>
  </si>
  <si>
    <t>三层</t>
    <phoneticPr fontId="3" type="noConversion"/>
  </si>
  <si>
    <t>办公</t>
    <phoneticPr fontId="7" type="noConversion"/>
  </si>
  <si>
    <t>收益法</t>
  </si>
  <si>
    <t>收益法</t>
    <phoneticPr fontId="17" type="noConversion"/>
  </si>
  <si>
    <t>高斓大厦</t>
    <phoneticPr fontId="3" type="noConversion"/>
  </si>
  <si>
    <t>新恒基大厦</t>
    <phoneticPr fontId="3" type="noConversion"/>
  </si>
  <si>
    <t>霄云中心</t>
    <phoneticPr fontId="3" type="noConversion"/>
  </si>
  <si>
    <t>朝阳区亮马桥路32号</t>
    <phoneticPr fontId="3" type="noConversion"/>
  </si>
  <si>
    <t>朝阳区麦子店西路3号</t>
    <phoneticPr fontId="3" type="noConversion"/>
  </si>
  <si>
    <t>朝阳区霄云路28号</t>
    <phoneticPr fontId="3" type="noConversion"/>
  </si>
  <si>
    <t>正常</t>
    <phoneticPr fontId="3" type="noConversion"/>
  </si>
  <si>
    <t>办公</t>
    <phoneticPr fontId="3" type="noConversion"/>
  </si>
  <si>
    <t>20-30（含）</t>
  </si>
  <si>
    <t>30-40（含）</t>
  </si>
  <si>
    <t>七通</t>
  </si>
  <si>
    <t>主干道</t>
  </si>
  <si>
    <t>高区</t>
  </si>
  <si>
    <t>塔楼</t>
  </si>
  <si>
    <t>普装</t>
  </si>
  <si>
    <t>甲级</t>
  </si>
  <si>
    <t>六通</t>
  </si>
  <si>
    <t>标准</t>
  </si>
  <si>
    <t>次干道</t>
  </si>
  <si>
    <t>中区</t>
  </si>
  <si>
    <t>低区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</si>
  <si>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</si>
  <si>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</si>
  <si>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</si>
  <si>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</si>
  <si>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</si>
  <si>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</si>
  <si>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</si>
  <si>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</si>
  <si>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</si>
  <si>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</si>
  <si>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</si>
  <si>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</si>
  <si>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</si>
  <si>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甲级</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</si>
  <si>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</si>
  <si>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</si>
  <si>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</si>
  <si>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</si>
  <si>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</si>
  <si>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</si>
  <si>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</si>
  <si>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</si>
  <si>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</si>
  <si>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</si>
  <si>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</si>
  <si>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楼层</t>
    <phoneticPr fontId="3" type="noConversion"/>
  </si>
  <si>
    <t>内部装修</t>
    <phoneticPr fontId="3" type="noConversion"/>
  </si>
  <si>
    <t>地下</t>
    <phoneticPr fontId="3" type="noConversion"/>
  </si>
  <si>
    <t>毛坯</t>
  </si>
  <si>
    <t>比较法-办公</t>
  </si>
  <si>
    <t>三层</t>
  </si>
  <si>
    <t>1-8、员工宿舍</t>
  </si>
  <si>
    <t>收益比率</t>
  </si>
  <si>
    <t>比率</t>
    <phoneticPr fontId="34" type="noConversion"/>
  </si>
  <si>
    <t>建筑物价值单价</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</si>
</sst>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name val="Times New Roman"/>
      <family val="1"/>
    </font>
    <font>
      <sz val="11"/>
      <name val="宋体"/>
      <family val="2"/>
      <charset val="134"/>
      <scheme val="minor"/>
    </font>
    <font>
      <sz val="11"/>
      <name val="宋体"/>
      <family val="3"/>
      <charset val="134"/>
      <scheme val="minor"/>
    </font>
    <font>
      <b/>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 fillId="0" borderId="0">
      <alignment vertical="center"/>
    </xf>
  </cellStyleXfs>
  <cellXfs count="377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5" fillId="6" borderId="1"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62" fillId="0" borderId="1" xfId="0" applyFont="1" applyFill="1" applyBorder="1" applyAlignment="1" applyProtection="1">
      <alignment horizontal="center" vertical="center" wrapText="1"/>
      <protection locked="0"/>
    </xf>
    <xf numFmtId="0" fontId="263" fillId="0" borderId="1" xfId="0" applyFont="1" applyBorder="1" applyAlignment="1" applyProtection="1">
      <alignment horizontal="center" vertical="center" wrapText="1"/>
      <protection locked="0"/>
    </xf>
    <xf numFmtId="0" fontId="264" fillId="0" borderId="1" xfId="0" applyFont="1" applyBorder="1" applyAlignment="1" applyProtection="1">
      <alignment horizontal="center" vertical="center" wrapText="1"/>
      <protection locked="0"/>
    </xf>
    <xf numFmtId="184" fontId="71" fillId="0" borderId="49" xfId="0" applyNumberFormat="1" applyFont="1" applyFill="1" applyBorder="1" applyAlignment="1" applyProtection="1">
      <alignment horizontal="center" vertical="center"/>
      <protection locked="0"/>
    </xf>
    <xf numFmtId="0" fontId="71" fillId="0" borderId="1" xfId="0" applyFont="1" applyBorder="1" applyAlignment="1" applyProtection="1">
      <alignment horizontal="left" vertical="center"/>
      <protection locked="0"/>
    </xf>
    <xf numFmtId="0" fontId="30" fillId="0" borderId="40" xfId="0" applyNumberFormat="1" applyFont="1" applyFill="1" applyBorder="1" applyAlignment="1" applyProtection="1">
      <alignment horizontal="center" vertical="center" wrapText="1"/>
      <protection locked="0"/>
    </xf>
    <xf numFmtId="0" fontId="30" fillId="6" borderId="22"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11"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1" fillId="0" borderId="18"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08" fillId="10" borderId="9" xfId="0" applyNumberFormat="1" applyFont="1" applyFill="1" applyBorder="1" applyAlignment="1" applyProtection="1">
      <alignment horizontal="center" vertical="center" wrapText="1"/>
      <protection locked="0"/>
    </xf>
    <xf numFmtId="0" fontId="157" fillId="5" borderId="13" xfId="0" applyFont="1" applyFill="1" applyBorder="1" applyAlignment="1" applyProtection="1">
      <alignment vertical="center"/>
    </xf>
    <xf numFmtId="9" fontId="164" fillId="5" borderId="5" xfId="0" applyNumberFormat="1" applyFont="1" applyFill="1" applyBorder="1" applyAlignment="1" applyProtection="1">
      <alignment horizontal="center" vertical="center"/>
      <protection locked="0"/>
    </xf>
    <xf numFmtId="0" fontId="157" fillId="5" borderId="20" xfId="0" applyNumberFormat="1" applyFont="1" applyFill="1" applyBorder="1" applyAlignment="1" applyProtection="1">
      <alignment vertical="center" wrapText="1"/>
      <protection locked="0"/>
    </xf>
    <xf numFmtId="0" fontId="157" fillId="5" borderId="20" xfId="0" applyNumberFormat="1" applyFont="1" applyFill="1" applyBorder="1" applyAlignment="1" applyProtection="1">
      <alignment vertical="center" wrapText="1"/>
    </xf>
    <xf numFmtId="0" fontId="157" fillId="5" borderId="21" xfId="0" applyNumberFormat="1" applyFont="1" applyFill="1" applyBorder="1" applyAlignment="1" applyProtection="1">
      <alignment vertical="center" wrapText="1"/>
    </xf>
    <xf numFmtId="0" fontId="164" fillId="5" borderId="1" xfId="0" applyFont="1" applyFill="1" applyBorder="1" applyAlignment="1" applyProtection="1">
      <alignment horizontal="center" vertical="center"/>
    </xf>
    <xf numFmtId="181" fontId="141" fillId="5" borderId="1" xfId="0" applyNumberFormat="1" applyFont="1" applyFill="1" applyBorder="1" applyAlignment="1" applyProtection="1">
      <alignment vertical="center"/>
      <protection locked="0"/>
    </xf>
    <xf numFmtId="0" fontId="243" fillId="0" borderId="1" xfId="12" applyFont="1" applyBorder="1" applyAlignment="1" applyProtection="1">
      <alignment horizontal="lef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55" fillId="0" borderId="0" xfId="0" applyFont="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62" fillId="6" borderId="0" xfId="0" applyFont="1" applyFill="1" applyAlignment="1" applyProtection="1">
      <alignment horizontal="center" vertical="center"/>
    </xf>
    <xf numFmtId="0" fontId="155" fillId="6" borderId="1" xfId="0" applyFont="1" applyFill="1" applyBorder="1" applyAlignment="1" applyProtection="1">
      <alignment horizontal="center" vertical="center"/>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5" fillId="7" borderId="0" xfId="0" applyFont="1" applyFill="1" applyProtection="1">
      <alignment vertical="center"/>
      <protection locked="0"/>
    </xf>
    <xf numFmtId="0" fontId="108" fillId="7" borderId="0" xfId="0" applyFont="1" applyFill="1" applyAlignment="1" applyProtection="1">
      <alignment horizontal="center" vertical="center" wrapText="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640;&#26003;&#22823;&#21414;&#8212;&#30005;&#31639;&#34920;-&#25151;&#22320;&#20135;-&#21333;&#22871;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E5">
            <v>2099.0100000000002</v>
          </cell>
        </row>
        <row r="20">
          <cell r="E20">
            <v>0.65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66" zoomScale="80" zoomScaleNormal="80" workbookViewId="0">
      <selection activeCell="B2" sqref="B2:B74"/>
    </sheetView>
  </sheetViews>
  <sheetFormatPr defaultRowHeight="14.25"/>
  <cols>
    <col min="1" max="1" width="35.625" style="3051" customWidth="1"/>
    <col min="2" max="2" width="81" style="3068" customWidth="1"/>
    <col min="3" max="16384" width="9" style="3066"/>
  </cols>
  <sheetData>
    <row r="1" spans="1:2" s="3054" customFormat="1" ht="16.5" thickBot="1">
      <c r="A1" s="3053" t="s">
        <v>2799</v>
      </c>
      <c r="B1" s="3052" t="s">
        <v>2888</v>
      </c>
    </row>
    <row r="2" spans="1:2" s="3057" customFormat="1" ht="15" thickTop="1">
      <c r="A2" s="3055" t="s">
        <v>2800</v>
      </c>
      <c r="B2" s="3056" t="str">
        <f>'预评函-封皮'!B37:I37</f>
        <v>北京市朝阳区亮马桥路32号房地产抵押价值预评估</v>
      </c>
    </row>
    <row r="3" spans="1:2" s="3060" customFormat="1">
      <c r="A3" s="3058" t="s">
        <v>2801</v>
      </c>
      <c r="B3" s="3059" t="str">
        <f>'预评函-封皮'!B40</f>
        <v>北京高斓大厦有限公司</v>
      </c>
    </row>
    <row r="4" spans="1:2" s="3060" customFormat="1">
      <c r="A4" s="3058" t="s">
        <v>2802</v>
      </c>
      <c r="B4" s="3059" t="str">
        <f ca="1">'预评函-封皮'!B46</f>
        <v>欧红伟（注册号：1120000080)、梁津（注册号：1119970066)</v>
      </c>
    </row>
    <row r="5" spans="1:2" s="3054" customFormat="1" ht="15" thickBot="1">
      <c r="A5" s="3061" t="s">
        <v>2803</v>
      </c>
      <c r="B5" s="3062" t="str">
        <f>'预评函-封皮'!B49</f>
        <v>康正预评字2017-1-0796-P01DYGJ1号</v>
      </c>
    </row>
    <row r="6" spans="1:2" s="3057" customFormat="1" ht="15" thickTop="1">
      <c r="A6" s="3055" t="s">
        <v>2804</v>
      </c>
      <c r="B6" s="3056" t="str">
        <f>'预评函-1'!A4</f>
        <v>受贵公司委托，我公司对北京市朝阳区亮马桥路32号房地产抵押价值进行了预评估。</v>
      </c>
    </row>
    <row r="7" spans="1:2" s="3060" customFormat="1">
      <c r="A7" s="3058" t="s">
        <v>2844</v>
      </c>
      <c r="B7" s="3059" t="str">
        <f>'预评函-1'!A7</f>
        <v>估价对象为北京市朝阳区亮马桥路32号房地产，为所有。根据《国有土地使用证》[]，估价对象（分摊）出让国有建设用地使用权面积为215.3平方米，建筑面积为2099.01平方米。</v>
      </c>
    </row>
    <row r="8" spans="1:2" s="3060" customFormat="1">
      <c r="A8" s="3058" t="s">
        <v>2845</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2846</v>
      </c>
      <c r="B9" s="3059" t="str">
        <f>'预评函-1'!A10</f>
        <v>估价对象为北京市朝阳区亮马桥路32号房地产,属开发建设的办公项目，该项目尚在开发建设中。根据《国有土地使用证》[]，估价对象（分摊）出让国有建设用地使用权面积为215.3平方米，规划建筑面积为2099.01平方米。</v>
      </c>
    </row>
    <row r="10" spans="1:2" s="3060" customFormat="1">
      <c r="A10" s="3058" t="s">
        <v>2847</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2805</v>
      </c>
      <c r="B11" s="3059" t="str">
        <f>'预评函-1'!A13</f>
        <v>为估价委托人在向交通银行股份有限公司北京东三环支行办理贷款手续过程中，确定房地产抵押贷款额度提供参考依据而评估房地产抵押价值。</v>
      </c>
    </row>
    <row r="12" spans="1:2" s="3060" customFormat="1">
      <c r="A12" s="3058" t="s">
        <v>2806</v>
      </c>
      <c r="B12" s="3059" t="str">
        <f>'预评函-1'!A15</f>
        <v>2017年8月16日（评估专业人员实地查勘之日）</v>
      </c>
    </row>
    <row r="13" spans="1:2" s="3060" customFormat="1">
      <c r="A13" s="3058" t="s">
        <v>2807</v>
      </c>
      <c r="B13" s="3059" t="str">
        <f>'预评函-1'!A18</f>
        <v>本次估价的“房地产价值”是指在正常市场情况下，在价值时点2017年8月16日，估价对象规划用途为办公、商业，土地取得方式为出让，出让国有建设用地使用权剩余土地使用年限为办公、商业，假定未设立法定优先受偿款下的房地产市场价值。</v>
      </c>
    </row>
    <row r="14" spans="1:2" s="3060" customFormat="1">
      <c r="A14" s="3058" t="s">
        <v>2808</v>
      </c>
      <c r="B14" s="3059" t="str">
        <f>'预评函-1'!A19</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2809</v>
      </c>
      <c r="B15" s="3059" t="str">
        <f>'预评函-1'!A20</f>
        <v>本次估价的“房地产抵押价值”是指估价对象在价值时点的“房地产价值”扣减估价师于价值时点所知悉的法定优先受偿款后的余额。</v>
      </c>
    </row>
    <row r="16" spans="1:2" s="3060" customFormat="1">
      <c r="A16" s="3058" t="s">
        <v>2810</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2811</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2812</v>
      </c>
      <c r="B18" s="3062" t="str">
        <f>'预评函-1'!A24</f>
        <v>本次评估采用的主估价方法为比较法和收益法。</v>
      </c>
    </row>
    <row r="19" spans="1:2" s="3057" customFormat="1" ht="15" thickTop="1">
      <c r="A19" s="3055" t="s">
        <v>2813</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2814</v>
      </c>
      <c r="B20" s="3059">
        <f ca="1">'预评函-2'!D5</f>
        <v>6914</v>
      </c>
    </row>
    <row r="21" spans="1:2" s="3060" customFormat="1">
      <c r="A21" s="3058" t="s">
        <v>2815</v>
      </c>
      <c r="B21" s="3059">
        <f ca="1">'预评函-2'!D7</f>
        <v>32939</v>
      </c>
    </row>
    <row r="22" spans="1:2" s="3060" customFormat="1">
      <c r="A22" s="3058" t="s">
        <v>2816</v>
      </c>
      <c r="B22" s="3059" t="str">
        <f ca="1">'预评函-2'!D6</f>
        <v>陆仟玖佰壹拾肆万元整</v>
      </c>
    </row>
    <row r="23" spans="1:2" s="3060" customFormat="1">
      <c r="A23" s="3058" t="s">
        <v>2876</v>
      </c>
      <c r="B23" s="3059" t="str">
        <f>'预评函-2'!B8</f>
        <v>2.估价师知悉的法定优先受偿款</v>
      </c>
    </row>
    <row r="24" spans="1:2" s="3060" customFormat="1">
      <c r="A24" s="3058" t="s">
        <v>2882</v>
      </c>
      <c r="B24" s="3059">
        <f>'预评函-2'!D8</f>
        <v>0</v>
      </c>
    </row>
    <row r="25" spans="1:2" s="3060" customFormat="1">
      <c r="A25" s="3058" t="s">
        <v>2817</v>
      </c>
      <c r="B25" s="3059" t="str">
        <f>'预评函-2'!D9</f>
        <v>零元整</v>
      </c>
    </row>
    <row r="26" spans="1:2" s="3060" customFormat="1">
      <c r="A26" s="3058" t="s">
        <v>2818</v>
      </c>
      <c r="B26" s="3059">
        <f>'预评函-2'!D10</f>
        <v>0</v>
      </c>
    </row>
    <row r="27" spans="1:2" s="3060" customFormat="1">
      <c r="A27" s="3058" t="s">
        <v>2819</v>
      </c>
      <c r="B27" s="3059">
        <f>'预评函-2'!D11</f>
        <v>0</v>
      </c>
    </row>
    <row r="28" spans="1:2" s="3060" customFormat="1">
      <c r="A28" s="3058" t="s">
        <v>2820</v>
      </c>
      <c r="B28" s="3059">
        <f>'预评函-2'!D12</f>
        <v>0</v>
      </c>
    </row>
    <row r="29" spans="1:2" s="3060" customFormat="1">
      <c r="A29" s="3058" t="s">
        <v>2880</v>
      </c>
      <c r="B29" s="3059" t="str">
        <f>'预评函-2'!B13</f>
        <v>3.房地产抵押价值</v>
      </c>
    </row>
    <row r="30" spans="1:2" s="3060" customFormat="1">
      <c r="A30" s="3058" t="s">
        <v>2881</v>
      </c>
      <c r="B30" s="3059">
        <f ca="1">'预评函-2'!D13</f>
        <v>6914</v>
      </c>
    </row>
    <row r="31" spans="1:2" s="3060" customFormat="1">
      <c r="A31" s="3058" t="s">
        <v>2855</v>
      </c>
      <c r="B31" s="3059">
        <f ca="1">'预评函-2'!D15</f>
        <v>32939</v>
      </c>
    </row>
    <row r="32" spans="1:2" s="3060" customFormat="1">
      <c r="A32" s="3058" t="s">
        <v>2821</v>
      </c>
      <c r="B32" s="3059" t="str">
        <f ca="1">'预评函-2'!D14</f>
        <v>陆仟玖佰壹拾肆万元整</v>
      </c>
    </row>
    <row r="33" spans="1:2" s="3060" customFormat="1">
      <c r="A33" s="3058" t="s">
        <v>2857</v>
      </c>
      <c r="B33" s="3059" t="str">
        <f>'预评函-2'!B16</f>
        <v>——</v>
      </c>
    </row>
    <row r="34" spans="1:2" s="3060" customFormat="1">
      <c r="A34" s="3058" t="s">
        <v>2883</v>
      </c>
      <c r="B34" s="3059" t="str">
        <f>'预评函-2'!D16</f>
        <v>——</v>
      </c>
    </row>
    <row r="35" spans="1:2" s="3060" customFormat="1">
      <c r="A35" s="3058" t="s">
        <v>2856</v>
      </c>
      <c r="B35" s="3059" t="str">
        <f>'预评函-2'!D18</f>
        <v>——</v>
      </c>
    </row>
    <row r="36" spans="1:2" s="3060" customFormat="1">
      <c r="A36" s="3058" t="s">
        <v>2822</v>
      </c>
      <c r="B36" s="3059" t="e">
        <f>'预评函-2'!D17</f>
        <v>#VALUE!</v>
      </c>
    </row>
    <row r="37" spans="1:2" s="3060" customFormat="1">
      <c r="A37" s="3058" t="s">
        <v>2858</v>
      </c>
      <c r="B37" s="3059" t="str">
        <f>'预评函-2'!B19</f>
        <v>——</v>
      </c>
    </row>
    <row r="38" spans="1:2" s="3060" customFormat="1">
      <c r="A38" s="3058" t="s">
        <v>2884</v>
      </c>
      <c r="B38" s="3059" t="str">
        <f>'预评函-2'!D19</f>
        <v>——</v>
      </c>
    </row>
    <row r="39" spans="1:2" s="3060" customFormat="1">
      <c r="A39" s="3058" t="s">
        <v>2823</v>
      </c>
      <c r="B39" s="3059" t="str">
        <f>'预评函-2'!D21</f>
        <v>——</v>
      </c>
    </row>
    <row r="40" spans="1:2" s="3060" customFormat="1">
      <c r="A40" s="3058" t="s">
        <v>2824</v>
      </c>
      <c r="B40" s="3059" t="e">
        <f>'预评函-2'!D20</f>
        <v>#VALUE!</v>
      </c>
    </row>
    <row r="41" spans="1:2" s="3060" customFormat="1">
      <c r="A41" s="3058" t="s">
        <v>2879</v>
      </c>
      <c r="B41" s="3059" t="str">
        <f>'预评函-3'!A4</f>
        <v>北京市朝阳区亮马桥路32号房地产</v>
      </c>
    </row>
    <row r="42" spans="1:2" s="3060" customFormat="1">
      <c r="A42" s="3058" t="s">
        <v>2877</v>
      </c>
      <c r="B42" s="3059" t="str">
        <f>'预评函-3'!B2</f>
        <v>建筑面积</v>
      </c>
    </row>
    <row r="43" spans="1:2" s="3060" customFormat="1">
      <c r="A43" s="3058" t="s">
        <v>2878</v>
      </c>
      <c r="B43" s="3059">
        <f>'预评函-3'!B4</f>
        <v>2099.0100000000002</v>
      </c>
    </row>
    <row r="44" spans="1:2" s="3060" customFormat="1">
      <c r="A44" s="3058" t="s">
        <v>2854</v>
      </c>
      <c r="B44" s="3059" t="str">
        <f>'预评函-3'!C2</f>
        <v>(分摊)土地面积</v>
      </c>
    </row>
    <row r="45" spans="1:2" s="3060" customFormat="1">
      <c r="A45" s="3058" t="s">
        <v>2825</v>
      </c>
      <c r="B45" s="3059">
        <f>'预评函-3'!C4</f>
        <v>215.3</v>
      </c>
    </row>
    <row r="46" spans="1:2" s="3060" customFormat="1">
      <c r="A46" s="3058" t="s">
        <v>2852</v>
      </c>
      <c r="B46" s="3059" t="str">
        <f>'预评函-3'!D2</f>
        <v>出让国有建设用地使用权价值</v>
      </c>
    </row>
    <row r="47" spans="1:2" s="3060" customFormat="1">
      <c r="A47" s="3058" t="s">
        <v>2826</v>
      </c>
      <c r="B47" s="3059">
        <f ca="1">'预评函-3'!D4</f>
        <v>5877</v>
      </c>
    </row>
    <row r="48" spans="1:2" s="3060" customFormat="1">
      <c r="A48" s="3058" t="s">
        <v>2827</v>
      </c>
      <c r="B48" s="3059">
        <f ca="1">'预评函-3'!E4</f>
        <v>27999</v>
      </c>
    </row>
    <row r="49" spans="1:2" s="3060" customFormat="1">
      <c r="A49" s="3058" t="s">
        <v>2828</v>
      </c>
      <c r="B49" s="3059" t="str">
        <f ca="1">'预评函-3'!D5</f>
        <v>伍仟捌佰柒拾柒万元整</v>
      </c>
    </row>
    <row r="50" spans="1:2" s="3060" customFormat="1">
      <c r="A50" s="3058" t="s">
        <v>2853</v>
      </c>
      <c r="B50" s="3059" t="str">
        <f>'预评函-3'!F2</f>
        <v>在建建筑物价值</v>
      </c>
    </row>
    <row r="51" spans="1:2" s="3060" customFormat="1">
      <c r="A51" s="3058" t="s">
        <v>2829</v>
      </c>
      <c r="B51" s="3059">
        <f ca="1">'预评函-3'!F4</f>
        <v>1037</v>
      </c>
    </row>
    <row r="52" spans="1:2" s="3060" customFormat="1">
      <c r="A52" s="3058" t="s">
        <v>2830</v>
      </c>
      <c r="B52" s="3059">
        <f ca="1">'预评函-3'!G4</f>
        <v>4940</v>
      </c>
    </row>
    <row r="53" spans="1:2" s="3060" customFormat="1">
      <c r="A53" s="3058" t="s">
        <v>2859</v>
      </c>
      <c r="B53" s="3059" t="str">
        <f ca="1">'预评函-3'!F5</f>
        <v>壹仟零叁拾柒万元整</v>
      </c>
    </row>
    <row r="54" spans="1:2" s="3060" customFormat="1">
      <c r="A54" s="3058" t="s">
        <v>2886</v>
      </c>
      <c r="B54" s="3059" t="str">
        <f>'预评函-3'!A8</f>
        <v>房地产抵押价值</v>
      </c>
    </row>
    <row r="55" spans="1:2" s="3060" customFormat="1">
      <c r="A55" s="3058" t="s">
        <v>2860</v>
      </c>
      <c r="B55" s="3059" t="str">
        <f>'预评函-3'!A10</f>
        <v/>
      </c>
    </row>
    <row r="56" spans="1:2" s="3060" customFormat="1">
      <c r="A56" s="3058" t="s">
        <v>2861</v>
      </c>
      <c r="B56" s="3059" t="str">
        <f>'预评函-3'!A12</f>
        <v/>
      </c>
    </row>
    <row r="57" spans="1:2" s="3054" customFormat="1" ht="15" thickBot="1">
      <c r="A57" s="3061" t="s">
        <v>2887</v>
      </c>
      <c r="B57" s="3062" t="str">
        <f>'预评函-3'!A6</f>
        <v>估价师知悉的法定优先受偿款</v>
      </c>
    </row>
    <row r="58" spans="1:2" s="3057" customFormat="1" ht="15" thickTop="1">
      <c r="A58" s="3055" t="s">
        <v>2831</v>
      </c>
      <c r="B58" s="3056" t="str">
        <f>'预评函-4'!A12</f>
        <v>2.本《评估意见函》仅供金融机构进行内部审核使用，不做其他目的之用。</v>
      </c>
    </row>
    <row r="59" spans="1:2" s="3060" customFormat="1">
      <c r="A59" s="3058" t="s">
        <v>2832</v>
      </c>
      <c r="B59" s="3059" t="str">
        <f>'预评函-4'!A13</f>
        <v>3.抵押双方在办理抵押登记手续时，应使用本公司出具的正式《房地产评估报告》，特提醒报告使用者注意。</v>
      </c>
    </row>
    <row r="60" spans="1:2" s="3060" customFormat="1">
      <c r="A60" s="3058" t="s">
        <v>2833</v>
      </c>
      <c r="B60" s="3059" t="str">
        <f>'预评函-4'!A14</f>
        <v>4.本次评估估价师所知悉的法定优先受偿款情况说明如下：</v>
      </c>
    </row>
    <row r="61" spans="1:2" s="3060" customFormat="1">
      <c r="A61" s="3058" t="s">
        <v>2834</v>
      </c>
      <c r="B61" s="3059" t="str">
        <f>'预评函-4'!A15</f>
        <v>（1）根据估价对象《房屋所有权证》复印件、《国有土地使用权》复印件，截至价值时点，估价对象抵押权未见登记。</v>
      </c>
    </row>
    <row r="62" spans="1:2" s="3060" customFormat="1">
      <c r="A62" s="3058" t="s">
        <v>2835</v>
      </c>
      <c r="B62" s="3059" t="str">
        <f>'预评函-4'!A16</f>
        <v>（2）根据《工程款支付情况说明》，截至价值时点，估价对象不存在应付未付工程款项。（只要没有施工方盖章的，均“设定”进行表述）</v>
      </c>
    </row>
    <row r="63" spans="1:2" s="3060" customFormat="1">
      <c r="A63" s="3058" t="s">
        <v>2836</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2848</v>
      </c>
      <c r="B64" s="3059" t="str">
        <f>'预评函-4'!A18</f>
        <v>故，本次评估不存在估价师知悉的法定优先受偿款</v>
      </c>
    </row>
    <row r="65" spans="1:2" s="3060" customFormat="1">
      <c r="A65" s="3058" t="s">
        <v>2837</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2838</v>
      </c>
      <c r="B66" s="3059" t="str">
        <f>'预评函-4'!A20</f>
        <v>——</v>
      </c>
    </row>
    <row r="67" spans="1:2" s="3060" customFormat="1">
      <c r="A67" s="3058" t="s">
        <v>2849</v>
      </c>
      <c r="B67" s="3059" t="str">
        <f>'预评函-4'!A21</f>
        <v>——</v>
      </c>
    </row>
    <row r="68" spans="1:2" s="3060" customFormat="1">
      <c r="A68" s="3058" t="s">
        <v>2850</v>
      </c>
      <c r="B68" s="3059" t="str">
        <f>'预评函-4'!A22</f>
        <v>8.其他需特殊说明事项：无（注意调整序号）</v>
      </c>
    </row>
    <row r="69" spans="1:2" s="3054" customFormat="1" ht="15" thickBot="1">
      <c r="A69" s="3061" t="s">
        <v>2839</v>
      </c>
      <c r="B69" s="3063">
        <f>'预评函-4'!C31</f>
        <v>42551</v>
      </c>
    </row>
    <row r="70" spans="1:2" ht="15" thickTop="1">
      <c r="A70" s="3064" t="s">
        <v>2840</v>
      </c>
      <c r="B70" s="3065" t="str">
        <f>'预评函-4'!A4</f>
        <v>欧红伟</v>
      </c>
    </row>
    <row r="71" spans="1:2">
      <c r="A71" s="3058" t="s">
        <v>2841</v>
      </c>
      <c r="B71" s="3059">
        <f ca="1">'预评函-4'!B4</f>
        <v>1120000080</v>
      </c>
    </row>
    <row r="72" spans="1:2">
      <c r="A72" s="3058" t="s">
        <v>2842</v>
      </c>
      <c r="B72" s="3067" t="str">
        <f>'预评函-4'!A5</f>
        <v>梁津</v>
      </c>
    </row>
    <row r="73" spans="1:2" s="3054" customFormat="1" ht="15" thickBot="1">
      <c r="A73" s="3061" t="s">
        <v>2843</v>
      </c>
      <c r="B73" s="3062">
        <f ca="1">'预评函-4'!B5</f>
        <v>1119970066</v>
      </c>
    </row>
    <row r="74" spans="1:2" ht="15" thickTop="1">
      <c r="A74" s="3051" t="s">
        <v>2904</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257</v>
      </c>
      <c r="C1" s="1766" t="s">
        <v>1873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1846</v>
      </c>
      <c r="Q1" s="11" t="s">
        <v>2644</v>
      </c>
      <c r="R1" s="1484" t="s">
        <v>2634</v>
      </c>
      <c r="S1" s="290" t="s">
        <v>270</v>
      </c>
      <c r="T1" s="291" t="s">
        <v>271</v>
      </c>
      <c r="U1" s="290" t="s">
        <v>272</v>
      </c>
      <c r="V1" s="290" t="s">
        <v>273</v>
      </c>
      <c r="W1" s="1484" t="s">
        <v>1849</v>
      </c>
    </row>
    <row r="2" spans="1:23">
      <c r="A2" s="2795" t="s">
        <v>114</v>
      </c>
      <c r="B2" s="2795" t="s">
        <v>579</v>
      </c>
      <c r="C2" s="1767" t="s">
        <v>1874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1" t="s">
        <v>2638</v>
      </c>
      <c r="S2" s="292" t="s">
        <v>232</v>
      </c>
      <c r="T2" s="292" t="s">
        <v>233</v>
      </c>
      <c r="U2" s="292" t="s">
        <v>232</v>
      </c>
      <c r="V2" s="292" t="s">
        <v>234</v>
      </c>
      <c r="W2" s="292" t="s">
        <v>232</v>
      </c>
    </row>
    <row r="3" spans="1:23">
      <c r="A3" s="2795" t="s">
        <v>578</v>
      </c>
      <c r="B3" s="2796" t="s">
        <v>2680</v>
      </c>
      <c r="C3" s="1768" t="s">
        <v>1875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1" t="s">
        <v>2636</v>
      </c>
      <c r="S3" s="292" t="s">
        <v>240</v>
      </c>
      <c r="T3" s="292" t="s">
        <v>241</v>
      </c>
      <c r="U3" s="292" t="s">
        <v>240</v>
      </c>
      <c r="V3" s="292" t="s">
        <v>242</v>
      </c>
      <c r="W3" s="292" t="s">
        <v>240</v>
      </c>
    </row>
    <row r="4" spans="1:23">
      <c r="A4" s="2795" t="s">
        <v>580</v>
      </c>
      <c r="B4" s="2795" t="s">
        <v>581</v>
      </c>
      <c r="C4" s="1767" t="s">
        <v>1876</v>
      </c>
      <c r="D4" s="292" t="s">
        <v>2045</v>
      </c>
      <c r="E4" s="292" t="s">
        <v>279</v>
      </c>
      <c r="F4" s="292" t="s">
        <v>280</v>
      </c>
      <c r="G4" s="292">
        <v>70</v>
      </c>
      <c r="H4" s="292" t="s">
        <v>281</v>
      </c>
      <c r="I4" s="292" t="s">
        <v>282</v>
      </c>
      <c r="K4" s="292" t="s">
        <v>243</v>
      </c>
      <c r="L4" s="292" t="s">
        <v>243</v>
      </c>
      <c r="M4" s="292" t="s">
        <v>243</v>
      </c>
      <c r="N4" s="292" t="s">
        <v>243</v>
      </c>
      <c r="O4" s="292" t="s">
        <v>243</v>
      </c>
      <c r="P4" s="292" t="s">
        <v>243</v>
      </c>
      <c r="Q4" s="292" t="s">
        <v>243</v>
      </c>
      <c r="R4" s="2761" t="s">
        <v>2639</v>
      </c>
      <c r="S4" s="292" t="s">
        <v>243</v>
      </c>
      <c r="T4" s="292" t="s">
        <v>244</v>
      </c>
      <c r="U4" s="292" t="s">
        <v>243</v>
      </c>
      <c r="W4" s="292" t="s">
        <v>243</v>
      </c>
    </row>
    <row r="5" spans="1:23">
      <c r="A5" s="2795" t="s">
        <v>582</v>
      </c>
      <c r="B5" s="2796" t="s">
        <v>3090</v>
      </c>
      <c r="C5" s="1767" t="s">
        <v>1877</v>
      </c>
      <c r="F5" s="292" t="s">
        <v>245</v>
      </c>
      <c r="H5" s="292" t="s">
        <v>246</v>
      </c>
      <c r="I5" s="292" t="s">
        <v>247</v>
      </c>
      <c r="K5" s="292" t="s">
        <v>248</v>
      </c>
      <c r="L5" s="292" t="s">
        <v>248</v>
      </c>
      <c r="M5" s="292" t="s">
        <v>248</v>
      </c>
      <c r="N5" s="292" t="s">
        <v>248</v>
      </c>
      <c r="O5" s="292" t="s">
        <v>248</v>
      </c>
      <c r="P5" s="292" t="s">
        <v>248</v>
      </c>
      <c r="Q5" s="292" t="s">
        <v>248</v>
      </c>
      <c r="R5" s="2761" t="s">
        <v>2640</v>
      </c>
      <c r="S5" s="292" t="s">
        <v>248</v>
      </c>
      <c r="T5" s="292" t="s">
        <v>249</v>
      </c>
      <c r="U5" s="292" t="s">
        <v>248</v>
      </c>
      <c r="W5" s="292" t="s">
        <v>248</v>
      </c>
    </row>
    <row r="6" spans="1:23">
      <c r="A6" s="2795" t="s">
        <v>583</v>
      </c>
      <c r="B6" s="2796" t="s">
        <v>2681</v>
      </c>
      <c r="C6" s="1769" t="s">
        <v>163</v>
      </c>
      <c r="F6" s="292" t="s">
        <v>250</v>
      </c>
      <c r="H6" s="292" t="s">
        <v>251</v>
      </c>
      <c r="I6" s="292" t="s">
        <v>252</v>
      </c>
      <c r="K6" s="292" t="s">
        <v>253</v>
      </c>
      <c r="L6" s="292" t="s">
        <v>253</v>
      </c>
      <c r="M6" s="292" t="s">
        <v>253</v>
      </c>
      <c r="N6" s="292" t="s">
        <v>253</v>
      </c>
      <c r="O6" s="292" t="s">
        <v>253</v>
      </c>
      <c r="P6" s="292" t="s">
        <v>253</v>
      </c>
      <c r="Q6" s="292" t="s">
        <v>253</v>
      </c>
      <c r="R6" s="2761" t="s">
        <v>2641</v>
      </c>
      <c r="S6" s="292" t="s">
        <v>253</v>
      </c>
      <c r="T6" s="292"/>
      <c r="U6" s="292" t="s">
        <v>253</v>
      </c>
      <c r="W6" s="292" t="s">
        <v>253</v>
      </c>
    </row>
    <row r="7" spans="1:23">
      <c r="A7" s="2795" t="s">
        <v>585</v>
      </c>
      <c r="B7" s="2796" t="s">
        <v>2682</v>
      </c>
      <c r="C7" s="1767" t="s">
        <v>164</v>
      </c>
      <c r="F7" s="292" t="s">
        <v>254</v>
      </c>
      <c r="H7" s="292" t="s">
        <v>255</v>
      </c>
      <c r="I7" s="292" t="s">
        <v>256</v>
      </c>
    </row>
    <row r="8" spans="1:23">
      <c r="A8" s="2795" t="s">
        <v>587</v>
      </c>
      <c r="B8" s="2795" t="s">
        <v>584</v>
      </c>
      <c r="C8" s="1767" t="s">
        <v>1878</v>
      </c>
      <c r="F8" s="292" t="s">
        <v>283</v>
      </c>
      <c r="H8" s="292"/>
      <c r="I8" s="292" t="s">
        <v>284</v>
      </c>
    </row>
    <row r="9" spans="1:23">
      <c r="A9" s="2795" t="s">
        <v>589</v>
      </c>
      <c r="B9" s="2795" t="s">
        <v>586</v>
      </c>
      <c r="C9" s="1767" t="s">
        <v>1879</v>
      </c>
      <c r="F9" s="292" t="s">
        <v>285</v>
      </c>
      <c r="H9" s="292"/>
    </row>
    <row r="10" spans="1:23">
      <c r="A10" s="2795" t="s">
        <v>591</v>
      </c>
      <c r="B10" s="2795" t="s">
        <v>588</v>
      </c>
      <c r="C10" s="1767" t="s">
        <v>1880</v>
      </c>
      <c r="F10" s="292" t="s">
        <v>51</v>
      </c>
    </row>
    <row r="11" spans="1:23">
      <c r="A11" s="2795" t="s">
        <v>593</v>
      </c>
      <c r="B11" s="2795" t="s">
        <v>590</v>
      </c>
      <c r="C11" s="1767" t="s">
        <v>1881</v>
      </c>
    </row>
    <row r="12" spans="1:23">
      <c r="A12" s="2795" t="s">
        <v>595</v>
      </c>
      <c r="B12" s="2795" t="s">
        <v>592</v>
      </c>
      <c r="C12" s="1767" t="s">
        <v>1882</v>
      </c>
    </row>
    <row r="13" spans="1:23">
      <c r="A13" s="2795" t="s">
        <v>597</v>
      </c>
      <c r="B13" s="2795" t="s">
        <v>594</v>
      </c>
      <c r="C13" s="1767" t="s">
        <v>1883</v>
      </c>
    </row>
    <row r="14" spans="1:23">
      <c r="A14" s="2795" t="s">
        <v>599</v>
      </c>
      <c r="B14" s="2795" t="s">
        <v>596</v>
      </c>
      <c r="C14" s="292" t="s">
        <v>51</v>
      </c>
    </row>
    <row r="15" spans="1:23">
      <c r="A15" s="2795" t="s">
        <v>600</v>
      </c>
      <c r="B15" s="2795" t="s">
        <v>598</v>
      </c>
      <c r="C15" s="1770"/>
    </row>
    <row r="16" spans="1:23">
      <c r="A16" s="2795" t="s">
        <v>601</v>
      </c>
      <c r="B16" s="2795" t="s">
        <v>3096</v>
      </c>
      <c r="C16" s="1770"/>
    </row>
    <row r="17" spans="1:3">
      <c r="A17" s="2795" t="s">
        <v>602</v>
      </c>
      <c r="B17" s="2795" t="s">
        <v>3091</v>
      </c>
      <c r="C17" s="1770"/>
    </row>
    <row r="18" spans="1:3">
      <c r="A18" s="2795" t="s">
        <v>603</v>
      </c>
      <c r="B18" s="2795" t="s">
        <v>3094</v>
      </c>
      <c r="C18" s="1770"/>
    </row>
    <row r="19" spans="1:3">
      <c r="A19" s="2795" t="s">
        <v>604</v>
      </c>
      <c r="B19" s="2795" t="s">
        <v>3098</v>
      </c>
      <c r="C19" s="1770"/>
    </row>
    <row r="20" spans="1:3">
      <c r="A20" s="2795" t="s">
        <v>605</v>
      </c>
      <c r="B20" s="2795" t="s">
        <v>3123</v>
      </c>
      <c r="C20" s="1770"/>
    </row>
    <row r="21" spans="1:3">
      <c r="A21" s="2795" t="s">
        <v>606</v>
      </c>
      <c r="B21" s="2795" t="s">
        <v>1865</v>
      </c>
      <c r="C21" s="1770"/>
    </row>
    <row r="22" spans="1:3">
      <c r="A22" s="2795" t="s">
        <v>607</v>
      </c>
      <c r="B22" s="2795" t="s">
        <v>1865</v>
      </c>
      <c r="C22" s="1770"/>
    </row>
    <row r="23" spans="1:3">
      <c r="A23" s="2795" t="s">
        <v>608</v>
      </c>
      <c r="B23" s="2795" t="s">
        <v>1865</v>
      </c>
      <c r="C23" s="1770"/>
    </row>
    <row r="24" spans="1:3">
      <c r="A24" s="2795" t="s">
        <v>609</v>
      </c>
      <c r="B24" s="2795" t="s">
        <v>1865</v>
      </c>
      <c r="C24" s="1770"/>
    </row>
    <row r="25" spans="1:3">
      <c r="A25" s="2795" t="s">
        <v>610</v>
      </c>
      <c r="B25" s="2795" t="s">
        <v>1865</v>
      </c>
      <c r="C25" s="1770"/>
    </row>
    <row r="26" spans="1:3">
      <c r="A26" s="2795" t="s">
        <v>611</v>
      </c>
      <c r="B26" s="2795" t="s">
        <v>1865</v>
      </c>
      <c r="C26" s="1770"/>
    </row>
    <row r="27" spans="1:3">
      <c r="A27" s="2795" t="s">
        <v>1865</v>
      </c>
      <c r="B27" s="2795" t="s">
        <v>1865</v>
      </c>
      <c r="C27" s="1770"/>
    </row>
    <row r="28" spans="1:3">
      <c r="A28" s="2795" t="s">
        <v>1865</v>
      </c>
      <c r="B28" s="2795" t="s">
        <v>1865</v>
      </c>
      <c r="C28" s="1770"/>
    </row>
    <row r="29" spans="1:3">
      <c r="A29" s="2795" t="s">
        <v>1865</v>
      </c>
      <c r="B29" s="2795" t="s">
        <v>1865</v>
      </c>
      <c r="C29" s="1770"/>
    </row>
    <row r="30" spans="1:3">
      <c r="A30" s="2795" t="s">
        <v>1865</v>
      </c>
      <c r="B30" s="2795" t="s">
        <v>1865</v>
      </c>
      <c r="C30" s="1770"/>
    </row>
    <row r="31" spans="1:3">
      <c r="A31" s="2795" t="s">
        <v>1865</v>
      </c>
      <c r="B31" s="2795" t="s">
        <v>1865</v>
      </c>
      <c r="C31" s="1770"/>
    </row>
    <row r="32" spans="1:3">
      <c r="A32" s="2795" t="s">
        <v>1865</v>
      </c>
      <c r="B32" s="2795" t="s">
        <v>1865</v>
      </c>
      <c r="C32" s="1770"/>
    </row>
    <row r="33" spans="1:3">
      <c r="A33" s="2795" t="s">
        <v>1865</v>
      </c>
      <c r="B33" s="2795" t="s">
        <v>1865</v>
      </c>
      <c r="C33" s="1770"/>
    </row>
    <row r="34" spans="1:3">
      <c r="A34" s="2795" t="s">
        <v>1865</v>
      </c>
      <c r="B34" s="2795" t="s">
        <v>1865</v>
      </c>
      <c r="C34" s="1770"/>
    </row>
    <row r="35" spans="1:3">
      <c r="A35" s="2795" t="s">
        <v>1865</v>
      </c>
      <c r="B35" s="2795" t="s">
        <v>1865</v>
      </c>
      <c r="C35" s="1770"/>
    </row>
    <row r="36" spans="1:3">
      <c r="A36" s="2795" t="s">
        <v>1865</v>
      </c>
      <c r="B36" s="2795" t="s">
        <v>1865</v>
      </c>
      <c r="C36" s="1770"/>
    </row>
    <row r="37" spans="1:3">
      <c r="A37" s="2795" t="s">
        <v>1865</v>
      </c>
      <c r="B37" s="2795" t="s">
        <v>1865</v>
      </c>
      <c r="C37" s="1770"/>
    </row>
    <row r="38" spans="1:3">
      <c r="A38" s="2795" t="s">
        <v>1865</v>
      </c>
      <c r="B38" s="2795" t="s">
        <v>1865</v>
      </c>
      <c r="C38" s="1770"/>
    </row>
    <row r="39" spans="1:3">
      <c r="A39" s="2795" t="s">
        <v>1865</v>
      </c>
      <c r="B39" s="2795" t="s">
        <v>1865</v>
      </c>
      <c r="C39" s="1770"/>
    </row>
    <row r="40" spans="1:3">
      <c r="A40" s="2795" t="s">
        <v>1865</v>
      </c>
      <c r="B40" s="2795" t="s">
        <v>1865</v>
      </c>
      <c r="C40" s="1770"/>
    </row>
    <row r="41" spans="1:3">
      <c r="A41" s="2795" t="s">
        <v>1865</v>
      </c>
      <c r="B41" s="2795" t="s">
        <v>1865</v>
      </c>
      <c r="C41" s="1770"/>
    </row>
    <row r="42" spans="1:3">
      <c r="A42" s="2795" t="s">
        <v>1865</v>
      </c>
      <c r="B42" s="2795" t="s">
        <v>1865</v>
      </c>
      <c r="C42" s="1770"/>
    </row>
    <row r="43" spans="1:3">
      <c r="A43" s="2795" t="s">
        <v>1865</v>
      </c>
      <c r="B43" s="2795" t="s">
        <v>1865</v>
      </c>
      <c r="C43" s="1770"/>
    </row>
    <row r="44" spans="1:3">
      <c r="A44" s="2795" t="s">
        <v>1865</v>
      </c>
      <c r="B44" s="2795" t="s">
        <v>1865</v>
      </c>
      <c r="C44" s="1770"/>
    </row>
    <row r="45" spans="1:3">
      <c r="A45" s="2795" t="s">
        <v>1865</v>
      </c>
      <c r="B45" s="2795" t="s">
        <v>1865</v>
      </c>
      <c r="C45" s="1770"/>
    </row>
    <row r="46" spans="1:3">
      <c r="A46" s="2795" t="s">
        <v>1865</v>
      </c>
      <c r="B46" s="2795" t="s">
        <v>1865</v>
      </c>
      <c r="C46" s="1770"/>
    </row>
    <row r="47" spans="1:3">
      <c r="A47" s="2795" t="s">
        <v>1865</v>
      </c>
      <c r="B47" s="2795" t="s">
        <v>1865</v>
      </c>
      <c r="C47" s="1770"/>
    </row>
    <row r="48" spans="1:3">
      <c r="A48" s="2795" t="s">
        <v>1865</v>
      </c>
      <c r="B48" s="2795" t="s">
        <v>1865</v>
      </c>
      <c r="C48" s="1770"/>
    </row>
    <row r="49" spans="1:4">
      <c r="A49" s="2795" t="s">
        <v>1865</v>
      </c>
      <c r="B49" s="2795" t="s">
        <v>1865</v>
      </c>
      <c r="C49" s="1770"/>
    </row>
    <row r="50" spans="1:4">
      <c r="A50" s="2795" t="s">
        <v>1865</v>
      </c>
      <c r="B50" s="2795" t="s">
        <v>1865</v>
      </c>
      <c r="C50" s="1770"/>
    </row>
    <row r="51" spans="1:4">
      <c r="A51" s="1950" t="s">
        <v>2011</v>
      </c>
      <c r="B51" s="2093" t="str">
        <f>"为估价委托人在向"&amp;项目基本情况!B6&amp;"办理贷款手续过程中，确定房地产抵押贷款额度提供参考依据而评估房地产抵押价值。"</f>
        <v>为估价委托人在向交通银行股份有限公司北京东三环支行办理贷款手续过程中，确定房地产抵押贷款额度提供参考依据而评估房地产抵押价值。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斓大厦有限公司拟使用北京市朝阳区亮马桥路32号房地产作为抵押担保物，向交通银行股份有限公司北京东三环支行办理贷款手续。交通银行股份有限公司北京东三环支行特委托北京康正宏基房地产评估有限公司对上述抵押物进行评估。本次评估为确定房地产抵押贷款额度提供参考依据而评估房地产抵押价值。</v>
      </c>
      <c r="D51" s="2093" t="s">
        <v>2867</v>
      </c>
    </row>
    <row r="52" spans="1:4">
      <c r="A52" s="1950" t="s">
        <v>2015</v>
      </c>
      <c r="B52" s="1950" t="s">
        <v>2016</v>
      </c>
      <c r="C52" s="1162" t="s">
        <v>2017</v>
      </c>
      <c r="D52" s="1162" t="s">
        <v>2018</v>
      </c>
    </row>
    <row r="53" spans="1:4">
      <c r="A53" s="3434" t="s">
        <v>2019</v>
      </c>
      <c r="B53" s="2093" t="s">
        <v>2020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16日，估价对象规划用途为办公、商业土地取得方式为出让，出让国有建设用地使用权剩余土地使用年限为XX年(多用途剩余年限尾数不同时，可只体现小数点后一位)，假定未设立法定优先受偿款下的房地产市场价值。</v>
      </c>
    </row>
    <row r="54" spans="1:4">
      <c r="A54" s="3434"/>
      <c r="B54" s="2093" t="s">
        <v>2021</v>
      </c>
      <c r="C54" s="1162" t="s">
        <v>2864</v>
      </c>
    </row>
    <row r="55" spans="1:4">
      <c r="A55" s="3434"/>
      <c r="B55" s="2093" t="s">
        <v>2022</v>
      </c>
      <c r="C55" s="1162" t="s">
        <v>2865</v>
      </c>
    </row>
    <row r="56" spans="1:4">
      <c r="A56" s="3434"/>
      <c r="B56" s="2093" t="s">
        <v>2023</v>
      </c>
      <c r="C56" s="1162" t="s">
        <v>2875</v>
      </c>
    </row>
    <row r="57" spans="1:4">
      <c r="A57" s="3434"/>
      <c r="B57" s="2093" t="s">
        <v>2024</v>
      </c>
      <c r="C57" s="1162" t="s">
        <v>2866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H21" sqref="H21"/>
    </sheetView>
  </sheetViews>
  <sheetFormatPr defaultColWidth="10" defaultRowHeight="18" customHeight="1"/>
  <cols>
    <col min="1" max="1" width="14.875" style="1203" customWidth="1"/>
    <col min="2" max="2" width="10" style="1203" customWidth="1"/>
    <col min="3" max="3" width="11.5" style="1203" customWidth="1"/>
    <col min="4" max="5" width="10" style="1203" customWidth="1"/>
    <col min="6" max="6" width="14.25" style="1203" customWidth="1"/>
    <col min="7" max="7" width="10.75" style="1203" customWidth="1"/>
    <col min="8" max="8" width="10" style="1203" customWidth="1"/>
    <col min="9" max="9" width="11.125" style="1163" customWidth="1"/>
    <col min="10" max="10" width="10" style="1203" customWidth="1"/>
    <col min="11" max="11" width="10" style="2105" customWidth="1"/>
    <col min="12" max="13" width="10" style="2005"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2" t="s">
        <v>2125</v>
      </c>
      <c r="B1" s="3435" t="str">
        <f>IF(B10="北京市","北京市",C10)&amp;F10&amp;IF(结果表!G1="在建","出让国有建设用地使用权及在建建筑物",IF(结果表!G1="土地","出让国有建设用地使用权",))&amp;B9&amp;"预评估"</f>
        <v>北京市朝阳区亮马桥路32号房地产抵押价值预评估</v>
      </c>
      <c r="C1" s="3436"/>
      <c r="D1" s="3436"/>
      <c r="E1" s="3436"/>
      <c r="F1" s="3436"/>
      <c r="G1" s="3436"/>
      <c r="H1" s="3436"/>
      <c r="I1" s="3437"/>
      <c r="J1" s="1994"/>
      <c r="K1" s="2100"/>
      <c r="L1" s="1995"/>
      <c r="M1" s="1995"/>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北京市朝阳区亮马桥路32号房地产抵押价值</v>
      </c>
    </row>
    <row r="2" spans="1:19" ht="18" customHeight="1">
      <c r="A2" s="1994" t="s">
        <v>2126</v>
      </c>
      <c r="B2" s="1941" t="s">
        <v>3087</v>
      </c>
      <c r="C2" s="1996"/>
      <c r="D2" s="1994"/>
      <c r="E2" s="1997"/>
      <c r="F2" s="1997"/>
      <c r="G2" s="1994"/>
      <c r="H2" s="1994"/>
      <c r="I2" s="1994"/>
      <c r="J2" s="1994"/>
      <c r="K2" s="2100"/>
      <c r="L2" s="1995"/>
      <c r="M2" s="1995"/>
      <c r="N2" s="1197"/>
      <c r="O2" s="11"/>
      <c r="P2" s="1197"/>
      <c r="Q2" s="1197"/>
      <c r="R2" s="1197"/>
      <c r="S2" s="1196" t="str">
        <f>IF(B10="北京市","北京市",C10)&amp;F10&amp;IF(结果表!G1="在建","出让国有建设用地使用权及在建建筑物房地产",IF(结果表!G1="土地","出让国有建设用地使用权","房地产"))</f>
        <v>北京市朝阳区亮马桥路32号房地产</v>
      </c>
    </row>
    <row r="3" spans="1:19" ht="18" customHeight="1">
      <c r="A3" s="1939" t="s">
        <v>2004</v>
      </c>
      <c r="B3" s="3229">
        <v>42963</v>
      </c>
      <c r="C3" s="1922" t="s">
        <v>2005</v>
      </c>
      <c r="D3" s="3229">
        <v>42963</v>
      </c>
      <c r="E3" s="1994"/>
      <c r="F3" s="1994"/>
      <c r="G3" s="1994"/>
      <c r="H3" s="1994"/>
      <c r="I3" s="1994"/>
      <c r="J3" s="1994"/>
      <c r="K3" s="2100"/>
      <c r="L3" s="1995"/>
      <c r="M3" s="1995"/>
      <c r="N3" s="1197"/>
      <c r="O3" s="11"/>
      <c r="P3" s="1197"/>
      <c r="Q3" s="1197"/>
      <c r="R3" s="1197"/>
      <c r="S3" s="1196"/>
    </row>
    <row r="4" spans="1:19" ht="18" customHeight="1" thickBot="1">
      <c r="A4" s="1923" t="s">
        <v>2006</v>
      </c>
      <c r="B4" s="1924" t="s">
        <v>3063</v>
      </c>
      <c r="C4" s="1925">
        <f ca="1">SUMIF(注册房地产估价师,B4,估价师及机构信息!B3:B24)</f>
        <v>1120000080</v>
      </c>
      <c r="D4" s="1924" t="s">
        <v>3064</v>
      </c>
      <c r="E4" s="1926">
        <f ca="1">SUMIF(注册房地产估价师,D4,估价师及机构信息!B3:B24)</f>
        <v>1119970066</v>
      </c>
      <c r="F4" s="1924" t="s">
        <v>530</v>
      </c>
      <c r="G4" s="1953">
        <f>SUMIF(注册房地产估价师,F4,估价师及机构信息!B3:B24)</f>
        <v>0</v>
      </c>
      <c r="H4" s="1924" t="s">
        <v>530</v>
      </c>
      <c r="I4" s="2884">
        <f>SUMIF(注册房地产估价师,H4,估价师及机构信息!B3:B24)</f>
        <v>0</v>
      </c>
      <c r="J4" s="1999"/>
      <c r="K4" s="2101" t="str">
        <f ca="1">CONCATENATE(B4,"（注册号：",C4,")、",D4,"（注册号：",E4,")")</f>
        <v>欧红伟（注册号：1120000080)、梁津（注册号：1119970066)</v>
      </c>
      <c r="L4" s="1995"/>
      <c r="M4" s="1995"/>
      <c r="N4" s="1197"/>
      <c r="O4" s="11"/>
      <c r="P4" s="1197"/>
      <c r="Q4" s="1197"/>
      <c r="R4" s="1197"/>
      <c r="S4" s="1196"/>
    </row>
    <row r="5" spans="1:19" ht="18" customHeight="1" thickTop="1">
      <c r="A5" s="1927" t="s">
        <v>2090</v>
      </c>
      <c r="B5" s="3284" t="s">
        <v>3065</v>
      </c>
      <c r="C5" s="2038"/>
      <c r="D5" s="2000"/>
      <c r="E5" s="1999"/>
      <c r="F5" s="1999"/>
      <c r="G5" s="1999"/>
      <c r="H5" s="1999"/>
      <c r="I5" s="1999"/>
      <c r="J5" s="1999"/>
      <c r="K5" s="2101" t="str">
        <f>IF(F4="——","",IF(H4="——",F4&amp;"（注册号："&amp;G4&amp;")",CONCATENATE(F4,"（注册号：",G4,")、",H4,"（注册号：",I4,")")))</f>
        <v/>
      </c>
      <c r="L5" s="1995"/>
      <c r="M5" s="1995"/>
      <c r="N5" s="1197"/>
      <c r="O5" s="11"/>
      <c r="P5" s="1197"/>
      <c r="Q5" s="1197"/>
      <c r="R5" s="1197"/>
    </row>
    <row r="6" spans="1:19" ht="18" customHeight="1" thickBot="1">
      <c r="A6" s="1928" t="s">
        <v>2091</v>
      </c>
      <c r="B6" s="2039" t="s">
        <v>3088</v>
      </c>
      <c r="C6" s="2040"/>
      <c r="D6" s="2001"/>
      <c r="E6" s="1997"/>
      <c r="F6" s="1999"/>
      <c r="G6" s="1999"/>
      <c r="H6" s="1999"/>
      <c r="I6" s="1999"/>
      <c r="J6" s="1999"/>
      <c r="K6" s="2106" t="str">
        <f>IF(COUNTIF(B6,"*上海银行*"),"上海银行","")</f>
        <v/>
      </c>
      <c r="L6" s="1995"/>
      <c r="M6" s="1995"/>
      <c r="N6" s="1197"/>
      <c r="O6" s="11"/>
      <c r="P6" s="1197"/>
      <c r="Q6" s="1197"/>
      <c r="R6" s="1197"/>
    </row>
    <row r="7" spans="1:19" ht="18" customHeight="1" thickTop="1">
      <c r="A7" s="1928" t="s">
        <v>2870</v>
      </c>
      <c r="B7" s="3284" t="s">
        <v>3065</v>
      </c>
      <c r="C7" s="2040"/>
      <c r="D7" s="2001"/>
      <c r="E7" s="1997"/>
      <c r="F7" s="1999"/>
      <c r="G7" s="1999"/>
      <c r="H7" s="1999"/>
      <c r="I7" s="1999"/>
      <c r="J7" s="1999"/>
      <c r="K7" s="2102"/>
      <c r="L7" s="1995"/>
      <c r="M7" s="1995"/>
      <c r="N7" s="1197"/>
      <c r="O7" s="11"/>
      <c r="P7" s="1197"/>
      <c r="Q7" s="1197"/>
      <c r="R7" s="1197"/>
    </row>
    <row r="8" spans="1:19" ht="18" customHeight="1">
      <c r="A8" s="1928" t="s">
        <v>1952</v>
      </c>
      <c r="B8" s="2033" t="s">
        <v>3066</v>
      </c>
      <c r="C8" s="2002"/>
      <c r="D8" s="3438" t="s">
        <v>2014</v>
      </c>
      <c r="E8" s="2034" t="s">
        <v>3067</v>
      </c>
      <c r="F8" s="2035"/>
      <c r="G8" s="1994"/>
      <c r="H8" s="1994"/>
      <c r="I8" s="1994"/>
      <c r="J8" s="1999"/>
      <c r="K8" s="2101"/>
      <c r="L8" s="1995"/>
      <c r="M8" s="1995"/>
      <c r="N8" s="1197"/>
      <c r="O8" s="11"/>
      <c r="P8" s="1197"/>
      <c r="Q8" s="1197"/>
      <c r="R8" s="1197"/>
    </row>
    <row r="9" spans="1:19" ht="18" customHeight="1" thickBot="1">
      <c r="A9" s="1953" t="s">
        <v>1953</v>
      </c>
      <c r="B9" s="1954" t="s">
        <v>3067</v>
      </c>
      <c r="C9" s="2003"/>
      <c r="D9" s="3439"/>
      <c r="E9" s="1954"/>
      <c r="F9" s="2887"/>
      <c r="G9" s="1998"/>
      <c r="H9" s="1998"/>
      <c r="I9" s="1998"/>
      <c r="J9" s="1999"/>
      <c r="K9" s="2102"/>
      <c r="L9" s="1995"/>
      <c r="M9" s="1995"/>
      <c r="N9" s="1197"/>
      <c r="O9" s="11"/>
      <c r="P9" s="1197"/>
      <c r="Q9" s="1197"/>
      <c r="R9" s="1197"/>
    </row>
    <row r="10" spans="1:19" ht="18" customHeight="1" thickTop="1">
      <c r="A10" s="2008" t="s">
        <v>2062</v>
      </c>
      <c r="B10" s="2054" t="s">
        <v>3068</v>
      </c>
      <c r="C10" s="2036"/>
      <c r="D10" s="2000"/>
      <c r="E10" s="1938" t="s">
        <v>1954</v>
      </c>
      <c r="F10" s="1951" t="s">
        <v>3089</v>
      </c>
      <c r="G10" s="2885"/>
      <c r="H10" s="2886"/>
      <c r="I10" s="2000"/>
      <c r="J10" s="1999"/>
      <c r="K10" s="2102"/>
      <c r="L10" s="1995"/>
      <c r="M10" s="1995"/>
      <c r="N10" s="1197"/>
      <c r="O10" s="11"/>
      <c r="P10" s="1197"/>
      <c r="Q10" s="1197"/>
      <c r="R10" s="1197"/>
    </row>
    <row r="11" spans="1:19" ht="18" customHeight="1">
      <c r="A11" s="1957" t="s">
        <v>2063</v>
      </c>
      <c r="B11" s="2053" t="s">
        <v>3069</v>
      </c>
      <c r="C11" s="2037"/>
      <c r="D11" s="2004"/>
      <c r="E11" s="1999"/>
      <c r="F11" s="1999"/>
      <c r="G11" s="1999"/>
      <c r="H11" s="1999"/>
      <c r="I11" s="1999"/>
      <c r="J11" s="1999"/>
      <c r="K11" s="2102"/>
      <c r="L11" s="1995"/>
      <c r="M11" s="1995"/>
      <c r="N11" s="1197"/>
      <c r="O11" s="11"/>
      <c r="P11" s="1197"/>
      <c r="Q11" s="1197"/>
      <c r="R11" s="1197"/>
    </row>
    <row r="12" spans="1:19" ht="18" customHeight="1">
      <c r="A12" s="2052" t="s">
        <v>2089</v>
      </c>
      <c r="B12" s="2053" t="s">
        <v>2025</v>
      </c>
      <c r="C12" s="2011" t="s">
        <v>2093</v>
      </c>
      <c r="D12" s="2023" t="s">
        <v>1946</v>
      </c>
      <c r="E12" s="2023" t="s">
        <v>2707</v>
      </c>
      <c r="F12" s="2023" t="s">
        <v>2708</v>
      </c>
      <c r="G12" s="2023" t="s">
        <v>2709</v>
      </c>
      <c r="H12" s="2023" t="s">
        <v>2710</v>
      </c>
      <c r="I12" s="2023" t="s">
        <v>2711</v>
      </c>
      <c r="J12" s="1999"/>
      <c r="K12" s="2102"/>
      <c r="L12" s="1995"/>
      <c r="M12" s="1995"/>
      <c r="N12" s="1197"/>
      <c r="O12" s="11"/>
      <c r="P12" s="1197"/>
      <c r="Q12" s="1197"/>
      <c r="R12" s="1197"/>
    </row>
    <row r="13" spans="1:19" ht="18" customHeight="1" thickBot="1">
      <c r="A13" s="2007"/>
      <c r="B13" s="2082"/>
      <c r="C13" s="2083" t="s">
        <v>2092</v>
      </c>
      <c r="D13" s="3228"/>
      <c r="E13" s="3228">
        <v>49185</v>
      </c>
      <c r="F13" s="3370">
        <v>52838</v>
      </c>
      <c r="G13" s="3228"/>
      <c r="H13" s="3228"/>
      <c r="I13" s="2048"/>
      <c r="J13" s="1999"/>
      <c r="K13" s="2102"/>
      <c r="L13" s="1995"/>
      <c r="M13" s="1995"/>
      <c r="N13" s="1197"/>
      <c r="O13" s="11"/>
      <c r="P13" s="1197"/>
      <c r="Q13" s="1197"/>
      <c r="R13" s="1197"/>
    </row>
    <row r="14" spans="1:19" ht="18" customHeight="1">
      <c r="A14" s="2007"/>
      <c r="B14" s="2082"/>
      <c r="C14" s="2083" t="s">
        <v>2094</v>
      </c>
      <c r="D14" s="2051"/>
      <c r="E14" s="2051">
        <v>40</v>
      </c>
      <c r="F14" s="2051">
        <v>50</v>
      </c>
      <c r="G14" s="2051"/>
      <c r="H14" s="2051"/>
      <c r="I14" s="2051"/>
      <c r="J14" s="1999"/>
      <c r="K14" s="2103"/>
      <c r="L14" s="1995"/>
      <c r="M14" s="1995"/>
      <c r="N14" s="1197"/>
      <c r="O14" s="11"/>
      <c r="P14" s="1197"/>
      <c r="Q14" s="1197"/>
      <c r="R14" s="1197"/>
    </row>
    <row r="15" spans="1:19" ht="18" customHeight="1">
      <c r="A15" s="2008"/>
      <c r="B15" s="2084"/>
      <c r="C15" s="2083" t="s">
        <v>2095</v>
      </c>
      <c r="D15" s="2050" t="str">
        <f>IF(B12="出让",IF(D13="","",ROUNDDOWN(MIN((D13-$D$3)/365,D14),2)),D14)</f>
        <v/>
      </c>
      <c r="E15" s="2050">
        <f>IF(B12="出让",IF(E13="","",ROUNDDOWN(MIN((E13-$D$3)/365,E14),2)),E14)</f>
        <v>17.04</v>
      </c>
      <c r="F15" s="2050">
        <f>IF(B12="出让",IF(F13="","",ROUNDDOWN(MIN((F13-$D$3)/365,F14),2)),F14)</f>
        <v>27.05</v>
      </c>
      <c r="G15" s="2050" t="str">
        <f>IF(B12="出让",IF(G13="","",ROUNDDOWN(MIN((G13-$D$3)/365,G14),2)),G14)</f>
        <v/>
      </c>
      <c r="H15" s="2050" t="str">
        <f>IF(B12="出让",IF(H13="","",ROUNDDOWN(MIN((H13-$D$3)/365,H14),2)),H14)</f>
        <v/>
      </c>
      <c r="I15" s="2050" t="str">
        <f>IF(B12="出让",IF(I13="","",ROUNDDOWN(MIN((I13-$D$3)/365,I14),2)),I14)</f>
        <v/>
      </c>
      <c r="J15" s="1999"/>
      <c r="K15" s="2104"/>
      <c r="L15" s="1231"/>
      <c r="M15" s="1231"/>
      <c r="N15" s="2019"/>
      <c r="O15" s="1231"/>
      <c r="P15" s="2019"/>
      <c r="Q15" s="1197"/>
      <c r="R15" s="1197"/>
    </row>
    <row r="16" spans="1:19" ht="30.75" customHeight="1">
      <c r="A16" s="1938" t="s">
        <v>2096</v>
      </c>
      <c r="B16" s="3445" t="s">
        <v>3071</v>
      </c>
      <c r="C16" s="3446"/>
      <c r="D16" s="3447"/>
      <c r="E16" s="1955" t="s">
        <v>2026</v>
      </c>
      <c r="F16" s="3448" t="s">
        <v>3070</v>
      </c>
      <c r="G16" s="3449"/>
      <c r="H16" s="3449"/>
      <c r="I16" s="3450"/>
      <c r="J16" s="1197"/>
      <c r="K16" s="2104"/>
      <c r="L16" s="1231"/>
      <c r="M16" s="1231"/>
      <c r="N16" s="2019"/>
      <c r="O16" s="1231"/>
      <c r="P16" s="2019"/>
      <c r="Q16" s="1197"/>
      <c r="R16" s="1197"/>
    </row>
    <row r="17" spans="1:22" ht="18" customHeight="1">
      <c r="A17" s="2006" t="s">
        <v>1955</v>
      </c>
      <c r="B17" s="1939" t="s">
        <v>1956</v>
      </c>
      <c r="C17" s="2085">
        <f>'数据-汇总表'!E3</f>
        <v>2099.0100000000002</v>
      </c>
      <c r="D17" s="1940" t="s">
        <v>1957</v>
      </c>
      <c r="E17" s="3451" t="s">
        <v>2013</v>
      </c>
      <c r="F17" s="3452"/>
      <c r="G17" s="3452"/>
      <c r="H17" s="3452"/>
      <c r="I17" s="3453"/>
      <c r="J17" s="1197"/>
      <c r="K17" s="2694"/>
      <c r="L17" s="1231"/>
      <c r="M17" s="1231"/>
      <c r="N17" s="2019"/>
      <c r="O17" s="1231"/>
      <c r="P17" s="2019"/>
      <c r="Q17" s="1197"/>
      <c r="R17" s="1197"/>
      <c r="S17" s="1197"/>
      <c r="T17" s="1197"/>
      <c r="U17" s="1197"/>
      <c r="V17" s="1197"/>
    </row>
    <row r="18" spans="1:22" ht="36" customHeight="1" thickBot="1">
      <c r="A18" s="2893" t="s">
        <v>2703</v>
      </c>
      <c r="B18" s="1923" t="s">
        <v>1958</v>
      </c>
      <c r="C18" s="2894">
        <f>'数据-汇总表'!D3</f>
        <v>215.3</v>
      </c>
      <c r="D18" s="2895" t="s">
        <v>1957</v>
      </c>
      <c r="E18" s="3454" t="s">
        <v>3013</v>
      </c>
      <c r="F18" s="3455"/>
      <c r="G18" s="3455"/>
      <c r="H18" s="3455"/>
      <c r="I18" s="3456"/>
      <c r="J18" s="1197"/>
      <c r="K18" s="2694"/>
      <c r="L18" s="1231"/>
      <c r="M18" s="1231"/>
      <c r="N18" s="2019"/>
      <c r="O18" s="1231"/>
      <c r="P18" s="2019"/>
      <c r="Q18" s="1197"/>
      <c r="R18" s="1197"/>
      <c r="S18" s="1197"/>
      <c r="T18" s="1197"/>
      <c r="U18" s="1197"/>
      <c r="V18" s="1197"/>
    </row>
    <row r="19" spans="1:22" ht="37.5" customHeight="1" thickTop="1" thickBot="1">
      <c r="A19" s="2892" t="s">
        <v>2043</v>
      </c>
      <c r="B19" s="2059" t="s">
        <v>2044</v>
      </c>
      <c r="C19" s="2060" t="s">
        <v>41</v>
      </c>
      <c r="D19" s="2042" t="s">
        <v>2047</v>
      </c>
      <c r="E19" s="2041" t="s">
        <v>530</v>
      </c>
      <c r="F19" s="2043" t="str">
        <f>IF(AND(C19="是",E19="否"),"是否提供他项权证或相关说明","")</f>
        <v/>
      </c>
      <c r="G19" s="2044"/>
      <c r="H19" s="1999"/>
      <c r="I19" s="1999"/>
      <c r="J19" s="1999"/>
      <c r="K19" s="2102"/>
      <c r="L19" s="1995"/>
      <c r="M19" s="1995"/>
      <c r="N19" s="2019"/>
      <c r="O19" s="1231"/>
      <c r="P19" s="2019"/>
      <c r="Q19" s="1197"/>
      <c r="R19" s="1197"/>
      <c r="S19" s="1197"/>
      <c r="T19" s="1197"/>
      <c r="U19" s="1197"/>
      <c r="V19" s="1197"/>
    </row>
    <row r="20" spans="1:22" ht="18" customHeight="1">
      <c r="A20" s="2061" t="s">
        <v>2048</v>
      </c>
      <c r="B20" s="3441" t="s">
        <v>2049</v>
      </c>
      <c r="C20" s="3442"/>
      <c r="D20" s="3443" t="s">
        <v>2050</v>
      </c>
      <c r="E20" s="3444"/>
      <c r="F20" s="2067" t="s">
        <v>2051</v>
      </c>
      <c r="G20" s="1999"/>
      <c r="H20" s="1999"/>
      <c r="I20" s="1999"/>
      <c r="J20" s="1999"/>
      <c r="K20" s="3440" t="s">
        <v>2046</v>
      </c>
      <c r="L20" s="260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5"/>
      <c r="N20" s="2019"/>
      <c r="O20" s="1231"/>
      <c r="P20" s="2019"/>
      <c r="Q20" s="1197"/>
      <c r="R20" s="1197"/>
      <c r="S20" s="1197"/>
      <c r="T20" s="1197"/>
      <c r="U20" s="1197"/>
      <c r="V20" s="1197"/>
    </row>
    <row r="21" spans="1:22" ht="24.75" customHeight="1">
      <c r="A21" s="2061"/>
      <c r="B21" s="2062" t="s">
        <v>2052</v>
      </c>
      <c r="C21" s="2031" t="s">
        <v>2054</v>
      </c>
      <c r="D21" s="1988" t="s">
        <v>2055</v>
      </c>
      <c r="E21" s="2032" t="s">
        <v>530</v>
      </c>
      <c r="F21" s="1977"/>
      <c r="G21" s="1999"/>
      <c r="H21" s="1999"/>
      <c r="I21" s="1999"/>
      <c r="J21" s="1999"/>
      <c r="K21" s="3440"/>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31"/>
      <c r="P21" s="2019"/>
      <c r="Q21" s="1197"/>
      <c r="R21" s="1197"/>
      <c r="S21" s="1197"/>
      <c r="T21" s="1197"/>
      <c r="U21" s="1197"/>
      <c r="V21" s="1197"/>
    </row>
    <row r="22" spans="1:22" ht="24.75" customHeight="1" thickBot="1">
      <c r="A22" s="2061"/>
      <c r="B22" s="2063" t="s">
        <v>2053</v>
      </c>
      <c r="C22" s="2031" t="s">
        <v>2054</v>
      </c>
      <c r="D22" s="1994"/>
      <c r="E22" s="1994"/>
      <c r="F22" s="2068"/>
      <c r="G22" s="1999"/>
      <c r="H22" s="1999"/>
      <c r="I22" s="1999"/>
      <c r="J22" s="1999"/>
      <c r="K22" s="3440"/>
      <c r="L22" s="2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1"/>
      <c r="P22" s="2019"/>
      <c r="Q22" s="1197"/>
      <c r="R22" s="1197"/>
      <c r="S22" s="1197"/>
      <c r="T22" s="1197"/>
      <c r="U22" s="1197"/>
      <c r="V22" s="1197"/>
    </row>
    <row r="23" spans="1:22" ht="18" customHeight="1">
      <c r="A23" s="1976" t="s">
        <v>2056</v>
      </c>
      <c r="B23" s="2064" t="s">
        <v>2057</v>
      </c>
      <c r="C23" s="2065"/>
      <c r="D23" s="1978" t="s">
        <v>2057</v>
      </c>
      <c r="E23" s="1986"/>
      <c r="F23" s="2068"/>
      <c r="G23" s="1999"/>
      <c r="H23" s="1999"/>
      <c r="I23" s="1999"/>
      <c r="J23" s="1999"/>
      <c r="K23" s="226"/>
      <c r="L23" s="2608"/>
      <c r="M23" s="1995"/>
      <c r="N23" s="2019"/>
      <c r="O23" s="1231"/>
      <c r="P23" s="2019"/>
      <c r="Q23" s="1197"/>
      <c r="R23" s="1197"/>
      <c r="S23" s="1197"/>
      <c r="T23" s="1197"/>
      <c r="U23" s="1197"/>
      <c r="V23" s="1197"/>
    </row>
    <row r="24" spans="1:22" ht="18" customHeight="1">
      <c r="A24" s="1979"/>
      <c r="B24" s="2064" t="s">
        <v>2058</v>
      </c>
      <c r="C24" s="2066"/>
      <c r="D24" s="1976" t="s">
        <v>2058</v>
      </c>
      <c r="E24" s="1987"/>
      <c r="F24" s="2068"/>
      <c r="G24" s="1999"/>
      <c r="H24" s="1999"/>
      <c r="I24" s="1999"/>
      <c r="J24" s="1999"/>
      <c r="K24" s="226"/>
      <c r="L24" s="2608"/>
      <c r="M24" s="1995"/>
      <c r="N24" s="2019"/>
      <c r="O24" s="1231"/>
      <c r="P24" s="2019"/>
      <c r="Q24" s="1197"/>
      <c r="R24" s="1197"/>
      <c r="S24" s="1197"/>
      <c r="T24" s="1197"/>
      <c r="U24" s="1197"/>
      <c r="V24" s="1197"/>
    </row>
    <row r="25" spans="1:22" ht="18" customHeight="1">
      <c r="A25" s="1979"/>
      <c r="B25" s="2064" t="s">
        <v>2059</v>
      </c>
      <c r="C25" s="2066"/>
      <c r="D25" s="1976" t="s">
        <v>2059</v>
      </c>
      <c r="E25" s="1987"/>
      <c r="F25" s="2068"/>
      <c r="G25" s="1999"/>
      <c r="H25" s="1999"/>
      <c r="I25" s="1999"/>
      <c r="J25" s="1999"/>
      <c r="K25" s="2102"/>
      <c r="L25" s="1995"/>
      <c r="M25" s="1995"/>
      <c r="N25" s="2019"/>
      <c r="O25" s="1231"/>
      <c r="P25" s="2019"/>
      <c r="Q25" s="1197"/>
      <c r="R25" s="1197"/>
      <c r="S25" s="1197"/>
      <c r="T25" s="1197"/>
      <c r="U25" s="1197"/>
      <c r="V25" s="1197"/>
    </row>
    <row r="26" spans="1:22" ht="18" customHeight="1" thickBot="1">
      <c r="A26" s="2056"/>
      <c r="B26" s="2069" t="s">
        <v>2060</v>
      </c>
      <c r="C26" s="2070"/>
      <c r="D26" s="2058" t="s">
        <v>2060</v>
      </c>
      <c r="E26" s="2057"/>
      <c r="F26" s="2071"/>
      <c r="G26" s="1998"/>
      <c r="H26" s="1998"/>
      <c r="I26" s="1998"/>
      <c r="J26" s="1999"/>
      <c r="K26" s="2102"/>
      <c r="L26" s="1995"/>
      <c r="M26" s="1995"/>
      <c r="N26" s="2019"/>
      <c r="O26" s="1231"/>
      <c r="P26" s="2019"/>
      <c r="Q26" s="1197"/>
      <c r="R26" s="1197"/>
      <c r="S26" s="1197"/>
      <c r="T26" s="1197"/>
      <c r="U26" s="1197"/>
      <c r="V26" s="1197"/>
    </row>
    <row r="27" spans="1:22" ht="18" customHeight="1" thickTop="1">
      <c r="A27" s="3458" t="s">
        <v>2064</v>
      </c>
      <c r="B27" s="2008" t="s">
        <v>2065</v>
      </c>
      <c r="C27" s="1929" t="s">
        <v>3072</v>
      </c>
      <c r="D27" s="1930"/>
      <c r="E27" s="1999"/>
      <c r="F27" s="1999"/>
      <c r="G27" s="1999"/>
      <c r="H27" s="1999"/>
      <c r="I27" s="1999"/>
      <c r="J27" s="1197"/>
      <c r="K27" s="2104"/>
      <c r="L27" s="1231"/>
      <c r="M27" s="1231"/>
      <c r="N27" s="2019"/>
      <c r="O27" s="1231"/>
      <c r="P27" s="2019"/>
      <c r="Q27" s="1197"/>
      <c r="R27" s="1197"/>
      <c r="S27" s="1197"/>
      <c r="T27" s="1197"/>
      <c r="U27" s="1197"/>
      <c r="V27" s="1197"/>
    </row>
    <row r="28" spans="1:22" ht="18" customHeight="1">
      <c r="A28" s="3458"/>
      <c r="B28" s="1939" t="s">
        <v>2066</v>
      </c>
      <c r="C28" s="1931" t="s">
        <v>150</v>
      </c>
      <c r="D28" s="1932"/>
      <c r="E28" s="1999"/>
      <c r="F28" s="1999"/>
      <c r="G28" s="1999"/>
      <c r="H28" s="1999"/>
      <c r="I28" s="1999"/>
      <c r="J28" s="1197"/>
      <c r="K28" s="2108"/>
      <c r="L28" s="1995"/>
      <c r="M28" s="1995"/>
      <c r="N28" s="1197"/>
      <c r="O28" s="11"/>
      <c r="P28" s="1197"/>
      <c r="Q28" s="1197"/>
      <c r="R28" s="1197"/>
      <c r="S28" s="1197"/>
      <c r="T28" s="1197"/>
      <c r="U28" s="1197"/>
      <c r="V28" s="1197"/>
    </row>
    <row r="29" spans="1:22" ht="18" customHeight="1">
      <c r="A29" s="3458"/>
      <c r="B29" s="1939" t="s">
        <v>2067</v>
      </c>
      <c r="C29" s="1933" t="s">
        <v>41</v>
      </c>
      <c r="D29" s="1934"/>
      <c r="E29" s="1999"/>
      <c r="F29" s="1999"/>
      <c r="G29" s="1999"/>
      <c r="H29" s="1999"/>
      <c r="I29" s="1999"/>
      <c r="J29" s="1197"/>
      <c r="K29" s="2108"/>
      <c r="L29" s="1995"/>
      <c r="M29" s="1995"/>
      <c r="N29" s="1197"/>
      <c r="O29" s="11"/>
      <c r="P29" s="1197"/>
      <c r="Q29" s="1197"/>
      <c r="R29" s="1197"/>
      <c r="S29" s="1197"/>
      <c r="T29" s="1197"/>
      <c r="U29" s="1197"/>
      <c r="V29" s="1197"/>
    </row>
    <row r="30" spans="1:22" ht="18" customHeight="1">
      <c r="A30" s="3459"/>
      <c r="B30" s="1939" t="s">
        <v>2068</v>
      </c>
      <c r="C30" s="3460"/>
      <c r="D30" s="3461"/>
      <c r="E30" s="1999"/>
      <c r="F30" s="1999"/>
      <c r="G30" s="1999"/>
      <c r="H30" s="1999"/>
      <c r="I30" s="1999"/>
      <c r="J30" s="1197"/>
      <c r="K30" s="2108"/>
      <c r="L30" s="1995"/>
      <c r="M30" s="1995"/>
      <c r="N30" s="1197"/>
      <c r="O30" s="11"/>
      <c r="P30" s="1197"/>
      <c r="Q30" s="1197"/>
      <c r="R30" s="1197"/>
      <c r="S30" s="1197"/>
      <c r="T30" s="1197"/>
      <c r="U30" s="1197"/>
      <c r="V30" s="1197"/>
    </row>
    <row r="31" spans="1:22" ht="18" customHeight="1">
      <c r="A31" s="3462" t="s">
        <v>2069</v>
      </c>
      <c r="B31" s="1935" t="s">
        <v>3073</v>
      </c>
      <c r="C31" s="1936" t="str">
        <f>IF(B31="现房","成新及维护状况正常否",IF(B31="在建","工程状态是否正常",IF(B31="土地","是否闲置","-")))</f>
        <v>成新及维护状况正常否</v>
      </c>
      <c r="D31" s="2009"/>
      <c r="E31" s="1937" t="s">
        <v>3074</v>
      </c>
      <c r="F31" s="1999"/>
      <c r="G31" s="1999"/>
      <c r="H31" s="1999"/>
      <c r="I31" s="1999"/>
      <c r="J31" s="1999"/>
      <c r="K31" s="2106"/>
      <c r="L31" s="1995"/>
      <c r="M31" s="1995"/>
      <c r="N31" s="1197"/>
      <c r="O31" s="11"/>
      <c r="P31" s="1197"/>
      <c r="Q31" s="1197"/>
      <c r="R31" s="1197"/>
      <c r="S31" s="1197"/>
      <c r="T31" s="1197"/>
      <c r="U31" s="1197"/>
      <c r="V31" s="1197"/>
    </row>
    <row r="32" spans="1:22" ht="18" customHeight="1">
      <c r="A32" s="3463"/>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7"/>
      <c r="O32" s="11"/>
      <c r="P32" s="1197"/>
      <c r="Q32" s="1197"/>
      <c r="R32" s="1197"/>
      <c r="S32" s="1197"/>
      <c r="T32" s="1197"/>
      <c r="U32" s="1197"/>
      <c r="V32" s="1197"/>
    </row>
    <row r="33" spans="1:22" ht="18" customHeight="1">
      <c r="A33" s="3463"/>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7"/>
      <c r="O33" s="11"/>
      <c r="P33" s="1197"/>
      <c r="Q33" s="1197"/>
      <c r="R33" s="1197"/>
      <c r="S33" s="1197"/>
      <c r="T33" s="1197"/>
      <c r="U33" s="1197"/>
      <c r="V33" s="1197"/>
    </row>
    <row r="34" spans="1:22" ht="18" customHeight="1">
      <c r="A34" s="1939" t="s">
        <v>2027</v>
      </c>
      <c r="B34" s="1959" t="s">
        <v>3075</v>
      </c>
      <c r="C34" s="1959" t="s">
        <v>3076</v>
      </c>
      <c r="D34" s="1959" t="s">
        <v>3077</v>
      </c>
      <c r="E34" s="1959" t="s">
        <v>3078</v>
      </c>
      <c r="F34" s="1959" t="s">
        <v>3079</v>
      </c>
      <c r="G34" s="1959" t="s">
        <v>3080</v>
      </c>
      <c r="H34" s="1959"/>
      <c r="I34" s="1999"/>
      <c r="J34" s="1999"/>
      <c r="K34" s="2882">
        <f>COUNTIF(B34:H34,"——")</f>
        <v>0</v>
      </c>
      <c r="L34" s="2011" t="s">
        <v>2098</v>
      </c>
      <c r="M34" s="2011" t="s">
        <v>2099</v>
      </c>
      <c r="N34" s="2011" t="s">
        <v>2100</v>
      </c>
      <c r="O34" s="2011" t="s">
        <v>2101</v>
      </c>
      <c r="P34" s="2011" t="s">
        <v>2102</v>
      </c>
      <c r="Q34" s="2011" t="s">
        <v>2103</v>
      </c>
      <c r="R34" s="2011" t="s">
        <v>2104</v>
      </c>
      <c r="S34" s="3457" t="s">
        <v>2105</v>
      </c>
      <c r="T34" s="2012" t="str">
        <f>NUMBERSTRING(7-K34,1)&amp;"通"</f>
        <v>七通</v>
      </c>
      <c r="U34" s="1197"/>
      <c r="V34" s="1197"/>
    </row>
    <row r="35" spans="1:22" ht="18" customHeight="1">
      <c r="A35" s="2013"/>
      <c r="B35" s="3464" t="s">
        <v>1871</v>
      </c>
      <c r="C35" s="3464"/>
      <c r="D35" s="3464"/>
      <c r="E35" s="3464"/>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57"/>
      <c r="T35" s="23" t="str">
        <f>IF(T34="一通",L35,IF(T34="二通",M35,IF(T34="三通",N35,IF(T34="四通",O35,IF(T34="五通",P35,IF(T34="六通",Q35,R35))))))</f>
        <v>通路、通电、通讯、通上水、通下水、燃气、</v>
      </c>
      <c r="U35" s="1197"/>
      <c r="V35" s="1197"/>
    </row>
    <row r="36" spans="1:22" ht="18" customHeight="1">
      <c r="A36" s="2015"/>
      <c r="B36" s="2014" t="s">
        <v>1951</v>
      </c>
      <c r="C36" s="2014" t="s">
        <v>1947</v>
      </c>
      <c r="D36" s="2014" t="s">
        <v>1946</v>
      </c>
      <c r="E36" s="2014" t="s">
        <v>1948</v>
      </c>
      <c r="F36" s="2016"/>
      <c r="G36" s="1999"/>
      <c r="H36" s="1999"/>
      <c r="I36" s="1999"/>
      <c r="J36" s="1999"/>
      <c r="K36" s="2102"/>
      <c r="L36" s="1995"/>
      <c r="M36" s="1995"/>
      <c r="N36" s="1197"/>
      <c r="O36" s="11"/>
      <c r="P36" s="1197"/>
      <c r="Q36" s="1197"/>
      <c r="R36" s="1197"/>
      <c r="S36" s="1197"/>
      <c r="T36" s="1197"/>
      <c r="U36" s="1197"/>
      <c r="V36" s="1197"/>
    </row>
    <row r="37" spans="1:22" ht="18" customHeight="1">
      <c r="A37" s="2017" t="s">
        <v>1870</v>
      </c>
      <c r="B37" s="2018" t="s">
        <v>1454</v>
      </c>
      <c r="C37" s="2018" t="s">
        <v>1454</v>
      </c>
      <c r="D37" s="2018" t="s">
        <v>1454</v>
      </c>
      <c r="E37" s="2018" t="s">
        <v>1454</v>
      </c>
      <c r="F37" s="2016"/>
      <c r="G37" s="1999"/>
      <c r="H37" s="1999"/>
      <c r="I37" s="1999"/>
      <c r="J37" s="1999"/>
      <c r="K37" s="2102"/>
      <c r="L37" s="1995"/>
      <c r="M37" s="1995"/>
      <c r="N37" s="1197"/>
      <c r="O37" s="11"/>
      <c r="P37" s="1197"/>
      <c r="Q37" s="1197"/>
      <c r="R37" s="1197"/>
      <c r="S37" s="1197"/>
      <c r="T37" s="1197"/>
      <c r="U37" s="1197"/>
      <c r="V37" s="1197"/>
    </row>
    <row r="38" spans="1:22" ht="18" customHeight="1" thickBot="1">
      <c r="A38" s="2045" t="s">
        <v>1872</v>
      </c>
      <c r="B38" s="2046" t="s">
        <v>1356</v>
      </c>
      <c r="C38" s="2046" t="s">
        <v>1356</v>
      </c>
      <c r="D38" s="2046" t="s">
        <v>1356</v>
      </c>
      <c r="E38" s="2046" t="s">
        <v>1356</v>
      </c>
      <c r="F38" s="2047"/>
      <c r="G38" s="1998"/>
      <c r="H38" s="1998"/>
      <c r="I38" s="1998"/>
      <c r="J38" s="1999"/>
      <c r="K38" s="2102"/>
      <c r="L38" s="1995"/>
      <c r="M38" s="1995"/>
      <c r="N38" s="1197"/>
      <c r="O38" s="11"/>
      <c r="P38" s="1197"/>
      <c r="Q38" s="1197"/>
      <c r="R38" s="1197"/>
      <c r="S38" s="1197"/>
      <c r="T38" s="1197"/>
      <c r="U38" s="1197"/>
      <c r="V38" s="1197"/>
    </row>
    <row r="39" spans="1:22" s="3306" customFormat="1" ht="18" customHeight="1" thickTop="1" thickBot="1">
      <c r="A39" s="3307" t="s">
        <v>3031</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7"/>
      <c r="B40" s="1197"/>
      <c r="C40" s="1197"/>
      <c r="D40" s="1197"/>
      <c r="E40" s="1197"/>
      <c r="F40" s="1197"/>
      <c r="G40" s="1197"/>
      <c r="H40" s="1197"/>
      <c r="I40" s="1218"/>
      <c r="J40" s="2019"/>
      <c r="K40" s="2107"/>
      <c r="L40" s="1231"/>
      <c r="M40" s="1231"/>
      <c r="N40" s="2019"/>
      <c r="O40" s="1231"/>
      <c r="P40" s="1197"/>
      <c r="Q40" s="1197"/>
      <c r="R40" s="1197"/>
      <c r="S40" s="1197"/>
      <c r="T40" s="1197"/>
      <c r="U40" s="1197"/>
      <c r="V40" s="1197"/>
    </row>
    <row r="41" spans="1:22" ht="18" customHeight="1">
      <c r="A41" s="2020" t="s">
        <v>2070</v>
      </c>
      <c r="B41" s="2021"/>
      <c r="C41" s="2022"/>
      <c r="D41" s="1197"/>
      <c r="E41" s="1197"/>
      <c r="F41" s="1197"/>
      <c r="G41" s="1197"/>
      <c r="H41" s="1197"/>
      <c r="I41" s="11"/>
      <c r="J41" s="1197"/>
      <c r="K41" s="2108"/>
      <c r="L41" s="1995"/>
      <c r="M41" s="1995"/>
      <c r="N41" s="1197"/>
      <c r="O41" s="11"/>
      <c r="P41" s="1197"/>
      <c r="Q41" s="1197"/>
      <c r="R41" s="1197"/>
      <c r="S41" s="1197"/>
      <c r="T41" s="1197"/>
      <c r="U41" s="1197"/>
      <c r="V41" s="1197"/>
    </row>
    <row r="42" spans="1:22" ht="18" customHeight="1">
      <c r="A42" s="2011" t="s">
        <v>2071</v>
      </c>
      <c r="B42" s="1985" t="s">
        <v>2072</v>
      </c>
      <c r="C42" s="1985" t="s">
        <v>2073</v>
      </c>
      <c r="D42" s="1985" t="s">
        <v>2074</v>
      </c>
      <c r="E42" s="1985" t="s">
        <v>2075</v>
      </c>
      <c r="F42" s="1985" t="s">
        <v>2076</v>
      </c>
      <c r="G42" s="1985" t="s">
        <v>2077</v>
      </c>
      <c r="H42" s="1985" t="s">
        <v>2078</v>
      </c>
      <c r="I42" s="1985" t="s">
        <v>2079</v>
      </c>
      <c r="J42" s="2098" t="s">
        <v>2080</v>
      </c>
      <c r="K42" s="2023" t="s">
        <v>2081</v>
      </c>
      <c r="L42" s="2023" t="s">
        <v>2082</v>
      </c>
      <c r="M42" s="2023" t="s">
        <v>2083</v>
      </c>
      <c r="N42" s="1985" t="s">
        <v>2084</v>
      </c>
      <c r="O42" s="1985" t="s">
        <v>2085</v>
      </c>
      <c r="P42" s="1985" t="s">
        <v>2086</v>
      </c>
      <c r="Q42" s="2011" t="s">
        <v>2087</v>
      </c>
      <c r="R42" s="2011" t="s">
        <v>2088</v>
      </c>
      <c r="S42" s="1197"/>
      <c r="T42" s="1197"/>
      <c r="U42" s="1197"/>
      <c r="V42" s="1197"/>
    </row>
    <row r="43" spans="1:22" s="2239" customFormat="1" ht="18" customHeight="1">
      <c r="A43" s="1417"/>
      <c r="B43" s="216"/>
      <c r="C43" s="216"/>
      <c r="D43" s="216"/>
      <c r="E43" s="216"/>
      <c r="F43" s="216"/>
      <c r="G43" s="216"/>
      <c r="H43" s="2"/>
      <c r="I43" s="2"/>
      <c r="J43" s="9"/>
      <c r="K43" s="4"/>
      <c r="L43" s="4"/>
      <c r="M43" s="2"/>
      <c r="N43" s="216"/>
      <c r="O43" s="2"/>
      <c r="P43" s="216"/>
      <c r="Q43" s="216"/>
      <c r="R43" s="216"/>
      <c r="S43" s="3238"/>
      <c r="T43" s="3238"/>
      <c r="U43" s="3238"/>
      <c r="V43" s="3238"/>
    </row>
    <row r="44" spans="1:22" s="2239" customFormat="1" ht="18" customHeight="1">
      <c r="A44" s="1417"/>
      <c r="B44" s="1417"/>
      <c r="C44" s="216"/>
      <c r="D44" s="216"/>
      <c r="E44" s="216"/>
      <c r="F44" s="216"/>
      <c r="G44" s="216"/>
      <c r="H44" s="2"/>
      <c r="I44" s="2"/>
      <c r="J44" s="9"/>
      <c r="K44" s="4"/>
      <c r="L44" s="4"/>
      <c r="M44" s="2"/>
      <c r="N44" s="216"/>
      <c r="O44" s="2"/>
      <c r="P44" s="216"/>
      <c r="Q44" s="216"/>
      <c r="R44" s="216"/>
      <c r="S44" s="3238"/>
      <c r="T44" s="3238"/>
      <c r="U44" s="3238"/>
      <c r="V44" s="3238"/>
    </row>
    <row r="45" spans="1:22" s="2239" customFormat="1" ht="18" customHeight="1">
      <c r="A45" s="1417"/>
      <c r="B45" s="1417"/>
      <c r="C45" s="216"/>
      <c r="D45" s="216"/>
      <c r="E45" s="216"/>
      <c r="F45" s="216"/>
      <c r="G45" s="216"/>
      <c r="H45" s="2"/>
      <c r="I45" s="2"/>
      <c r="J45" s="9"/>
      <c r="K45" s="4"/>
      <c r="L45" s="4"/>
      <c r="M45" s="2"/>
      <c r="N45" s="216"/>
      <c r="O45" s="2"/>
      <c r="P45" s="216"/>
      <c r="Q45" s="216"/>
      <c r="R45" s="216"/>
      <c r="S45" s="3238"/>
      <c r="T45" s="3238"/>
      <c r="U45" s="3238"/>
      <c r="V45" s="3238"/>
    </row>
    <row r="46" spans="1:22" s="2239" customFormat="1" ht="18" customHeight="1">
      <c r="A46" s="1417"/>
      <c r="B46" s="1417"/>
      <c r="C46" s="216"/>
      <c r="D46" s="216"/>
      <c r="E46" s="216"/>
      <c r="F46" s="216"/>
      <c r="G46" s="216"/>
      <c r="H46" s="2"/>
      <c r="I46" s="2"/>
      <c r="J46" s="9"/>
      <c r="K46" s="4"/>
      <c r="L46" s="4"/>
      <c r="M46" s="2"/>
      <c r="N46" s="216"/>
      <c r="O46" s="2"/>
      <c r="P46" s="216"/>
      <c r="Q46" s="216"/>
      <c r="R46" s="216"/>
      <c r="S46" s="3238"/>
      <c r="T46" s="3238"/>
      <c r="U46" s="3238"/>
      <c r="V46" s="3238"/>
    </row>
    <row r="47" spans="1:22" s="2239" customFormat="1" ht="18" customHeight="1">
      <c r="A47" s="1417"/>
      <c r="B47" s="1417"/>
      <c r="C47" s="216"/>
      <c r="D47" s="216"/>
      <c r="E47" s="216"/>
      <c r="F47" s="216"/>
      <c r="G47" s="216"/>
      <c r="H47" s="2"/>
      <c r="I47" s="2"/>
      <c r="J47" s="9"/>
      <c r="K47" s="4"/>
      <c r="L47" s="4"/>
      <c r="M47" s="2"/>
      <c r="N47" s="216"/>
      <c r="O47" s="2"/>
      <c r="P47" s="216"/>
      <c r="Q47" s="216"/>
      <c r="R47" s="216"/>
      <c r="S47" s="3238"/>
      <c r="T47" s="3238"/>
      <c r="U47" s="3238"/>
      <c r="V47" s="3238"/>
    </row>
    <row r="48" spans="1:22" s="2239" customFormat="1" ht="18" customHeight="1">
      <c r="A48" s="1417"/>
      <c r="B48" s="1417"/>
      <c r="C48" s="216"/>
      <c r="D48" s="216"/>
      <c r="E48" s="216"/>
      <c r="F48" s="216"/>
      <c r="G48" s="216"/>
      <c r="H48" s="2"/>
      <c r="I48" s="2"/>
      <c r="J48" s="9"/>
      <c r="K48" s="4"/>
      <c r="L48" s="4"/>
      <c r="M48" s="2"/>
      <c r="N48" s="216"/>
      <c r="O48" s="2"/>
      <c r="P48" s="216"/>
      <c r="Q48" s="216"/>
      <c r="R48" s="216"/>
      <c r="S48" s="3238"/>
      <c r="T48" s="3238"/>
      <c r="U48" s="3238"/>
      <c r="V48" s="3238"/>
    </row>
    <row r="49" spans="1:22" s="2239" customFormat="1" ht="18" customHeight="1">
      <c r="A49" s="1417"/>
      <c r="B49" s="1417"/>
      <c r="C49" s="216"/>
      <c r="D49" s="216"/>
      <c r="E49" s="216"/>
      <c r="F49" s="216"/>
      <c r="G49" s="216"/>
      <c r="H49" s="2"/>
      <c r="I49" s="2"/>
      <c r="J49" s="9"/>
      <c r="K49" s="4"/>
      <c r="L49" s="4"/>
      <c r="M49" s="2"/>
      <c r="N49" s="216"/>
      <c r="O49" s="2"/>
      <c r="P49" s="216"/>
      <c r="Q49" s="216"/>
      <c r="R49" s="216"/>
      <c r="S49" s="3238"/>
      <c r="T49" s="3238"/>
      <c r="U49" s="3238"/>
      <c r="V49" s="3238"/>
    </row>
    <row r="50" spans="1:22" s="2239" customFormat="1" ht="18" customHeight="1">
      <c r="A50" s="1417"/>
      <c r="B50" s="1417"/>
      <c r="C50" s="216"/>
      <c r="D50" s="216"/>
      <c r="E50" s="216"/>
      <c r="F50" s="216"/>
      <c r="G50" s="216"/>
      <c r="H50" s="2"/>
      <c r="I50" s="2"/>
      <c r="J50" s="9"/>
      <c r="K50" s="4"/>
      <c r="L50" s="4"/>
      <c r="M50" s="2"/>
      <c r="N50" s="216"/>
      <c r="O50" s="2"/>
      <c r="P50" s="216"/>
      <c r="Q50" s="216"/>
      <c r="R50" s="216"/>
      <c r="S50" s="3238"/>
      <c r="T50" s="3238"/>
      <c r="U50" s="3238"/>
      <c r="V50" s="3238"/>
    </row>
    <row r="51" spans="1:22" s="2239" customFormat="1" ht="18" customHeight="1">
      <c r="A51" s="1417"/>
      <c r="B51" s="1417"/>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B23" sqref="B2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7" t="s">
        <v>2406</v>
      </c>
      <c r="AZ2" s="2518" t="s">
        <v>2407</v>
      </c>
      <c r="BA2" s="2519" t="s">
        <v>2408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215.3</v>
      </c>
      <c r="B3" s="302">
        <f>IF(C3="否",G5-AT5,G5)</f>
        <v>2099.0100000000002</v>
      </c>
      <c r="C3" s="219" t="s">
        <v>530</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0"/>
      <c r="AZ3" s="2521"/>
      <c r="BA3" s="2522"/>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2099.0100000000002</v>
      </c>
      <c r="H5" s="305">
        <f t="shared" ref="H5:AT5" si="0">SUM(H13:H656)</f>
        <v>2099.0100000000002</v>
      </c>
      <c r="I5" s="305">
        <f t="shared" si="0"/>
        <v>2099.0100000000002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2099.0100000000002</v>
      </c>
      <c r="BA5" s="307">
        <f t="shared" si="1"/>
        <v>2099.0100000000002</v>
      </c>
      <c r="BB5" s="307">
        <f t="shared" si="1"/>
        <v>2099.0100000000002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618</v>
      </c>
      <c r="B6" s="223"/>
      <c r="C6" s="223"/>
      <c r="D6" s="224"/>
      <c r="E6" s="305">
        <f>H6+AC6+AT6</f>
        <v>215.3</v>
      </c>
      <c r="F6" s="305" t="s">
        <v>23</v>
      </c>
      <c r="G6" s="305" t="s">
        <v>25</v>
      </c>
      <c r="H6" s="309">
        <f>SUMIF(I$12:AB$12,"总值",I6:AB6)</f>
        <v>215.3</v>
      </c>
      <c r="I6" s="305">
        <f t="shared" ref="I6:AB6" si="2">ROUND($A$3*I5/$B$3,2)</f>
        <v>215.3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215.3</v>
      </c>
      <c r="AZ6" s="305" t="s">
        <v>29</v>
      </c>
      <c r="BA6" s="305">
        <f t="shared" ref="BA6:BT6" si="4">ROUND($AY$6*BA5/$AZ$5,2)</f>
        <v>215.3</v>
      </c>
      <c r="BB6" s="305">
        <f t="shared" si="4"/>
        <v>215.3</v>
      </c>
      <c r="BC6" s="305">
        <f t="shared" si="4"/>
        <v>0</v>
      </c>
      <c r="BD6" s="305">
        <f t="shared" si="4"/>
        <v>0</v>
      </c>
      <c r="BE6" s="305">
        <f t="shared" si="4"/>
        <v>0</v>
      </c>
      <c r="BF6" s="305">
        <f t="shared" si="4"/>
        <v>0</v>
      </c>
      <c r="BG6" s="305">
        <f t="shared" si="4"/>
        <v>0</v>
      </c>
      <c r="BH6" s="305">
        <f t="shared" si="4"/>
        <v>0</v>
      </c>
      <c r="BI6" s="305">
        <f t="shared" si="4"/>
        <v>0</v>
      </c>
      <c r="BJ6" s="305">
        <f t="shared" si="4"/>
        <v>0</v>
      </c>
      <c r="BK6" s="305">
        <f t="shared" si="4"/>
        <v>0</v>
      </c>
      <c r="BL6" s="305">
        <f t="shared" si="4"/>
        <v>0</v>
      </c>
      <c r="BM6" s="305">
        <f t="shared" si="4"/>
        <v>0</v>
      </c>
      <c r="BN6" s="305">
        <f t="shared" si="4"/>
        <v>0</v>
      </c>
      <c r="BO6" s="305">
        <f t="shared" si="4"/>
        <v>0</v>
      </c>
      <c r="BP6" s="305">
        <f t="shared" si="4"/>
        <v>0</v>
      </c>
      <c r="BQ6" s="305">
        <f t="shared" si="4"/>
        <v>0</v>
      </c>
      <c r="BR6" s="305">
        <f t="shared" si="4"/>
        <v>0</v>
      </c>
      <c r="BS6" s="305">
        <f t="shared" si="4"/>
        <v>0</v>
      </c>
      <c r="BT6" s="311">
        <f t="shared" si="4"/>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531</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3081</v>
      </c>
      <c r="J9" s="245"/>
      <c r="K9" s="244" t="s">
        <v>3081</v>
      </c>
      <c r="L9" s="245"/>
      <c r="M9" s="244" t="s">
        <v>3084</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t="s">
        <v>3042</v>
      </c>
      <c r="L10" s="245"/>
      <c r="M10" s="252" t="s">
        <v>141</v>
      </c>
      <c r="N10" s="245"/>
      <c r="O10" s="252"/>
      <c r="P10" s="245"/>
      <c r="Q10" s="252"/>
      <c r="R10" s="245"/>
      <c r="S10" s="252"/>
      <c r="T10" s="245"/>
      <c r="U10" s="252"/>
      <c r="V10" s="245"/>
      <c r="W10" s="252"/>
      <c r="X10" s="245"/>
      <c r="Y10" s="252"/>
      <c r="Z10" s="245"/>
      <c r="AA10" s="252"/>
      <c r="AB10" s="245"/>
      <c r="AC10" s="240"/>
      <c r="AD10" s="83" t="s">
        <v>31</v>
      </c>
      <c r="AE10" s="2490"/>
      <c r="AF10" s="83" t="s">
        <v>31</v>
      </c>
      <c r="AG10" s="2490"/>
      <c r="AH10" s="83" t="s">
        <v>32</v>
      </c>
      <c r="AI10" s="2490"/>
      <c r="AJ10" s="83" t="s">
        <v>32</v>
      </c>
      <c r="AK10" s="249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3082</v>
      </c>
      <c r="J11" s="259"/>
      <c r="K11" s="258" t="s">
        <v>3083</v>
      </c>
      <c r="L11" s="259"/>
      <c r="M11" s="258" t="s">
        <v>3082</v>
      </c>
      <c r="N11" s="259"/>
      <c r="O11" s="258"/>
      <c r="P11" s="259"/>
      <c r="Q11" s="258"/>
      <c r="R11" s="259"/>
      <c r="S11" s="258"/>
      <c r="T11" s="259"/>
      <c r="U11" s="258"/>
      <c r="V11" s="259"/>
      <c r="W11" s="258"/>
      <c r="X11" s="259"/>
      <c r="Y11" s="258"/>
      <c r="Z11" s="259"/>
      <c r="AA11" s="258"/>
      <c r="AB11" s="259"/>
      <c r="AC11" s="240"/>
      <c r="AD11" s="2510" t="s">
        <v>2395</v>
      </c>
      <c r="AE11" s="2489"/>
      <c r="AF11" s="2510" t="s">
        <v>2395</v>
      </c>
      <c r="AG11" s="2489"/>
      <c r="AH11" s="2510" t="s">
        <v>2396</v>
      </c>
      <c r="AI11" s="2511"/>
      <c r="AJ11" s="2510" t="s">
        <v>2396</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办公</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办公楼</v>
      </c>
      <c r="BC12" s="267" t="str">
        <f>K11</f>
        <v>底商</v>
      </c>
      <c r="BD12" s="267" t="str">
        <f>M11</f>
        <v>办公楼</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2.5" customHeight="1">
      <c r="A13" s="216"/>
      <c r="B13" s="216"/>
      <c r="C13" s="216" t="s">
        <v>3120</v>
      </c>
      <c r="D13" s="217" t="s">
        <v>3053</v>
      </c>
      <c r="E13" s="305">
        <f t="shared" ref="E13:E76" si="5">IF($C$3="是",ROUND($A$3*G13/$B$3,2),ROUND($A$3*(G13-AT13)/$B$3,2))</f>
        <v>215.3</v>
      </c>
      <c r="F13" s="321"/>
      <c r="G13" s="322">
        <f t="shared" ref="G13:G76" si="6">H13+AC13+AT13</f>
        <v>2099.0100000000002</v>
      </c>
      <c r="H13" s="309">
        <f t="shared" ref="H13:H76" si="7">SUMIF(I$12:AB$12,"总值",I13:AB13)</f>
        <v>2099.0100000000002</v>
      </c>
      <c r="I13" s="1418">
        <v>2099.0100000000002</v>
      </c>
      <c r="J13" s="1418"/>
      <c r="K13" s="1418"/>
      <c r="L13" s="1418"/>
      <c r="M13" s="1418"/>
      <c r="N13" s="1418"/>
      <c r="O13" s="1418"/>
      <c r="P13" s="1418"/>
      <c r="Q13" s="1418"/>
      <c r="R13" s="1418"/>
      <c r="S13" s="1418"/>
      <c r="T13" s="1418"/>
      <c r="U13" s="1418"/>
      <c r="V13" s="1418"/>
      <c r="W13" s="1418"/>
      <c r="X13" s="1418"/>
      <c r="Y13" s="1418"/>
      <c r="Z13" s="1418"/>
      <c r="AA13" s="1418"/>
      <c r="AB13" s="1418"/>
      <c r="AC13" s="305">
        <f t="shared" ref="AC13:AC76" si="8">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V76" si="9">A13</f>
        <v>0</v>
      </c>
      <c r="AW13" s="82">
        <f t="shared" ref="AW13:AW76" si="10">B13</f>
        <v>0</v>
      </c>
      <c r="AX13" s="82" t="str">
        <f t="shared" ref="AX13:AX76" si="11">C13</f>
        <v>三层</v>
      </c>
      <c r="AY13" s="304">
        <f t="shared" ref="AY13:AY76" si="12">ROUND($AY$6*AZ13/$AZ$5,2)</f>
        <v>215.3</v>
      </c>
      <c r="AZ13" s="305">
        <f t="shared" ref="AZ13:AZ76" si="13">BA13+BL13</f>
        <v>2099.0100000000002</v>
      </c>
      <c r="BA13" s="305">
        <f t="shared" ref="BA13:BA76" si="14">SUM(BB13:BK13)</f>
        <v>2099.0100000000002</v>
      </c>
      <c r="BB13" s="305">
        <f t="shared" ref="BB13:BB76" si="15">IF($D13="是",I13-J13,0)</f>
        <v>2099.0100000000002</v>
      </c>
      <c r="BC13" s="305">
        <f t="shared" ref="BC13:BC76" si="16">IF($D13="是",K13-L13,0)</f>
        <v>0</v>
      </c>
      <c r="BD13" s="305">
        <f t="shared" ref="BD13:BD76" si="17">IF($D13="是",M13-N13,0)</f>
        <v>0</v>
      </c>
      <c r="BE13" s="305">
        <f t="shared" ref="BE13:BE76" si="18">IF($D13="是",O13-P13,0)</f>
        <v>0</v>
      </c>
      <c r="BF13" s="305">
        <f t="shared" ref="BF13:BF76" si="19">IF($D13="是",Q13-R13,0)</f>
        <v>0</v>
      </c>
      <c r="BG13" s="305">
        <f t="shared" ref="BG13:BG76" si="20">IF($D13="是",S13-T13,0)</f>
        <v>0</v>
      </c>
      <c r="BH13" s="305">
        <f t="shared" ref="BH13:BH76" si="21">IF($D13="是",U13-V13,0)</f>
        <v>0</v>
      </c>
      <c r="BI13" s="305">
        <f t="shared" ref="BI13:BI76" si="22">IF($D13="是",W13-X13,0)</f>
        <v>0</v>
      </c>
      <c r="BJ13" s="305">
        <f t="shared" ref="BJ13:BJ76" si="23">IF($D13="是",Y13-Z13,0)</f>
        <v>0</v>
      </c>
      <c r="BK13" s="305">
        <f t="shared" ref="BK13:BK76" si="24">IF($D13="是",AA13-AB13,0)</f>
        <v>0</v>
      </c>
      <c r="BL13" s="305">
        <f t="shared" ref="BL13:BL76" si="25">SUM(BM13:BT13)</f>
        <v>0</v>
      </c>
      <c r="BM13" s="305">
        <f t="shared" ref="BM13:BM76" si="26">IF($D13="是",AD13-AE13,0)</f>
        <v>0</v>
      </c>
      <c r="BN13" s="305">
        <f t="shared" ref="BN13:BN76" si="27">IF($D13="是",AF13-AG13,0)</f>
        <v>0</v>
      </c>
      <c r="BO13" s="305">
        <f t="shared" ref="BO13:BO76" si="28">IF($D13="是",AH13-AI13,0)</f>
        <v>0</v>
      </c>
      <c r="BP13" s="305">
        <f t="shared" ref="BP13:BP76" si="29">IF($D13="是",AJ13-AK13,0)</f>
        <v>0</v>
      </c>
      <c r="BQ13" s="305">
        <f t="shared" ref="BQ13:BQ76" si="30">IF($D13="是",AL13-AM13,0)</f>
        <v>0</v>
      </c>
      <c r="BR13" s="305">
        <f t="shared" ref="BR13:BR76" si="31">IF($D13="是",AN13-AO13,0)</f>
        <v>0</v>
      </c>
      <c r="BS13" s="305">
        <f t="shared" ref="BS13:BS76" si="32">IF($D13="是",AP13-AQ13,0)</f>
        <v>0</v>
      </c>
      <c r="BT13" s="311">
        <f t="shared" ref="BT13:BT76" si="33">IF($D13="是",AR13-AS13,0)</f>
        <v>0</v>
      </c>
    </row>
    <row r="14" spans="1:72" s="1165" customFormat="1" ht="14.25" customHeight="1">
      <c r="A14" s="216"/>
      <c r="B14" s="216"/>
      <c r="C14" s="3371"/>
      <c r="D14" s="217"/>
      <c r="E14" s="305">
        <f t="shared" si="5"/>
        <v>0</v>
      </c>
      <c r="F14" s="321"/>
      <c r="G14" s="322">
        <f t="shared" si="6"/>
        <v>0</v>
      </c>
      <c r="H14" s="309">
        <f t="shared" si="7"/>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 t="shared" si="8"/>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9"/>
        <v>0</v>
      </c>
      <c r="AW14" s="82">
        <f t="shared" si="10"/>
        <v>0</v>
      </c>
      <c r="AX14" s="82">
        <f t="shared" si="11"/>
        <v>0</v>
      </c>
      <c r="AY14" s="304">
        <f t="shared" si="12"/>
        <v>0</v>
      </c>
      <c r="AZ14" s="305">
        <f t="shared" si="13"/>
        <v>0</v>
      </c>
      <c r="BA14" s="305">
        <f t="shared" si="14"/>
        <v>0</v>
      </c>
      <c r="BB14" s="305">
        <f t="shared" si="15"/>
        <v>0</v>
      </c>
      <c r="BC14" s="305">
        <f t="shared" si="16"/>
        <v>0</v>
      </c>
      <c r="BD14" s="305">
        <f t="shared" si="17"/>
        <v>0</v>
      </c>
      <c r="BE14" s="305">
        <f t="shared" si="18"/>
        <v>0</v>
      </c>
      <c r="BF14" s="305">
        <f t="shared" si="19"/>
        <v>0</v>
      </c>
      <c r="BG14" s="305">
        <f t="shared" si="20"/>
        <v>0</v>
      </c>
      <c r="BH14" s="305">
        <f t="shared" si="21"/>
        <v>0</v>
      </c>
      <c r="BI14" s="305">
        <f t="shared" si="22"/>
        <v>0</v>
      </c>
      <c r="BJ14" s="305">
        <f t="shared" si="23"/>
        <v>0</v>
      </c>
      <c r="BK14" s="305">
        <f t="shared" si="24"/>
        <v>0</v>
      </c>
      <c r="BL14" s="305">
        <f t="shared" si="25"/>
        <v>0</v>
      </c>
      <c r="BM14" s="305">
        <f t="shared" si="26"/>
        <v>0</v>
      </c>
      <c r="BN14" s="305">
        <f t="shared" si="27"/>
        <v>0</v>
      </c>
      <c r="BO14" s="305">
        <f t="shared" si="28"/>
        <v>0</v>
      </c>
      <c r="BP14" s="305">
        <f t="shared" si="29"/>
        <v>0</v>
      </c>
      <c r="BQ14" s="305">
        <f t="shared" si="30"/>
        <v>0</v>
      </c>
      <c r="BR14" s="305">
        <f t="shared" si="31"/>
        <v>0</v>
      </c>
      <c r="BS14" s="305">
        <f t="shared" si="32"/>
        <v>0</v>
      </c>
      <c r="BT14" s="311">
        <f t="shared" si="33"/>
        <v>0</v>
      </c>
    </row>
    <row r="15" spans="1:72" s="1165" customFormat="1" ht="12.75">
      <c r="A15" s="216"/>
      <c r="B15" s="216"/>
      <c r="C15" s="3371"/>
      <c r="D15" s="217"/>
      <c r="E15" s="305">
        <f t="shared" si="5"/>
        <v>0</v>
      </c>
      <c r="F15" s="321"/>
      <c r="G15" s="322">
        <f t="shared" si="6"/>
        <v>0</v>
      </c>
      <c r="H15" s="309">
        <f t="shared" si="7"/>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 t="shared" si="8"/>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9"/>
        <v>0</v>
      </c>
      <c r="AW15" s="82">
        <f t="shared" si="10"/>
        <v>0</v>
      </c>
      <c r="AX15" s="82">
        <f t="shared" si="11"/>
        <v>0</v>
      </c>
      <c r="AY15" s="304">
        <f t="shared" si="12"/>
        <v>0</v>
      </c>
      <c r="AZ15" s="305">
        <f t="shared" si="13"/>
        <v>0</v>
      </c>
      <c r="BA15" s="305">
        <f t="shared" si="14"/>
        <v>0</v>
      </c>
      <c r="BB15" s="305">
        <f t="shared" si="15"/>
        <v>0</v>
      </c>
      <c r="BC15" s="305">
        <f t="shared" si="16"/>
        <v>0</v>
      </c>
      <c r="BD15" s="305">
        <f t="shared" si="17"/>
        <v>0</v>
      </c>
      <c r="BE15" s="305">
        <f t="shared" si="18"/>
        <v>0</v>
      </c>
      <c r="BF15" s="305">
        <f t="shared" si="19"/>
        <v>0</v>
      </c>
      <c r="BG15" s="305">
        <f t="shared" si="20"/>
        <v>0</v>
      </c>
      <c r="BH15" s="305">
        <f t="shared" si="21"/>
        <v>0</v>
      </c>
      <c r="BI15" s="305">
        <f t="shared" si="22"/>
        <v>0</v>
      </c>
      <c r="BJ15" s="305">
        <f t="shared" si="23"/>
        <v>0</v>
      </c>
      <c r="BK15" s="305">
        <f t="shared" si="24"/>
        <v>0</v>
      </c>
      <c r="BL15" s="305">
        <f t="shared" si="25"/>
        <v>0</v>
      </c>
      <c r="BM15" s="305">
        <f t="shared" si="26"/>
        <v>0</v>
      </c>
      <c r="BN15" s="305">
        <f t="shared" si="27"/>
        <v>0</v>
      </c>
      <c r="BO15" s="305">
        <f t="shared" si="28"/>
        <v>0</v>
      </c>
      <c r="BP15" s="305">
        <f t="shared" si="29"/>
        <v>0</v>
      </c>
      <c r="BQ15" s="305">
        <f t="shared" si="30"/>
        <v>0</v>
      </c>
      <c r="BR15" s="305">
        <f t="shared" si="31"/>
        <v>0</v>
      </c>
      <c r="BS15" s="305">
        <f t="shared" si="32"/>
        <v>0</v>
      </c>
      <c r="BT15" s="311">
        <f t="shared" si="33"/>
        <v>0</v>
      </c>
    </row>
    <row r="16" spans="1:72" s="1165" customFormat="1" ht="12.75">
      <c r="A16" s="216"/>
      <c r="B16" s="216"/>
      <c r="C16" s="3371"/>
      <c r="D16" s="217"/>
      <c r="E16" s="305">
        <f t="shared" si="5"/>
        <v>0</v>
      </c>
      <c r="F16" s="321"/>
      <c r="G16" s="322">
        <f t="shared" si="6"/>
        <v>0</v>
      </c>
      <c r="H16" s="309">
        <f t="shared" si="7"/>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 t="shared" si="8"/>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9"/>
        <v>0</v>
      </c>
      <c r="AW16" s="82">
        <f t="shared" si="10"/>
        <v>0</v>
      </c>
      <c r="AX16" s="82">
        <f t="shared" si="11"/>
        <v>0</v>
      </c>
      <c r="AY16" s="304">
        <f t="shared" si="12"/>
        <v>0</v>
      </c>
      <c r="AZ16" s="305">
        <f t="shared" si="13"/>
        <v>0</v>
      </c>
      <c r="BA16" s="305">
        <f t="shared" si="14"/>
        <v>0</v>
      </c>
      <c r="BB16" s="305">
        <f t="shared" si="15"/>
        <v>0</v>
      </c>
      <c r="BC16" s="305">
        <f t="shared" si="16"/>
        <v>0</v>
      </c>
      <c r="BD16" s="305">
        <f t="shared" si="17"/>
        <v>0</v>
      </c>
      <c r="BE16" s="305">
        <f t="shared" si="18"/>
        <v>0</v>
      </c>
      <c r="BF16" s="305">
        <f t="shared" si="19"/>
        <v>0</v>
      </c>
      <c r="BG16" s="305">
        <f t="shared" si="20"/>
        <v>0</v>
      </c>
      <c r="BH16" s="305">
        <f t="shared" si="21"/>
        <v>0</v>
      </c>
      <c r="BI16" s="305">
        <f t="shared" si="22"/>
        <v>0</v>
      </c>
      <c r="BJ16" s="305">
        <f t="shared" si="23"/>
        <v>0</v>
      </c>
      <c r="BK16" s="305">
        <f t="shared" si="24"/>
        <v>0</v>
      </c>
      <c r="BL16" s="305">
        <f t="shared" si="25"/>
        <v>0</v>
      </c>
      <c r="BM16" s="305">
        <f t="shared" si="26"/>
        <v>0</v>
      </c>
      <c r="BN16" s="305">
        <f t="shared" si="27"/>
        <v>0</v>
      </c>
      <c r="BO16" s="305">
        <f t="shared" si="28"/>
        <v>0</v>
      </c>
      <c r="BP16" s="305">
        <f t="shared" si="29"/>
        <v>0</v>
      </c>
      <c r="BQ16" s="305">
        <f t="shared" si="30"/>
        <v>0</v>
      </c>
      <c r="BR16" s="305">
        <f t="shared" si="31"/>
        <v>0</v>
      </c>
      <c r="BS16" s="305">
        <f t="shared" si="32"/>
        <v>0</v>
      </c>
      <c r="BT16" s="311">
        <f t="shared" si="33"/>
        <v>0</v>
      </c>
    </row>
    <row r="17" spans="1:72" s="1165" customFormat="1">
      <c r="A17" s="3368"/>
      <c r="B17" s="3369"/>
      <c r="C17" s="3371"/>
      <c r="D17" s="217"/>
      <c r="E17" s="305">
        <f t="shared" si="5"/>
        <v>0</v>
      </c>
      <c r="F17" s="321"/>
      <c r="G17" s="322">
        <f t="shared" si="6"/>
        <v>0</v>
      </c>
      <c r="H17" s="309">
        <f t="shared" si="7"/>
        <v>0</v>
      </c>
      <c r="I17" s="3368"/>
      <c r="J17" s="1418"/>
      <c r="K17" s="1418"/>
      <c r="L17" s="1418"/>
      <c r="M17" s="1418"/>
      <c r="N17" s="1418"/>
      <c r="O17" s="1418"/>
      <c r="P17" s="1418"/>
      <c r="Q17" s="1418"/>
      <c r="R17" s="1418"/>
      <c r="S17" s="1418"/>
      <c r="T17" s="1418"/>
      <c r="U17" s="1418"/>
      <c r="V17" s="1418"/>
      <c r="W17" s="1418"/>
      <c r="X17" s="1418"/>
      <c r="Y17" s="1418"/>
      <c r="Z17" s="1418"/>
      <c r="AA17" s="1418"/>
      <c r="AB17" s="1418"/>
      <c r="AC17" s="305">
        <f t="shared" si="8"/>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9"/>
        <v>0</v>
      </c>
      <c r="AW17" s="82">
        <f t="shared" si="10"/>
        <v>0</v>
      </c>
      <c r="AX17" s="82">
        <f t="shared" si="11"/>
        <v>0</v>
      </c>
      <c r="AY17" s="304">
        <f t="shared" si="12"/>
        <v>0</v>
      </c>
      <c r="AZ17" s="305">
        <f t="shared" si="13"/>
        <v>0</v>
      </c>
      <c r="BA17" s="305">
        <f t="shared" si="14"/>
        <v>0</v>
      </c>
      <c r="BB17" s="305">
        <f t="shared" si="15"/>
        <v>0</v>
      </c>
      <c r="BC17" s="305">
        <f t="shared" si="16"/>
        <v>0</v>
      </c>
      <c r="BD17" s="305">
        <f t="shared" si="17"/>
        <v>0</v>
      </c>
      <c r="BE17" s="305">
        <f t="shared" si="18"/>
        <v>0</v>
      </c>
      <c r="BF17" s="305">
        <f t="shared" si="19"/>
        <v>0</v>
      </c>
      <c r="BG17" s="305">
        <f t="shared" si="20"/>
        <v>0</v>
      </c>
      <c r="BH17" s="305">
        <f t="shared" si="21"/>
        <v>0</v>
      </c>
      <c r="BI17" s="305">
        <f t="shared" si="22"/>
        <v>0</v>
      </c>
      <c r="BJ17" s="305">
        <f t="shared" si="23"/>
        <v>0</v>
      </c>
      <c r="BK17" s="305">
        <f t="shared" si="24"/>
        <v>0</v>
      </c>
      <c r="BL17" s="305">
        <f t="shared" si="25"/>
        <v>0</v>
      </c>
      <c r="BM17" s="305">
        <f t="shared" si="26"/>
        <v>0</v>
      </c>
      <c r="BN17" s="305">
        <f t="shared" si="27"/>
        <v>0</v>
      </c>
      <c r="BO17" s="305">
        <f t="shared" si="28"/>
        <v>0</v>
      </c>
      <c r="BP17" s="305">
        <f t="shared" si="29"/>
        <v>0</v>
      </c>
      <c r="BQ17" s="305">
        <f t="shared" si="30"/>
        <v>0</v>
      </c>
      <c r="BR17" s="305">
        <f t="shared" si="31"/>
        <v>0</v>
      </c>
      <c r="BS17" s="305">
        <f t="shared" si="32"/>
        <v>0</v>
      </c>
      <c r="BT17" s="311">
        <f t="shared" si="33"/>
        <v>0</v>
      </c>
    </row>
    <row r="18" spans="1:72" ht="14.25">
      <c r="A18" s="3368"/>
      <c r="B18" s="3368"/>
      <c r="C18" s="3371"/>
      <c r="D18" s="217"/>
      <c r="E18" s="324">
        <f t="shared" si="5"/>
        <v>0</v>
      </c>
      <c r="F18" s="325"/>
      <c r="G18" s="326">
        <f t="shared" si="6"/>
        <v>0</v>
      </c>
      <c r="H18" s="327">
        <f t="shared" si="7"/>
        <v>0</v>
      </c>
      <c r="I18" s="3368"/>
      <c r="J18" s="328"/>
      <c r="K18" s="328"/>
      <c r="L18" s="328"/>
      <c r="M18" s="328"/>
      <c r="N18" s="328"/>
      <c r="O18" s="328"/>
      <c r="P18" s="328"/>
      <c r="Q18" s="328"/>
      <c r="R18" s="328"/>
      <c r="S18" s="328"/>
      <c r="T18" s="328"/>
      <c r="U18" s="328"/>
      <c r="V18" s="328"/>
      <c r="W18" s="328"/>
      <c r="X18" s="328"/>
      <c r="Y18" s="328"/>
      <c r="Z18" s="328"/>
      <c r="AA18" s="328"/>
      <c r="AB18" s="328"/>
      <c r="AC18" s="324">
        <f t="shared" si="8"/>
        <v>0</v>
      </c>
      <c r="AD18" s="329"/>
      <c r="AE18" s="329"/>
      <c r="AF18" s="329"/>
      <c r="AG18" s="329"/>
      <c r="AH18" s="329"/>
      <c r="AI18" s="329"/>
      <c r="AJ18" s="329"/>
      <c r="AK18" s="329"/>
      <c r="AL18" s="329"/>
      <c r="AM18" s="329"/>
      <c r="AN18" s="329"/>
      <c r="AO18" s="329"/>
      <c r="AP18" s="329"/>
      <c r="AQ18" s="329"/>
      <c r="AR18" s="329"/>
      <c r="AS18" s="329"/>
      <c r="AT18" s="330"/>
      <c r="AU18" s="8"/>
      <c r="AV18" s="2210">
        <f t="shared" si="9"/>
        <v>0</v>
      </c>
      <c r="AW18" s="2210">
        <f t="shared" si="10"/>
        <v>0</v>
      </c>
      <c r="AX18" s="2210">
        <f t="shared" si="11"/>
        <v>0</v>
      </c>
      <c r="AY18" s="331">
        <f t="shared" si="12"/>
        <v>0</v>
      </c>
      <c r="AZ18" s="324">
        <f t="shared" si="13"/>
        <v>0</v>
      </c>
      <c r="BA18" s="324">
        <f t="shared" si="14"/>
        <v>0</v>
      </c>
      <c r="BB18" s="324">
        <f t="shared" si="15"/>
        <v>0</v>
      </c>
      <c r="BC18" s="324">
        <f t="shared" si="16"/>
        <v>0</v>
      </c>
      <c r="BD18" s="324">
        <f t="shared" si="17"/>
        <v>0</v>
      </c>
      <c r="BE18" s="324">
        <f t="shared" si="18"/>
        <v>0</v>
      </c>
      <c r="BF18" s="324">
        <f t="shared" si="19"/>
        <v>0</v>
      </c>
      <c r="BG18" s="324">
        <f t="shared" si="20"/>
        <v>0</v>
      </c>
      <c r="BH18" s="324">
        <f t="shared" si="21"/>
        <v>0</v>
      </c>
      <c r="BI18" s="324">
        <f t="shared" si="22"/>
        <v>0</v>
      </c>
      <c r="BJ18" s="324">
        <f t="shared" si="23"/>
        <v>0</v>
      </c>
      <c r="BK18" s="324">
        <f t="shared" si="24"/>
        <v>0</v>
      </c>
      <c r="BL18" s="324">
        <f t="shared" si="25"/>
        <v>0</v>
      </c>
      <c r="BM18" s="324">
        <f t="shared" si="26"/>
        <v>0</v>
      </c>
      <c r="BN18" s="324">
        <f t="shared" si="27"/>
        <v>0</v>
      </c>
      <c r="BO18" s="324">
        <f t="shared" si="28"/>
        <v>0</v>
      </c>
      <c r="BP18" s="324">
        <f t="shared" si="29"/>
        <v>0</v>
      </c>
      <c r="BQ18" s="324">
        <f t="shared" si="30"/>
        <v>0</v>
      </c>
      <c r="BR18" s="324">
        <f t="shared" si="31"/>
        <v>0</v>
      </c>
      <c r="BS18" s="324">
        <f t="shared" si="32"/>
        <v>0</v>
      </c>
      <c r="BT18" s="332">
        <f t="shared" si="33"/>
        <v>0</v>
      </c>
    </row>
    <row r="19" spans="1:72" ht="14.25">
      <c r="A19" s="3368"/>
      <c r="B19" s="3368"/>
      <c r="C19" s="3371"/>
      <c r="D19" s="217"/>
      <c r="E19" s="324">
        <f t="shared" si="5"/>
        <v>0</v>
      </c>
      <c r="F19" s="325"/>
      <c r="G19" s="326">
        <f t="shared" si="6"/>
        <v>0</v>
      </c>
      <c r="H19" s="327">
        <f t="shared" si="7"/>
        <v>0</v>
      </c>
      <c r="I19" s="3368"/>
      <c r="J19" s="328"/>
      <c r="K19" s="328"/>
      <c r="L19" s="328"/>
      <c r="M19" s="328"/>
      <c r="N19" s="328"/>
      <c r="O19" s="328"/>
      <c r="P19" s="328"/>
      <c r="Q19" s="328"/>
      <c r="R19" s="328"/>
      <c r="S19" s="328"/>
      <c r="T19" s="328"/>
      <c r="U19" s="328"/>
      <c r="V19" s="328"/>
      <c r="W19" s="328"/>
      <c r="X19" s="328"/>
      <c r="Y19" s="328"/>
      <c r="Z19" s="328"/>
      <c r="AA19" s="328"/>
      <c r="AB19" s="328"/>
      <c r="AC19" s="324">
        <f t="shared" si="8"/>
        <v>0</v>
      </c>
      <c r="AD19" s="329"/>
      <c r="AE19" s="329"/>
      <c r="AF19" s="329"/>
      <c r="AG19" s="329"/>
      <c r="AH19" s="329"/>
      <c r="AI19" s="329"/>
      <c r="AJ19" s="329"/>
      <c r="AK19" s="329"/>
      <c r="AL19" s="329"/>
      <c r="AM19" s="329"/>
      <c r="AN19" s="329"/>
      <c r="AO19" s="329"/>
      <c r="AP19" s="329"/>
      <c r="AQ19" s="329"/>
      <c r="AR19" s="329"/>
      <c r="AS19" s="329"/>
      <c r="AT19" s="330"/>
      <c r="AU19" s="8"/>
      <c r="AV19" s="2210">
        <f t="shared" si="9"/>
        <v>0</v>
      </c>
      <c r="AW19" s="2210">
        <f t="shared" si="10"/>
        <v>0</v>
      </c>
      <c r="AX19" s="2210">
        <f t="shared" si="11"/>
        <v>0</v>
      </c>
      <c r="AY19" s="331">
        <f t="shared" si="12"/>
        <v>0</v>
      </c>
      <c r="AZ19" s="324">
        <f t="shared" si="13"/>
        <v>0</v>
      </c>
      <c r="BA19" s="324">
        <f t="shared" si="14"/>
        <v>0</v>
      </c>
      <c r="BB19" s="324">
        <f t="shared" si="15"/>
        <v>0</v>
      </c>
      <c r="BC19" s="324">
        <f t="shared" si="16"/>
        <v>0</v>
      </c>
      <c r="BD19" s="324">
        <f t="shared" si="17"/>
        <v>0</v>
      </c>
      <c r="BE19" s="324">
        <f t="shared" si="18"/>
        <v>0</v>
      </c>
      <c r="BF19" s="324">
        <f t="shared" si="19"/>
        <v>0</v>
      </c>
      <c r="BG19" s="324">
        <f t="shared" si="20"/>
        <v>0</v>
      </c>
      <c r="BH19" s="324">
        <f t="shared" si="21"/>
        <v>0</v>
      </c>
      <c r="BI19" s="324">
        <f t="shared" si="22"/>
        <v>0</v>
      </c>
      <c r="BJ19" s="324">
        <f t="shared" si="23"/>
        <v>0</v>
      </c>
      <c r="BK19" s="324">
        <f t="shared" si="24"/>
        <v>0</v>
      </c>
      <c r="BL19" s="324">
        <f t="shared" si="25"/>
        <v>0</v>
      </c>
      <c r="BM19" s="324">
        <f t="shared" si="26"/>
        <v>0</v>
      </c>
      <c r="BN19" s="324">
        <f t="shared" si="27"/>
        <v>0</v>
      </c>
      <c r="BO19" s="324">
        <f t="shared" si="28"/>
        <v>0</v>
      </c>
      <c r="BP19" s="324">
        <f t="shared" si="29"/>
        <v>0</v>
      </c>
      <c r="BQ19" s="324">
        <f t="shared" si="30"/>
        <v>0</v>
      </c>
      <c r="BR19" s="324">
        <f t="shared" si="31"/>
        <v>0</v>
      </c>
      <c r="BS19" s="324">
        <f t="shared" si="32"/>
        <v>0</v>
      </c>
      <c r="BT19" s="332">
        <f t="shared" si="33"/>
        <v>0</v>
      </c>
    </row>
    <row r="20" spans="1:72" ht="14.25">
      <c r="A20" s="3368"/>
      <c r="B20" s="3368"/>
      <c r="C20" s="3371"/>
      <c r="D20" s="217"/>
      <c r="E20" s="324">
        <f t="shared" si="5"/>
        <v>0</v>
      </c>
      <c r="F20" s="325"/>
      <c r="G20" s="326">
        <f t="shared" si="6"/>
        <v>0</v>
      </c>
      <c r="H20" s="327">
        <f t="shared" si="7"/>
        <v>0</v>
      </c>
      <c r="I20" s="3368"/>
      <c r="J20" s="328"/>
      <c r="K20" s="328"/>
      <c r="L20" s="328"/>
      <c r="M20" s="328"/>
      <c r="N20" s="328"/>
      <c r="O20" s="328"/>
      <c r="P20" s="328"/>
      <c r="Q20" s="328"/>
      <c r="R20" s="328"/>
      <c r="S20" s="328"/>
      <c r="T20" s="328"/>
      <c r="U20" s="328"/>
      <c r="V20" s="328"/>
      <c r="W20" s="328"/>
      <c r="X20" s="328"/>
      <c r="Y20" s="328"/>
      <c r="Z20" s="328"/>
      <c r="AA20" s="328"/>
      <c r="AB20" s="328"/>
      <c r="AC20" s="324">
        <f t="shared" si="8"/>
        <v>0</v>
      </c>
      <c r="AD20" s="329"/>
      <c r="AE20" s="329"/>
      <c r="AF20" s="329"/>
      <c r="AG20" s="329"/>
      <c r="AH20" s="329"/>
      <c r="AI20" s="329"/>
      <c r="AJ20" s="329"/>
      <c r="AK20" s="329"/>
      <c r="AL20" s="329"/>
      <c r="AM20" s="329"/>
      <c r="AN20" s="329"/>
      <c r="AO20" s="329"/>
      <c r="AP20" s="329"/>
      <c r="AQ20" s="329"/>
      <c r="AR20" s="329"/>
      <c r="AS20" s="329"/>
      <c r="AT20" s="330"/>
      <c r="AU20" s="8"/>
      <c r="AV20" s="2210">
        <f t="shared" si="9"/>
        <v>0</v>
      </c>
      <c r="AW20" s="2210">
        <f t="shared" si="10"/>
        <v>0</v>
      </c>
      <c r="AX20" s="2210">
        <f t="shared" si="11"/>
        <v>0</v>
      </c>
      <c r="AY20" s="331">
        <f t="shared" si="12"/>
        <v>0</v>
      </c>
      <c r="AZ20" s="324">
        <f t="shared" si="13"/>
        <v>0</v>
      </c>
      <c r="BA20" s="324">
        <f t="shared" si="14"/>
        <v>0</v>
      </c>
      <c r="BB20" s="324">
        <f t="shared" si="15"/>
        <v>0</v>
      </c>
      <c r="BC20" s="324">
        <f t="shared" si="16"/>
        <v>0</v>
      </c>
      <c r="BD20" s="324">
        <f t="shared" si="17"/>
        <v>0</v>
      </c>
      <c r="BE20" s="324">
        <f t="shared" si="18"/>
        <v>0</v>
      </c>
      <c r="BF20" s="324">
        <f t="shared" si="19"/>
        <v>0</v>
      </c>
      <c r="BG20" s="324">
        <f t="shared" si="20"/>
        <v>0</v>
      </c>
      <c r="BH20" s="324">
        <f t="shared" si="21"/>
        <v>0</v>
      </c>
      <c r="BI20" s="324">
        <f t="shared" si="22"/>
        <v>0</v>
      </c>
      <c r="BJ20" s="324">
        <f t="shared" si="23"/>
        <v>0</v>
      </c>
      <c r="BK20" s="324">
        <f t="shared" si="24"/>
        <v>0</v>
      </c>
      <c r="BL20" s="324">
        <f t="shared" si="25"/>
        <v>0</v>
      </c>
      <c r="BM20" s="324">
        <f t="shared" si="26"/>
        <v>0</v>
      </c>
      <c r="BN20" s="324">
        <f t="shared" si="27"/>
        <v>0</v>
      </c>
      <c r="BO20" s="324">
        <f t="shared" si="28"/>
        <v>0</v>
      </c>
      <c r="BP20" s="324">
        <f t="shared" si="29"/>
        <v>0</v>
      </c>
      <c r="BQ20" s="324">
        <f t="shared" si="30"/>
        <v>0</v>
      </c>
      <c r="BR20" s="324">
        <f t="shared" si="31"/>
        <v>0</v>
      </c>
      <c r="BS20" s="324">
        <f t="shared" si="32"/>
        <v>0</v>
      </c>
      <c r="BT20" s="332">
        <f t="shared" si="33"/>
        <v>0</v>
      </c>
    </row>
    <row r="21" spans="1:72" ht="14.25">
      <c r="A21" s="3368"/>
      <c r="B21" s="3368"/>
      <c r="C21" s="3371"/>
      <c r="D21" s="217"/>
      <c r="E21" s="324">
        <f t="shared" si="5"/>
        <v>0</v>
      </c>
      <c r="F21" s="325"/>
      <c r="G21" s="326">
        <f t="shared" si="6"/>
        <v>0</v>
      </c>
      <c r="H21" s="327">
        <f t="shared" si="7"/>
        <v>0</v>
      </c>
      <c r="I21" s="3368"/>
      <c r="J21" s="328"/>
      <c r="K21" s="328"/>
      <c r="L21" s="328"/>
      <c r="M21" s="328"/>
      <c r="N21" s="328"/>
      <c r="O21" s="328"/>
      <c r="P21" s="328"/>
      <c r="Q21" s="328"/>
      <c r="R21" s="328"/>
      <c r="S21" s="328"/>
      <c r="T21" s="328"/>
      <c r="U21" s="328"/>
      <c r="V21" s="328"/>
      <c r="W21" s="328"/>
      <c r="X21" s="328"/>
      <c r="Y21" s="328"/>
      <c r="Z21" s="328"/>
      <c r="AA21" s="328"/>
      <c r="AB21" s="328"/>
      <c r="AC21" s="324">
        <f t="shared" si="8"/>
        <v>0</v>
      </c>
      <c r="AD21" s="329"/>
      <c r="AE21" s="329"/>
      <c r="AF21" s="329"/>
      <c r="AG21" s="329"/>
      <c r="AH21" s="329"/>
      <c r="AI21" s="329"/>
      <c r="AJ21" s="329"/>
      <c r="AK21" s="329"/>
      <c r="AL21" s="329"/>
      <c r="AM21" s="329"/>
      <c r="AN21" s="329"/>
      <c r="AO21" s="329"/>
      <c r="AP21" s="329"/>
      <c r="AQ21" s="329"/>
      <c r="AR21" s="329"/>
      <c r="AS21" s="329"/>
      <c r="AT21" s="330"/>
      <c r="AU21" s="8"/>
      <c r="AV21" s="2210">
        <f t="shared" si="9"/>
        <v>0</v>
      </c>
      <c r="AW21" s="2210">
        <f t="shared" si="10"/>
        <v>0</v>
      </c>
      <c r="AX21" s="2210">
        <f t="shared" si="11"/>
        <v>0</v>
      </c>
      <c r="AY21" s="331">
        <f t="shared" si="12"/>
        <v>0</v>
      </c>
      <c r="AZ21" s="324">
        <f t="shared" si="13"/>
        <v>0</v>
      </c>
      <c r="BA21" s="324">
        <f t="shared" si="14"/>
        <v>0</v>
      </c>
      <c r="BB21" s="324">
        <f t="shared" si="15"/>
        <v>0</v>
      </c>
      <c r="BC21" s="324">
        <f t="shared" si="16"/>
        <v>0</v>
      </c>
      <c r="BD21" s="324">
        <f t="shared" si="17"/>
        <v>0</v>
      </c>
      <c r="BE21" s="324">
        <f t="shared" si="18"/>
        <v>0</v>
      </c>
      <c r="BF21" s="324">
        <f t="shared" si="19"/>
        <v>0</v>
      </c>
      <c r="BG21" s="324">
        <f t="shared" si="20"/>
        <v>0</v>
      </c>
      <c r="BH21" s="324">
        <f t="shared" si="21"/>
        <v>0</v>
      </c>
      <c r="BI21" s="324">
        <f t="shared" si="22"/>
        <v>0</v>
      </c>
      <c r="BJ21" s="324">
        <f t="shared" si="23"/>
        <v>0</v>
      </c>
      <c r="BK21" s="324">
        <f t="shared" si="24"/>
        <v>0</v>
      </c>
      <c r="BL21" s="324">
        <f t="shared" si="25"/>
        <v>0</v>
      </c>
      <c r="BM21" s="324">
        <f t="shared" si="26"/>
        <v>0</v>
      </c>
      <c r="BN21" s="324">
        <f t="shared" si="27"/>
        <v>0</v>
      </c>
      <c r="BO21" s="324">
        <f t="shared" si="28"/>
        <v>0</v>
      </c>
      <c r="BP21" s="324">
        <f t="shared" si="29"/>
        <v>0</v>
      </c>
      <c r="BQ21" s="324">
        <f t="shared" si="30"/>
        <v>0</v>
      </c>
      <c r="BR21" s="324">
        <f t="shared" si="31"/>
        <v>0</v>
      </c>
      <c r="BS21" s="324">
        <f t="shared" si="32"/>
        <v>0</v>
      </c>
      <c r="BT21" s="332">
        <f t="shared" si="33"/>
        <v>0</v>
      </c>
    </row>
    <row r="22" spans="1:72" ht="14.25">
      <c r="A22" s="297"/>
      <c r="B22" s="323"/>
      <c r="C22" s="3371"/>
      <c r="D22" s="217"/>
      <c r="E22" s="324">
        <f t="shared" si="5"/>
        <v>0</v>
      </c>
      <c r="F22" s="325"/>
      <c r="G22" s="326">
        <f t="shared" si="6"/>
        <v>0</v>
      </c>
      <c r="H22" s="327">
        <f t="shared" si="7"/>
        <v>0</v>
      </c>
      <c r="I22" s="328"/>
      <c r="J22" s="328"/>
      <c r="K22" s="328"/>
      <c r="L22" s="328"/>
      <c r="M22" s="328"/>
      <c r="N22" s="328"/>
      <c r="O22" s="328"/>
      <c r="P22" s="328"/>
      <c r="Q22" s="328"/>
      <c r="R22" s="328"/>
      <c r="S22" s="328"/>
      <c r="T22" s="328"/>
      <c r="U22" s="328"/>
      <c r="V22" s="328"/>
      <c r="W22" s="328"/>
      <c r="X22" s="328"/>
      <c r="Y22" s="328"/>
      <c r="Z22" s="328"/>
      <c r="AA22" s="328"/>
      <c r="AB22" s="328"/>
      <c r="AC22" s="324">
        <f t="shared" si="8"/>
        <v>0</v>
      </c>
      <c r="AD22" s="329"/>
      <c r="AE22" s="329"/>
      <c r="AF22" s="329"/>
      <c r="AG22" s="329"/>
      <c r="AH22" s="329"/>
      <c r="AI22" s="329"/>
      <c r="AJ22" s="329"/>
      <c r="AK22" s="329"/>
      <c r="AL22" s="329"/>
      <c r="AM22" s="329"/>
      <c r="AN22" s="329"/>
      <c r="AO22" s="329"/>
      <c r="AP22" s="329"/>
      <c r="AQ22" s="329"/>
      <c r="AR22" s="329"/>
      <c r="AS22" s="329"/>
      <c r="AT22" s="330"/>
      <c r="AU22" s="8"/>
      <c r="AV22" s="2210">
        <f t="shared" si="9"/>
        <v>0</v>
      </c>
      <c r="AW22" s="2210">
        <f t="shared" si="10"/>
        <v>0</v>
      </c>
      <c r="AX22" s="2210">
        <f t="shared" si="11"/>
        <v>0</v>
      </c>
      <c r="AY22" s="331">
        <f t="shared" si="12"/>
        <v>0</v>
      </c>
      <c r="AZ22" s="324">
        <f t="shared" si="13"/>
        <v>0</v>
      </c>
      <c r="BA22" s="324">
        <f t="shared" si="14"/>
        <v>0</v>
      </c>
      <c r="BB22" s="324">
        <f t="shared" si="15"/>
        <v>0</v>
      </c>
      <c r="BC22" s="324">
        <f t="shared" si="16"/>
        <v>0</v>
      </c>
      <c r="BD22" s="324">
        <f t="shared" si="17"/>
        <v>0</v>
      </c>
      <c r="BE22" s="324">
        <f t="shared" si="18"/>
        <v>0</v>
      </c>
      <c r="BF22" s="324">
        <f t="shared" si="19"/>
        <v>0</v>
      </c>
      <c r="BG22" s="324">
        <f t="shared" si="20"/>
        <v>0</v>
      </c>
      <c r="BH22" s="324">
        <f t="shared" si="21"/>
        <v>0</v>
      </c>
      <c r="BI22" s="324">
        <f t="shared" si="22"/>
        <v>0</v>
      </c>
      <c r="BJ22" s="324">
        <f t="shared" si="23"/>
        <v>0</v>
      </c>
      <c r="BK22" s="324">
        <f t="shared" si="24"/>
        <v>0</v>
      </c>
      <c r="BL22" s="324">
        <f t="shared" si="25"/>
        <v>0</v>
      </c>
      <c r="BM22" s="324">
        <f t="shared" si="26"/>
        <v>0</v>
      </c>
      <c r="BN22" s="324">
        <f t="shared" si="27"/>
        <v>0</v>
      </c>
      <c r="BO22" s="324">
        <f t="shared" si="28"/>
        <v>0</v>
      </c>
      <c r="BP22" s="324">
        <f t="shared" si="29"/>
        <v>0</v>
      </c>
      <c r="BQ22" s="324">
        <f t="shared" si="30"/>
        <v>0</v>
      </c>
      <c r="BR22" s="324">
        <f t="shared" si="31"/>
        <v>0</v>
      </c>
      <c r="BS22" s="324">
        <f t="shared" si="32"/>
        <v>0</v>
      </c>
      <c r="BT22" s="332">
        <f t="shared" si="33"/>
        <v>0</v>
      </c>
    </row>
    <row r="23" spans="1:72" ht="14.25">
      <c r="A23" s="3368"/>
      <c r="B23" s="3368"/>
      <c r="C23" s="3371"/>
      <c r="D23" s="217"/>
      <c r="E23" s="324">
        <f t="shared" si="5"/>
        <v>0</v>
      </c>
      <c r="F23" s="325"/>
      <c r="G23" s="326">
        <f t="shared" si="6"/>
        <v>0</v>
      </c>
      <c r="H23" s="327">
        <f t="shared" si="7"/>
        <v>0</v>
      </c>
      <c r="I23" s="3368"/>
      <c r="J23" s="328"/>
      <c r="K23" s="328"/>
      <c r="L23" s="328"/>
      <c r="M23" s="328"/>
      <c r="N23" s="328"/>
      <c r="O23" s="328"/>
      <c r="P23" s="328"/>
      <c r="Q23" s="328"/>
      <c r="R23" s="328"/>
      <c r="S23" s="328"/>
      <c r="T23" s="328"/>
      <c r="U23" s="328"/>
      <c r="V23" s="328"/>
      <c r="W23" s="328"/>
      <c r="X23" s="328"/>
      <c r="Y23" s="328"/>
      <c r="Z23" s="328"/>
      <c r="AA23" s="328"/>
      <c r="AB23" s="328"/>
      <c r="AC23" s="324">
        <f t="shared" si="8"/>
        <v>0</v>
      </c>
      <c r="AD23" s="329"/>
      <c r="AE23" s="329"/>
      <c r="AF23" s="329"/>
      <c r="AG23" s="329"/>
      <c r="AH23" s="329"/>
      <c r="AI23" s="329"/>
      <c r="AJ23" s="329"/>
      <c r="AK23" s="329"/>
      <c r="AL23" s="329"/>
      <c r="AM23" s="329"/>
      <c r="AN23" s="329"/>
      <c r="AO23" s="329"/>
      <c r="AP23" s="329"/>
      <c r="AQ23" s="329"/>
      <c r="AR23" s="329"/>
      <c r="AS23" s="329"/>
      <c r="AT23" s="330"/>
      <c r="AU23" s="8"/>
      <c r="AV23" s="2210">
        <f t="shared" si="9"/>
        <v>0</v>
      </c>
      <c r="AW23" s="2210">
        <f t="shared" si="10"/>
        <v>0</v>
      </c>
      <c r="AX23" s="2210">
        <f t="shared" si="11"/>
        <v>0</v>
      </c>
      <c r="AY23" s="331">
        <f t="shared" si="12"/>
        <v>0</v>
      </c>
      <c r="AZ23" s="324">
        <f t="shared" si="13"/>
        <v>0</v>
      </c>
      <c r="BA23" s="324">
        <f t="shared" si="14"/>
        <v>0</v>
      </c>
      <c r="BB23" s="324">
        <f t="shared" si="15"/>
        <v>0</v>
      </c>
      <c r="BC23" s="324">
        <f t="shared" si="16"/>
        <v>0</v>
      </c>
      <c r="BD23" s="324">
        <f t="shared" si="17"/>
        <v>0</v>
      </c>
      <c r="BE23" s="324">
        <f t="shared" si="18"/>
        <v>0</v>
      </c>
      <c r="BF23" s="324">
        <f t="shared" si="19"/>
        <v>0</v>
      </c>
      <c r="BG23" s="324">
        <f t="shared" si="20"/>
        <v>0</v>
      </c>
      <c r="BH23" s="324">
        <f t="shared" si="21"/>
        <v>0</v>
      </c>
      <c r="BI23" s="324">
        <f t="shared" si="22"/>
        <v>0</v>
      </c>
      <c r="BJ23" s="324">
        <f t="shared" si="23"/>
        <v>0</v>
      </c>
      <c r="BK23" s="324">
        <f t="shared" si="24"/>
        <v>0</v>
      </c>
      <c r="BL23" s="324">
        <f t="shared" si="25"/>
        <v>0</v>
      </c>
      <c r="BM23" s="324">
        <f t="shared" si="26"/>
        <v>0</v>
      </c>
      <c r="BN23" s="324">
        <f t="shared" si="27"/>
        <v>0</v>
      </c>
      <c r="BO23" s="324">
        <f t="shared" si="28"/>
        <v>0</v>
      </c>
      <c r="BP23" s="324">
        <f t="shared" si="29"/>
        <v>0</v>
      </c>
      <c r="BQ23" s="324">
        <f t="shared" si="30"/>
        <v>0</v>
      </c>
      <c r="BR23" s="324">
        <f t="shared" si="31"/>
        <v>0</v>
      </c>
      <c r="BS23" s="324">
        <f t="shared" si="32"/>
        <v>0</v>
      </c>
      <c r="BT23" s="332">
        <f t="shared" si="33"/>
        <v>0</v>
      </c>
    </row>
    <row r="24" spans="1:72" ht="14.25">
      <c r="A24" s="3368"/>
      <c r="B24" s="3368"/>
      <c r="C24" s="3371"/>
      <c r="D24" s="217"/>
      <c r="E24" s="324">
        <f t="shared" si="5"/>
        <v>0</v>
      </c>
      <c r="F24" s="325"/>
      <c r="G24" s="326">
        <f t="shared" si="6"/>
        <v>0</v>
      </c>
      <c r="H24" s="327">
        <f t="shared" si="7"/>
        <v>0</v>
      </c>
      <c r="I24" s="3368"/>
      <c r="J24" s="328"/>
      <c r="K24" s="328"/>
      <c r="L24" s="328"/>
      <c r="M24" s="328"/>
      <c r="N24" s="328"/>
      <c r="O24" s="328"/>
      <c r="P24" s="328"/>
      <c r="Q24" s="328"/>
      <c r="R24" s="328"/>
      <c r="S24" s="328"/>
      <c r="T24" s="328"/>
      <c r="U24" s="328"/>
      <c r="V24" s="328"/>
      <c r="W24" s="328"/>
      <c r="X24" s="328"/>
      <c r="Y24" s="328"/>
      <c r="Z24" s="328"/>
      <c r="AA24" s="328"/>
      <c r="AB24" s="328"/>
      <c r="AC24" s="324">
        <f t="shared" si="8"/>
        <v>0</v>
      </c>
      <c r="AD24" s="329"/>
      <c r="AE24" s="329"/>
      <c r="AF24" s="329"/>
      <c r="AG24" s="329"/>
      <c r="AH24" s="329"/>
      <c r="AI24" s="329"/>
      <c r="AJ24" s="329"/>
      <c r="AK24" s="329"/>
      <c r="AL24" s="329"/>
      <c r="AM24" s="329"/>
      <c r="AN24" s="329"/>
      <c r="AO24" s="329"/>
      <c r="AP24" s="329"/>
      <c r="AQ24" s="329"/>
      <c r="AR24" s="329"/>
      <c r="AS24" s="329"/>
      <c r="AT24" s="330"/>
      <c r="AU24" s="8"/>
      <c r="AV24" s="2210">
        <f t="shared" si="9"/>
        <v>0</v>
      </c>
      <c r="AW24" s="2210">
        <f t="shared" si="10"/>
        <v>0</v>
      </c>
      <c r="AX24" s="2210">
        <f t="shared" si="11"/>
        <v>0</v>
      </c>
      <c r="AY24" s="331">
        <f t="shared" si="12"/>
        <v>0</v>
      </c>
      <c r="AZ24" s="324">
        <f t="shared" si="13"/>
        <v>0</v>
      </c>
      <c r="BA24" s="324">
        <f t="shared" si="14"/>
        <v>0</v>
      </c>
      <c r="BB24" s="324">
        <f t="shared" si="15"/>
        <v>0</v>
      </c>
      <c r="BC24" s="324">
        <f t="shared" si="16"/>
        <v>0</v>
      </c>
      <c r="BD24" s="324">
        <f t="shared" si="17"/>
        <v>0</v>
      </c>
      <c r="BE24" s="324">
        <f t="shared" si="18"/>
        <v>0</v>
      </c>
      <c r="BF24" s="324">
        <f t="shared" si="19"/>
        <v>0</v>
      </c>
      <c r="BG24" s="324">
        <f t="shared" si="20"/>
        <v>0</v>
      </c>
      <c r="BH24" s="324">
        <f t="shared" si="21"/>
        <v>0</v>
      </c>
      <c r="BI24" s="324">
        <f t="shared" si="22"/>
        <v>0</v>
      </c>
      <c r="BJ24" s="324">
        <f t="shared" si="23"/>
        <v>0</v>
      </c>
      <c r="BK24" s="324">
        <f t="shared" si="24"/>
        <v>0</v>
      </c>
      <c r="BL24" s="324">
        <f t="shared" si="25"/>
        <v>0</v>
      </c>
      <c r="BM24" s="324">
        <f t="shared" si="26"/>
        <v>0</v>
      </c>
      <c r="BN24" s="324">
        <f t="shared" si="27"/>
        <v>0</v>
      </c>
      <c r="BO24" s="324">
        <f t="shared" si="28"/>
        <v>0</v>
      </c>
      <c r="BP24" s="324">
        <f t="shared" si="29"/>
        <v>0</v>
      </c>
      <c r="BQ24" s="324">
        <f t="shared" si="30"/>
        <v>0</v>
      </c>
      <c r="BR24" s="324">
        <f t="shared" si="31"/>
        <v>0</v>
      </c>
      <c r="BS24" s="324">
        <f t="shared" si="32"/>
        <v>0</v>
      </c>
      <c r="BT24" s="332">
        <f t="shared" si="33"/>
        <v>0</v>
      </c>
    </row>
    <row r="25" spans="1:72" ht="14.25">
      <c r="A25" s="3368"/>
      <c r="B25" s="3368"/>
      <c r="C25" s="3371"/>
      <c r="D25" s="217"/>
      <c r="E25" s="324">
        <f t="shared" si="5"/>
        <v>0</v>
      </c>
      <c r="F25" s="325"/>
      <c r="G25" s="326">
        <f t="shared" si="6"/>
        <v>0</v>
      </c>
      <c r="H25" s="327">
        <f t="shared" si="7"/>
        <v>0</v>
      </c>
      <c r="I25" s="3368"/>
      <c r="J25" s="328"/>
      <c r="K25" s="328"/>
      <c r="L25" s="328"/>
      <c r="M25" s="328"/>
      <c r="N25" s="328"/>
      <c r="O25" s="328"/>
      <c r="P25" s="328"/>
      <c r="Q25" s="328"/>
      <c r="R25" s="328"/>
      <c r="S25" s="328"/>
      <c r="T25" s="328"/>
      <c r="U25" s="328"/>
      <c r="V25" s="328"/>
      <c r="W25" s="328"/>
      <c r="X25" s="328"/>
      <c r="Y25" s="328"/>
      <c r="Z25" s="328"/>
      <c r="AA25" s="328"/>
      <c r="AB25" s="328"/>
      <c r="AC25" s="324">
        <f t="shared" si="8"/>
        <v>0</v>
      </c>
      <c r="AD25" s="329"/>
      <c r="AE25" s="329"/>
      <c r="AF25" s="329"/>
      <c r="AG25" s="329"/>
      <c r="AH25" s="329"/>
      <c r="AI25" s="329"/>
      <c r="AJ25" s="329"/>
      <c r="AK25" s="329"/>
      <c r="AL25" s="329"/>
      <c r="AM25" s="329"/>
      <c r="AN25" s="329"/>
      <c r="AO25" s="329"/>
      <c r="AP25" s="329"/>
      <c r="AQ25" s="329"/>
      <c r="AR25" s="329"/>
      <c r="AS25" s="329"/>
      <c r="AT25" s="330"/>
      <c r="AU25" s="8"/>
      <c r="AV25" s="2210">
        <f t="shared" si="9"/>
        <v>0</v>
      </c>
      <c r="AW25" s="2210">
        <f t="shared" si="10"/>
        <v>0</v>
      </c>
      <c r="AX25" s="2210">
        <f t="shared" si="11"/>
        <v>0</v>
      </c>
      <c r="AY25" s="331">
        <f t="shared" si="12"/>
        <v>0</v>
      </c>
      <c r="AZ25" s="324">
        <f t="shared" si="13"/>
        <v>0</v>
      </c>
      <c r="BA25" s="324">
        <f t="shared" si="14"/>
        <v>0</v>
      </c>
      <c r="BB25" s="324">
        <f t="shared" si="15"/>
        <v>0</v>
      </c>
      <c r="BC25" s="324">
        <f t="shared" si="16"/>
        <v>0</v>
      </c>
      <c r="BD25" s="324">
        <f t="shared" si="17"/>
        <v>0</v>
      </c>
      <c r="BE25" s="324">
        <f t="shared" si="18"/>
        <v>0</v>
      </c>
      <c r="BF25" s="324">
        <f t="shared" si="19"/>
        <v>0</v>
      </c>
      <c r="BG25" s="324">
        <f t="shared" si="20"/>
        <v>0</v>
      </c>
      <c r="BH25" s="324">
        <f t="shared" si="21"/>
        <v>0</v>
      </c>
      <c r="BI25" s="324">
        <f t="shared" si="22"/>
        <v>0</v>
      </c>
      <c r="BJ25" s="324">
        <f t="shared" si="23"/>
        <v>0</v>
      </c>
      <c r="BK25" s="324">
        <f t="shared" si="24"/>
        <v>0</v>
      </c>
      <c r="BL25" s="324">
        <f t="shared" si="25"/>
        <v>0</v>
      </c>
      <c r="BM25" s="324">
        <f t="shared" si="26"/>
        <v>0</v>
      </c>
      <c r="BN25" s="324">
        <f t="shared" si="27"/>
        <v>0</v>
      </c>
      <c r="BO25" s="324">
        <f t="shared" si="28"/>
        <v>0</v>
      </c>
      <c r="BP25" s="324">
        <f t="shared" si="29"/>
        <v>0</v>
      </c>
      <c r="BQ25" s="324">
        <f t="shared" si="30"/>
        <v>0</v>
      </c>
      <c r="BR25" s="324">
        <f t="shared" si="31"/>
        <v>0</v>
      </c>
      <c r="BS25" s="324">
        <f t="shared" si="32"/>
        <v>0</v>
      </c>
      <c r="BT25" s="332">
        <f t="shared" si="33"/>
        <v>0</v>
      </c>
    </row>
    <row r="26" spans="1:72" ht="14.25">
      <c r="A26" s="3368"/>
      <c r="B26" s="3368"/>
      <c r="C26" s="3371"/>
      <c r="D26" s="217"/>
      <c r="E26" s="324">
        <f t="shared" si="5"/>
        <v>0</v>
      </c>
      <c r="F26" s="325"/>
      <c r="G26" s="326">
        <f t="shared" si="6"/>
        <v>0</v>
      </c>
      <c r="H26" s="327">
        <f t="shared" si="7"/>
        <v>0</v>
      </c>
      <c r="I26" s="3368"/>
      <c r="J26" s="328"/>
      <c r="K26" s="328"/>
      <c r="L26" s="328"/>
      <c r="M26" s="328"/>
      <c r="N26" s="328"/>
      <c r="O26" s="328"/>
      <c r="P26" s="328"/>
      <c r="Q26" s="328"/>
      <c r="R26" s="328"/>
      <c r="S26" s="328"/>
      <c r="T26" s="328"/>
      <c r="U26" s="328"/>
      <c r="V26" s="328"/>
      <c r="W26" s="328"/>
      <c r="X26" s="328"/>
      <c r="Y26" s="328"/>
      <c r="Z26" s="328"/>
      <c r="AA26" s="328"/>
      <c r="AB26" s="328"/>
      <c r="AC26" s="324">
        <f t="shared" si="8"/>
        <v>0</v>
      </c>
      <c r="AD26" s="329"/>
      <c r="AE26" s="329"/>
      <c r="AF26" s="329"/>
      <c r="AG26" s="329"/>
      <c r="AH26" s="329"/>
      <c r="AI26" s="329"/>
      <c r="AJ26" s="329"/>
      <c r="AK26" s="329"/>
      <c r="AL26" s="329"/>
      <c r="AM26" s="329"/>
      <c r="AN26" s="329"/>
      <c r="AO26" s="329"/>
      <c r="AP26" s="329"/>
      <c r="AQ26" s="329"/>
      <c r="AR26" s="329"/>
      <c r="AS26" s="329"/>
      <c r="AT26" s="330"/>
      <c r="AU26" s="8"/>
      <c r="AV26" s="2210">
        <f t="shared" si="9"/>
        <v>0</v>
      </c>
      <c r="AW26" s="2210">
        <f t="shared" si="10"/>
        <v>0</v>
      </c>
      <c r="AX26" s="2210">
        <f t="shared" si="11"/>
        <v>0</v>
      </c>
      <c r="AY26" s="331">
        <f t="shared" si="12"/>
        <v>0</v>
      </c>
      <c r="AZ26" s="324">
        <f t="shared" si="13"/>
        <v>0</v>
      </c>
      <c r="BA26" s="324">
        <f t="shared" si="14"/>
        <v>0</v>
      </c>
      <c r="BB26" s="324">
        <f t="shared" si="15"/>
        <v>0</v>
      </c>
      <c r="BC26" s="324">
        <f t="shared" si="16"/>
        <v>0</v>
      </c>
      <c r="BD26" s="324">
        <f t="shared" si="17"/>
        <v>0</v>
      </c>
      <c r="BE26" s="324">
        <f t="shared" si="18"/>
        <v>0</v>
      </c>
      <c r="BF26" s="324">
        <f t="shared" si="19"/>
        <v>0</v>
      </c>
      <c r="BG26" s="324">
        <f t="shared" si="20"/>
        <v>0</v>
      </c>
      <c r="BH26" s="324">
        <f t="shared" si="21"/>
        <v>0</v>
      </c>
      <c r="BI26" s="324">
        <f t="shared" si="22"/>
        <v>0</v>
      </c>
      <c r="BJ26" s="324">
        <f t="shared" si="23"/>
        <v>0</v>
      </c>
      <c r="BK26" s="324">
        <f t="shared" si="24"/>
        <v>0</v>
      </c>
      <c r="BL26" s="324">
        <f t="shared" si="25"/>
        <v>0</v>
      </c>
      <c r="BM26" s="324">
        <f t="shared" si="26"/>
        <v>0</v>
      </c>
      <c r="BN26" s="324">
        <f t="shared" si="27"/>
        <v>0</v>
      </c>
      <c r="BO26" s="324">
        <f t="shared" si="28"/>
        <v>0</v>
      </c>
      <c r="BP26" s="324">
        <f t="shared" si="29"/>
        <v>0</v>
      </c>
      <c r="BQ26" s="324">
        <f t="shared" si="30"/>
        <v>0</v>
      </c>
      <c r="BR26" s="324">
        <f t="shared" si="31"/>
        <v>0</v>
      </c>
      <c r="BS26" s="324">
        <f t="shared" si="32"/>
        <v>0</v>
      </c>
      <c r="BT26" s="332">
        <f t="shared" si="33"/>
        <v>0</v>
      </c>
    </row>
    <row r="27" spans="1:72" ht="14.25">
      <c r="A27" s="3368"/>
      <c r="B27" s="3368"/>
      <c r="C27" s="3371"/>
      <c r="D27" s="217"/>
      <c r="E27" s="324">
        <f t="shared" si="5"/>
        <v>0</v>
      </c>
      <c r="F27" s="325"/>
      <c r="G27" s="326">
        <f t="shared" si="6"/>
        <v>0</v>
      </c>
      <c r="H27" s="327">
        <f t="shared" si="7"/>
        <v>0</v>
      </c>
      <c r="I27" s="3368"/>
      <c r="J27" s="328"/>
      <c r="K27" s="328"/>
      <c r="L27" s="328"/>
      <c r="M27" s="328"/>
      <c r="N27" s="328"/>
      <c r="O27" s="328"/>
      <c r="P27" s="328"/>
      <c r="Q27" s="328"/>
      <c r="R27" s="328"/>
      <c r="S27" s="328"/>
      <c r="T27" s="328"/>
      <c r="U27" s="328"/>
      <c r="V27" s="328"/>
      <c r="W27" s="328"/>
      <c r="X27" s="328"/>
      <c r="Y27" s="328"/>
      <c r="Z27" s="328"/>
      <c r="AA27" s="328"/>
      <c r="AB27" s="328"/>
      <c r="AC27" s="324">
        <f t="shared" si="8"/>
        <v>0</v>
      </c>
      <c r="AD27" s="329"/>
      <c r="AE27" s="329"/>
      <c r="AF27" s="329"/>
      <c r="AG27" s="329"/>
      <c r="AH27" s="329"/>
      <c r="AI27" s="329"/>
      <c r="AJ27" s="329"/>
      <c r="AK27" s="329"/>
      <c r="AL27" s="329"/>
      <c r="AM27" s="329"/>
      <c r="AN27" s="329"/>
      <c r="AO27" s="329"/>
      <c r="AP27" s="329"/>
      <c r="AQ27" s="329"/>
      <c r="AR27" s="329"/>
      <c r="AS27" s="329"/>
      <c r="AT27" s="330"/>
      <c r="AU27" s="8"/>
      <c r="AV27" s="2210">
        <f t="shared" si="9"/>
        <v>0</v>
      </c>
      <c r="AW27" s="2210">
        <f t="shared" si="10"/>
        <v>0</v>
      </c>
      <c r="AX27" s="2210">
        <f t="shared" si="11"/>
        <v>0</v>
      </c>
      <c r="AY27" s="331">
        <f t="shared" si="12"/>
        <v>0</v>
      </c>
      <c r="AZ27" s="324">
        <f t="shared" si="13"/>
        <v>0</v>
      </c>
      <c r="BA27" s="324">
        <f t="shared" si="14"/>
        <v>0</v>
      </c>
      <c r="BB27" s="324">
        <f t="shared" si="15"/>
        <v>0</v>
      </c>
      <c r="BC27" s="324">
        <f t="shared" si="16"/>
        <v>0</v>
      </c>
      <c r="BD27" s="324">
        <f t="shared" si="17"/>
        <v>0</v>
      </c>
      <c r="BE27" s="324">
        <f t="shared" si="18"/>
        <v>0</v>
      </c>
      <c r="BF27" s="324">
        <f t="shared" si="19"/>
        <v>0</v>
      </c>
      <c r="BG27" s="324">
        <f t="shared" si="20"/>
        <v>0</v>
      </c>
      <c r="BH27" s="324">
        <f t="shared" si="21"/>
        <v>0</v>
      </c>
      <c r="BI27" s="324">
        <f t="shared" si="22"/>
        <v>0</v>
      </c>
      <c r="BJ27" s="324">
        <f t="shared" si="23"/>
        <v>0</v>
      </c>
      <c r="BK27" s="324">
        <f t="shared" si="24"/>
        <v>0</v>
      </c>
      <c r="BL27" s="324">
        <f t="shared" si="25"/>
        <v>0</v>
      </c>
      <c r="BM27" s="324">
        <f t="shared" si="26"/>
        <v>0</v>
      </c>
      <c r="BN27" s="324">
        <f t="shared" si="27"/>
        <v>0</v>
      </c>
      <c r="BO27" s="324">
        <f t="shared" si="28"/>
        <v>0</v>
      </c>
      <c r="BP27" s="324">
        <f t="shared" si="29"/>
        <v>0</v>
      </c>
      <c r="BQ27" s="324">
        <f t="shared" si="30"/>
        <v>0</v>
      </c>
      <c r="BR27" s="324">
        <f t="shared" si="31"/>
        <v>0</v>
      </c>
      <c r="BS27" s="324">
        <f t="shared" si="32"/>
        <v>0</v>
      </c>
      <c r="BT27" s="332">
        <f t="shared" si="33"/>
        <v>0</v>
      </c>
    </row>
    <row r="28" spans="1:72" ht="14.25">
      <c r="A28" s="3368"/>
      <c r="B28" s="3368"/>
      <c r="C28" s="3371"/>
      <c r="D28" s="217"/>
      <c r="E28" s="324">
        <f t="shared" si="5"/>
        <v>0</v>
      </c>
      <c r="F28" s="325"/>
      <c r="G28" s="326">
        <f t="shared" si="6"/>
        <v>0</v>
      </c>
      <c r="H28" s="327">
        <f t="shared" si="7"/>
        <v>0</v>
      </c>
      <c r="I28" s="3368"/>
      <c r="J28" s="328"/>
      <c r="K28" s="328"/>
      <c r="L28" s="328"/>
      <c r="M28" s="328"/>
      <c r="N28" s="328"/>
      <c r="O28" s="328"/>
      <c r="P28" s="328"/>
      <c r="Q28" s="328"/>
      <c r="R28" s="328"/>
      <c r="S28" s="328"/>
      <c r="T28" s="328"/>
      <c r="U28" s="328"/>
      <c r="V28" s="328"/>
      <c r="W28" s="328"/>
      <c r="X28" s="328"/>
      <c r="Y28" s="328"/>
      <c r="Z28" s="328"/>
      <c r="AA28" s="328"/>
      <c r="AB28" s="328"/>
      <c r="AC28" s="324">
        <f t="shared" si="8"/>
        <v>0</v>
      </c>
      <c r="AD28" s="329"/>
      <c r="AE28" s="329"/>
      <c r="AF28" s="329"/>
      <c r="AG28" s="329"/>
      <c r="AH28" s="329"/>
      <c r="AI28" s="329"/>
      <c r="AJ28" s="329"/>
      <c r="AK28" s="329"/>
      <c r="AL28" s="329"/>
      <c r="AM28" s="329"/>
      <c r="AN28" s="329"/>
      <c r="AO28" s="329"/>
      <c r="AP28" s="329"/>
      <c r="AQ28" s="329"/>
      <c r="AR28" s="329"/>
      <c r="AS28" s="329"/>
      <c r="AT28" s="330"/>
      <c r="AU28" s="8"/>
      <c r="AV28" s="2210">
        <f t="shared" si="9"/>
        <v>0</v>
      </c>
      <c r="AW28" s="2210">
        <f t="shared" si="10"/>
        <v>0</v>
      </c>
      <c r="AX28" s="2210">
        <f t="shared" si="11"/>
        <v>0</v>
      </c>
      <c r="AY28" s="331">
        <f t="shared" si="12"/>
        <v>0</v>
      </c>
      <c r="AZ28" s="324">
        <f t="shared" si="13"/>
        <v>0</v>
      </c>
      <c r="BA28" s="324">
        <f t="shared" si="14"/>
        <v>0</v>
      </c>
      <c r="BB28" s="324">
        <f t="shared" si="15"/>
        <v>0</v>
      </c>
      <c r="BC28" s="324">
        <f t="shared" si="16"/>
        <v>0</v>
      </c>
      <c r="BD28" s="324">
        <f t="shared" si="17"/>
        <v>0</v>
      </c>
      <c r="BE28" s="324">
        <f t="shared" si="18"/>
        <v>0</v>
      </c>
      <c r="BF28" s="324">
        <f t="shared" si="19"/>
        <v>0</v>
      </c>
      <c r="BG28" s="324">
        <f t="shared" si="20"/>
        <v>0</v>
      </c>
      <c r="BH28" s="324">
        <f t="shared" si="21"/>
        <v>0</v>
      </c>
      <c r="BI28" s="324">
        <f t="shared" si="22"/>
        <v>0</v>
      </c>
      <c r="BJ28" s="324">
        <f t="shared" si="23"/>
        <v>0</v>
      </c>
      <c r="BK28" s="324">
        <f t="shared" si="24"/>
        <v>0</v>
      </c>
      <c r="BL28" s="324">
        <f t="shared" si="25"/>
        <v>0</v>
      </c>
      <c r="BM28" s="324">
        <f t="shared" si="26"/>
        <v>0</v>
      </c>
      <c r="BN28" s="324">
        <f t="shared" si="27"/>
        <v>0</v>
      </c>
      <c r="BO28" s="324">
        <f t="shared" si="28"/>
        <v>0</v>
      </c>
      <c r="BP28" s="324">
        <f t="shared" si="29"/>
        <v>0</v>
      </c>
      <c r="BQ28" s="324">
        <f t="shared" si="30"/>
        <v>0</v>
      </c>
      <c r="BR28" s="324">
        <f t="shared" si="31"/>
        <v>0</v>
      </c>
      <c r="BS28" s="324">
        <f t="shared" si="32"/>
        <v>0</v>
      </c>
      <c r="BT28" s="332">
        <f t="shared" si="33"/>
        <v>0</v>
      </c>
    </row>
    <row r="29" spans="1:72" ht="14.25">
      <c r="A29" s="3368"/>
      <c r="B29" s="3368"/>
      <c r="C29" s="3371"/>
      <c r="D29" s="217"/>
      <c r="E29" s="324">
        <f t="shared" si="5"/>
        <v>0</v>
      </c>
      <c r="F29" s="325"/>
      <c r="G29" s="326">
        <f t="shared" si="6"/>
        <v>0</v>
      </c>
      <c r="H29" s="327">
        <f t="shared" si="7"/>
        <v>0</v>
      </c>
      <c r="I29" s="3368"/>
      <c r="J29" s="328"/>
      <c r="K29" s="328"/>
      <c r="L29" s="328"/>
      <c r="M29" s="328"/>
      <c r="N29" s="328"/>
      <c r="O29" s="328"/>
      <c r="P29" s="328"/>
      <c r="Q29" s="328"/>
      <c r="R29" s="328"/>
      <c r="S29" s="328"/>
      <c r="T29" s="328"/>
      <c r="U29" s="328"/>
      <c r="V29" s="328"/>
      <c r="W29" s="328"/>
      <c r="X29" s="328"/>
      <c r="Y29" s="328"/>
      <c r="Z29" s="328"/>
      <c r="AA29" s="328"/>
      <c r="AB29" s="328"/>
      <c r="AC29" s="324">
        <f t="shared" si="8"/>
        <v>0</v>
      </c>
      <c r="AD29" s="329"/>
      <c r="AE29" s="329"/>
      <c r="AF29" s="329"/>
      <c r="AG29" s="329"/>
      <c r="AH29" s="329"/>
      <c r="AI29" s="329"/>
      <c r="AJ29" s="329"/>
      <c r="AK29" s="329"/>
      <c r="AL29" s="329"/>
      <c r="AM29" s="329"/>
      <c r="AN29" s="329"/>
      <c r="AO29" s="329"/>
      <c r="AP29" s="329"/>
      <c r="AQ29" s="329"/>
      <c r="AR29" s="329"/>
      <c r="AS29" s="329"/>
      <c r="AT29" s="330"/>
      <c r="AU29" s="8"/>
      <c r="AV29" s="2210">
        <f t="shared" si="9"/>
        <v>0</v>
      </c>
      <c r="AW29" s="2210">
        <f t="shared" si="10"/>
        <v>0</v>
      </c>
      <c r="AX29" s="2210">
        <f t="shared" si="11"/>
        <v>0</v>
      </c>
      <c r="AY29" s="331">
        <f t="shared" si="12"/>
        <v>0</v>
      </c>
      <c r="AZ29" s="324">
        <f t="shared" si="13"/>
        <v>0</v>
      </c>
      <c r="BA29" s="324">
        <f t="shared" si="14"/>
        <v>0</v>
      </c>
      <c r="BB29" s="324">
        <f t="shared" si="15"/>
        <v>0</v>
      </c>
      <c r="BC29" s="324">
        <f t="shared" si="16"/>
        <v>0</v>
      </c>
      <c r="BD29" s="324">
        <f t="shared" si="17"/>
        <v>0</v>
      </c>
      <c r="BE29" s="324">
        <f t="shared" si="18"/>
        <v>0</v>
      </c>
      <c r="BF29" s="324">
        <f t="shared" si="19"/>
        <v>0</v>
      </c>
      <c r="BG29" s="324">
        <f t="shared" si="20"/>
        <v>0</v>
      </c>
      <c r="BH29" s="324">
        <f t="shared" si="21"/>
        <v>0</v>
      </c>
      <c r="BI29" s="324">
        <f t="shared" si="22"/>
        <v>0</v>
      </c>
      <c r="BJ29" s="324">
        <f t="shared" si="23"/>
        <v>0</v>
      </c>
      <c r="BK29" s="324">
        <f t="shared" si="24"/>
        <v>0</v>
      </c>
      <c r="BL29" s="324">
        <f t="shared" si="25"/>
        <v>0</v>
      </c>
      <c r="BM29" s="324">
        <f t="shared" si="26"/>
        <v>0</v>
      </c>
      <c r="BN29" s="324">
        <f t="shared" si="27"/>
        <v>0</v>
      </c>
      <c r="BO29" s="324">
        <f t="shared" si="28"/>
        <v>0</v>
      </c>
      <c r="BP29" s="324">
        <f t="shared" si="29"/>
        <v>0</v>
      </c>
      <c r="BQ29" s="324">
        <f t="shared" si="30"/>
        <v>0</v>
      </c>
      <c r="BR29" s="324">
        <f t="shared" si="31"/>
        <v>0</v>
      </c>
      <c r="BS29" s="324">
        <f t="shared" si="32"/>
        <v>0</v>
      </c>
      <c r="BT29" s="332">
        <f t="shared" si="33"/>
        <v>0</v>
      </c>
    </row>
    <row r="30" spans="1:72" ht="14.25">
      <c r="A30" s="297"/>
      <c r="B30" s="323"/>
      <c r="C30" s="3371"/>
      <c r="D30" s="217"/>
      <c r="E30" s="324">
        <f t="shared" si="5"/>
        <v>0</v>
      </c>
      <c r="F30" s="325"/>
      <c r="G30" s="326">
        <f t="shared" si="6"/>
        <v>0</v>
      </c>
      <c r="H30" s="327">
        <f t="shared" si="7"/>
        <v>0</v>
      </c>
      <c r="I30" s="328"/>
      <c r="J30" s="328"/>
      <c r="K30" s="328"/>
      <c r="L30" s="328"/>
      <c r="M30" s="328"/>
      <c r="N30" s="328"/>
      <c r="O30" s="328"/>
      <c r="P30" s="328"/>
      <c r="Q30" s="328"/>
      <c r="R30" s="328"/>
      <c r="S30" s="328"/>
      <c r="T30" s="328"/>
      <c r="U30" s="328"/>
      <c r="V30" s="328"/>
      <c r="W30" s="328"/>
      <c r="X30" s="328"/>
      <c r="Y30" s="328"/>
      <c r="Z30" s="328"/>
      <c r="AA30" s="328"/>
      <c r="AB30" s="328"/>
      <c r="AC30" s="324">
        <f t="shared" si="8"/>
        <v>0</v>
      </c>
      <c r="AD30" s="329"/>
      <c r="AE30" s="329"/>
      <c r="AF30" s="329"/>
      <c r="AG30" s="329"/>
      <c r="AH30" s="329"/>
      <c r="AI30" s="329"/>
      <c r="AJ30" s="329"/>
      <c r="AK30" s="329"/>
      <c r="AL30" s="329"/>
      <c r="AM30" s="329"/>
      <c r="AN30" s="329"/>
      <c r="AO30" s="329"/>
      <c r="AP30" s="329"/>
      <c r="AQ30" s="329"/>
      <c r="AR30" s="329"/>
      <c r="AS30" s="329"/>
      <c r="AT30" s="330"/>
      <c r="AU30" s="8"/>
      <c r="AV30" s="2210">
        <f t="shared" si="9"/>
        <v>0</v>
      </c>
      <c r="AW30" s="2210">
        <f t="shared" si="10"/>
        <v>0</v>
      </c>
      <c r="AX30" s="2210">
        <f t="shared" si="11"/>
        <v>0</v>
      </c>
      <c r="AY30" s="331">
        <f t="shared" si="12"/>
        <v>0</v>
      </c>
      <c r="AZ30" s="324">
        <f t="shared" si="13"/>
        <v>0</v>
      </c>
      <c r="BA30" s="324">
        <f t="shared" si="14"/>
        <v>0</v>
      </c>
      <c r="BB30" s="324">
        <f t="shared" si="15"/>
        <v>0</v>
      </c>
      <c r="BC30" s="324">
        <f t="shared" si="16"/>
        <v>0</v>
      </c>
      <c r="BD30" s="324">
        <f t="shared" si="17"/>
        <v>0</v>
      </c>
      <c r="BE30" s="324">
        <f t="shared" si="18"/>
        <v>0</v>
      </c>
      <c r="BF30" s="324">
        <f t="shared" si="19"/>
        <v>0</v>
      </c>
      <c r="BG30" s="324">
        <f t="shared" si="20"/>
        <v>0</v>
      </c>
      <c r="BH30" s="324">
        <f t="shared" si="21"/>
        <v>0</v>
      </c>
      <c r="BI30" s="324">
        <f t="shared" si="22"/>
        <v>0</v>
      </c>
      <c r="BJ30" s="324">
        <f t="shared" si="23"/>
        <v>0</v>
      </c>
      <c r="BK30" s="324">
        <f t="shared" si="24"/>
        <v>0</v>
      </c>
      <c r="BL30" s="324">
        <f t="shared" si="25"/>
        <v>0</v>
      </c>
      <c r="BM30" s="324">
        <f t="shared" si="26"/>
        <v>0</v>
      </c>
      <c r="BN30" s="324">
        <f t="shared" si="27"/>
        <v>0</v>
      </c>
      <c r="BO30" s="324">
        <f t="shared" si="28"/>
        <v>0</v>
      </c>
      <c r="BP30" s="324">
        <f t="shared" si="29"/>
        <v>0</v>
      </c>
      <c r="BQ30" s="324">
        <f t="shared" si="30"/>
        <v>0</v>
      </c>
      <c r="BR30" s="324">
        <f t="shared" si="31"/>
        <v>0</v>
      </c>
      <c r="BS30" s="324">
        <f t="shared" si="32"/>
        <v>0</v>
      </c>
      <c r="BT30" s="332">
        <f t="shared" si="33"/>
        <v>0</v>
      </c>
    </row>
    <row r="31" spans="1:72" ht="14.25">
      <c r="A31" s="3368"/>
      <c r="B31" s="3368"/>
      <c r="C31" s="3371"/>
      <c r="D31" s="217"/>
      <c r="E31" s="324">
        <f t="shared" si="5"/>
        <v>0</v>
      </c>
      <c r="F31" s="325"/>
      <c r="G31" s="326">
        <f t="shared" si="6"/>
        <v>0</v>
      </c>
      <c r="H31" s="327">
        <f t="shared" si="7"/>
        <v>0</v>
      </c>
      <c r="I31" s="3368"/>
      <c r="J31" s="328"/>
      <c r="K31" s="328"/>
      <c r="L31" s="328"/>
      <c r="M31" s="328"/>
      <c r="N31" s="328"/>
      <c r="O31" s="328"/>
      <c r="P31" s="328"/>
      <c r="Q31" s="328"/>
      <c r="R31" s="328"/>
      <c r="S31" s="328"/>
      <c r="T31" s="328"/>
      <c r="U31" s="328"/>
      <c r="V31" s="328"/>
      <c r="W31" s="328"/>
      <c r="X31" s="328"/>
      <c r="Y31" s="328"/>
      <c r="Z31" s="328"/>
      <c r="AA31" s="328"/>
      <c r="AB31" s="328"/>
      <c r="AC31" s="324">
        <f t="shared" si="8"/>
        <v>0</v>
      </c>
      <c r="AD31" s="329"/>
      <c r="AE31" s="329"/>
      <c r="AF31" s="329"/>
      <c r="AG31" s="329"/>
      <c r="AH31" s="329"/>
      <c r="AI31" s="329"/>
      <c r="AJ31" s="329"/>
      <c r="AK31" s="329"/>
      <c r="AL31" s="329"/>
      <c r="AM31" s="329"/>
      <c r="AN31" s="329"/>
      <c r="AO31" s="329"/>
      <c r="AP31" s="329"/>
      <c r="AQ31" s="329"/>
      <c r="AR31" s="329"/>
      <c r="AS31" s="329"/>
      <c r="AT31" s="330"/>
      <c r="AU31" s="8"/>
      <c r="AV31" s="2210">
        <f t="shared" si="9"/>
        <v>0</v>
      </c>
      <c r="AW31" s="2210">
        <f t="shared" si="10"/>
        <v>0</v>
      </c>
      <c r="AX31" s="2210">
        <f t="shared" si="11"/>
        <v>0</v>
      </c>
      <c r="AY31" s="331">
        <f t="shared" si="12"/>
        <v>0</v>
      </c>
      <c r="AZ31" s="324">
        <f t="shared" si="13"/>
        <v>0</v>
      </c>
      <c r="BA31" s="324">
        <f t="shared" si="14"/>
        <v>0</v>
      </c>
      <c r="BB31" s="324">
        <f t="shared" si="15"/>
        <v>0</v>
      </c>
      <c r="BC31" s="324">
        <f t="shared" si="16"/>
        <v>0</v>
      </c>
      <c r="BD31" s="324">
        <f t="shared" si="17"/>
        <v>0</v>
      </c>
      <c r="BE31" s="324">
        <f t="shared" si="18"/>
        <v>0</v>
      </c>
      <c r="BF31" s="324">
        <f t="shared" si="19"/>
        <v>0</v>
      </c>
      <c r="BG31" s="324">
        <f t="shared" si="20"/>
        <v>0</v>
      </c>
      <c r="BH31" s="324">
        <f t="shared" si="21"/>
        <v>0</v>
      </c>
      <c r="BI31" s="324">
        <f t="shared" si="22"/>
        <v>0</v>
      </c>
      <c r="BJ31" s="324">
        <f t="shared" si="23"/>
        <v>0</v>
      </c>
      <c r="BK31" s="324">
        <f t="shared" si="24"/>
        <v>0</v>
      </c>
      <c r="BL31" s="324">
        <f t="shared" si="25"/>
        <v>0</v>
      </c>
      <c r="BM31" s="324">
        <f t="shared" si="26"/>
        <v>0</v>
      </c>
      <c r="BN31" s="324">
        <f t="shared" si="27"/>
        <v>0</v>
      </c>
      <c r="BO31" s="324">
        <f t="shared" si="28"/>
        <v>0</v>
      </c>
      <c r="BP31" s="324">
        <f t="shared" si="29"/>
        <v>0</v>
      </c>
      <c r="BQ31" s="324">
        <f t="shared" si="30"/>
        <v>0</v>
      </c>
      <c r="BR31" s="324">
        <f t="shared" si="31"/>
        <v>0</v>
      </c>
      <c r="BS31" s="324">
        <f t="shared" si="32"/>
        <v>0</v>
      </c>
      <c r="BT31" s="332">
        <f t="shared" si="33"/>
        <v>0</v>
      </c>
    </row>
    <row r="32" spans="1:72" ht="14.25">
      <c r="A32" s="3368"/>
      <c r="B32" s="3368"/>
      <c r="C32" s="3371"/>
      <c r="D32" s="217"/>
      <c r="E32" s="324">
        <f t="shared" si="5"/>
        <v>0</v>
      </c>
      <c r="F32" s="325"/>
      <c r="G32" s="326">
        <f t="shared" si="6"/>
        <v>0</v>
      </c>
      <c r="H32" s="327">
        <f t="shared" si="7"/>
        <v>0</v>
      </c>
      <c r="I32" s="3368"/>
      <c r="J32" s="328"/>
      <c r="K32" s="328"/>
      <c r="L32" s="328"/>
      <c r="M32" s="328"/>
      <c r="N32" s="328"/>
      <c r="O32" s="328"/>
      <c r="P32" s="328"/>
      <c r="Q32" s="328"/>
      <c r="R32" s="328"/>
      <c r="S32" s="328"/>
      <c r="T32" s="328"/>
      <c r="U32" s="328"/>
      <c r="V32" s="328"/>
      <c r="W32" s="328"/>
      <c r="X32" s="328"/>
      <c r="Y32" s="328"/>
      <c r="Z32" s="328"/>
      <c r="AA32" s="328"/>
      <c r="AB32" s="328"/>
      <c r="AC32" s="324">
        <f t="shared" si="8"/>
        <v>0</v>
      </c>
      <c r="AD32" s="329"/>
      <c r="AE32" s="329"/>
      <c r="AF32" s="329"/>
      <c r="AG32" s="329"/>
      <c r="AH32" s="329"/>
      <c r="AI32" s="329"/>
      <c r="AJ32" s="329"/>
      <c r="AK32" s="329"/>
      <c r="AL32" s="329"/>
      <c r="AM32" s="329"/>
      <c r="AN32" s="329"/>
      <c r="AO32" s="329"/>
      <c r="AP32" s="329"/>
      <c r="AQ32" s="329"/>
      <c r="AR32" s="329"/>
      <c r="AS32" s="329"/>
      <c r="AT32" s="330"/>
      <c r="AU32" s="8"/>
      <c r="AV32" s="2210">
        <f t="shared" si="9"/>
        <v>0</v>
      </c>
      <c r="AW32" s="2210">
        <f t="shared" si="10"/>
        <v>0</v>
      </c>
      <c r="AX32" s="2210">
        <f t="shared" si="11"/>
        <v>0</v>
      </c>
      <c r="AY32" s="331">
        <f t="shared" si="12"/>
        <v>0</v>
      </c>
      <c r="AZ32" s="324">
        <f t="shared" si="13"/>
        <v>0</v>
      </c>
      <c r="BA32" s="324">
        <f t="shared" si="14"/>
        <v>0</v>
      </c>
      <c r="BB32" s="324">
        <f t="shared" si="15"/>
        <v>0</v>
      </c>
      <c r="BC32" s="324">
        <f t="shared" si="16"/>
        <v>0</v>
      </c>
      <c r="BD32" s="324">
        <f t="shared" si="17"/>
        <v>0</v>
      </c>
      <c r="BE32" s="324">
        <f t="shared" si="18"/>
        <v>0</v>
      </c>
      <c r="BF32" s="324">
        <f t="shared" si="19"/>
        <v>0</v>
      </c>
      <c r="BG32" s="324">
        <f t="shared" si="20"/>
        <v>0</v>
      </c>
      <c r="BH32" s="324">
        <f t="shared" si="21"/>
        <v>0</v>
      </c>
      <c r="BI32" s="324">
        <f t="shared" si="22"/>
        <v>0</v>
      </c>
      <c r="BJ32" s="324">
        <f t="shared" si="23"/>
        <v>0</v>
      </c>
      <c r="BK32" s="324">
        <f t="shared" si="24"/>
        <v>0</v>
      </c>
      <c r="BL32" s="324">
        <f t="shared" si="25"/>
        <v>0</v>
      </c>
      <c r="BM32" s="324">
        <f t="shared" si="26"/>
        <v>0</v>
      </c>
      <c r="BN32" s="324">
        <f t="shared" si="27"/>
        <v>0</v>
      </c>
      <c r="BO32" s="324">
        <f t="shared" si="28"/>
        <v>0</v>
      </c>
      <c r="BP32" s="324">
        <f t="shared" si="29"/>
        <v>0</v>
      </c>
      <c r="BQ32" s="324">
        <f t="shared" si="30"/>
        <v>0</v>
      </c>
      <c r="BR32" s="324">
        <f t="shared" si="31"/>
        <v>0</v>
      </c>
      <c r="BS32" s="324">
        <f t="shared" si="32"/>
        <v>0</v>
      </c>
      <c r="BT32" s="332">
        <f t="shared" si="33"/>
        <v>0</v>
      </c>
    </row>
    <row r="33" spans="1:72" ht="14.25">
      <c r="A33" s="3368"/>
      <c r="B33" s="3368"/>
      <c r="C33" s="491"/>
      <c r="D33" s="217"/>
      <c r="E33" s="324">
        <f t="shared" si="5"/>
        <v>0</v>
      </c>
      <c r="F33" s="325"/>
      <c r="G33" s="326">
        <f t="shared" si="6"/>
        <v>0</v>
      </c>
      <c r="H33" s="327">
        <f t="shared" si="7"/>
        <v>0</v>
      </c>
      <c r="I33" s="3368"/>
      <c r="J33" s="328"/>
      <c r="K33" s="328"/>
      <c r="L33" s="328"/>
      <c r="M33" s="328"/>
      <c r="N33" s="328"/>
      <c r="O33" s="328"/>
      <c r="P33" s="328"/>
      <c r="Q33" s="328"/>
      <c r="R33" s="328"/>
      <c r="S33" s="328"/>
      <c r="T33" s="328"/>
      <c r="U33" s="328"/>
      <c r="V33" s="328"/>
      <c r="W33" s="328"/>
      <c r="X33" s="328"/>
      <c r="Y33" s="328"/>
      <c r="Z33" s="328"/>
      <c r="AA33" s="328"/>
      <c r="AB33" s="328"/>
      <c r="AC33" s="324">
        <f t="shared" si="8"/>
        <v>0</v>
      </c>
      <c r="AD33" s="329"/>
      <c r="AE33" s="329"/>
      <c r="AF33" s="329"/>
      <c r="AG33" s="329"/>
      <c r="AH33" s="329"/>
      <c r="AI33" s="329"/>
      <c r="AJ33" s="329"/>
      <c r="AK33" s="329"/>
      <c r="AL33" s="329"/>
      <c r="AM33" s="329"/>
      <c r="AN33" s="329"/>
      <c r="AO33" s="329"/>
      <c r="AP33" s="329"/>
      <c r="AQ33" s="329"/>
      <c r="AR33" s="329"/>
      <c r="AS33" s="329"/>
      <c r="AT33" s="330"/>
      <c r="AU33" s="8"/>
      <c r="AV33" s="2210">
        <f t="shared" si="9"/>
        <v>0</v>
      </c>
      <c r="AW33" s="2210">
        <f t="shared" si="10"/>
        <v>0</v>
      </c>
      <c r="AX33" s="2210">
        <f t="shared" si="11"/>
        <v>0</v>
      </c>
      <c r="AY33" s="331">
        <f t="shared" si="12"/>
        <v>0</v>
      </c>
      <c r="AZ33" s="324">
        <f t="shared" si="13"/>
        <v>0</v>
      </c>
      <c r="BA33" s="324">
        <f t="shared" si="14"/>
        <v>0</v>
      </c>
      <c r="BB33" s="324">
        <f t="shared" si="15"/>
        <v>0</v>
      </c>
      <c r="BC33" s="324">
        <f t="shared" si="16"/>
        <v>0</v>
      </c>
      <c r="BD33" s="324">
        <f t="shared" si="17"/>
        <v>0</v>
      </c>
      <c r="BE33" s="324">
        <f t="shared" si="18"/>
        <v>0</v>
      </c>
      <c r="BF33" s="324">
        <f t="shared" si="19"/>
        <v>0</v>
      </c>
      <c r="BG33" s="324">
        <f t="shared" si="20"/>
        <v>0</v>
      </c>
      <c r="BH33" s="324">
        <f t="shared" si="21"/>
        <v>0</v>
      </c>
      <c r="BI33" s="324">
        <f t="shared" si="22"/>
        <v>0</v>
      </c>
      <c r="BJ33" s="324">
        <f t="shared" si="23"/>
        <v>0</v>
      </c>
      <c r="BK33" s="324">
        <f t="shared" si="24"/>
        <v>0</v>
      </c>
      <c r="BL33" s="324">
        <f t="shared" si="25"/>
        <v>0</v>
      </c>
      <c r="BM33" s="324">
        <f t="shared" si="26"/>
        <v>0</v>
      </c>
      <c r="BN33" s="324">
        <f t="shared" si="27"/>
        <v>0</v>
      </c>
      <c r="BO33" s="324">
        <f t="shared" si="28"/>
        <v>0</v>
      </c>
      <c r="BP33" s="324">
        <f t="shared" si="29"/>
        <v>0</v>
      </c>
      <c r="BQ33" s="324">
        <f t="shared" si="30"/>
        <v>0</v>
      </c>
      <c r="BR33" s="324">
        <f t="shared" si="31"/>
        <v>0</v>
      </c>
      <c r="BS33" s="324">
        <f t="shared" si="32"/>
        <v>0</v>
      </c>
      <c r="BT33" s="332">
        <f t="shared" si="33"/>
        <v>0</v>
      </c>
    </row>
    <row r="34" spans="1:72" ht="15.75">
      <c r="A34" s="3368"/>
      <c r="B34" s="3368"/>
      <c r="C34" s="3367"/>
      <c r="D34" s="217"/>
      <c r="E34" s="324">
        <f t="shared" si="5"/>
        <v>0</v>
      </c>
      <c r="F34" s="325"/>
      <c r="G34" s="326">
        <f t="shared" si="6"/>
        <v>0</v>
      </c>
      <c r="H34" s="327">
        <f t="shared" si="7"/>
        <v>0</v>
      </c>
      <c r="I34" s="3368"/>
      <c r="J34" s="328"/>
      <c r="K34" s="328"/>
      <c r="L34" s="328"/>
      <c r="M34" s="328"/>
      <c r="N34" s="328"/>
      <c r="O34" s="328"/>
      <c r="P34" s="328"/>
      <c r="Q34" s="328"/>
      <c r="R34" s="328"/>
      <c r="S34" s="328"/>
      <c r="T34" s="328"/>
      <c r="U34" s="328"/>
      <c r="V34" s="328"/>
      <c r="W34" s="328"/>
      <c r="X34" s="328"/>
      <c r="Y34" s="328"/>
      <c r="Z34" s="328"/>
      <c r="AA34" s="328"/>
      <c r="AB34" s="328"/>
      <c r="AC34" s="324">
        <f t="shared" si="8"/>
        <v>0</v>
      </c>
      <c r="AD34" s="329"/>
      <c r="AE34" s="329"/>
      <c r="AF34" s="329"/>
      <c r="AG34" s="329"/>
      <c r="AH34" s="329"/>
      <c r="AI34" s="329"/>
      <c r="AJ34" s="329"/>
      <c r="AK34" s="329"/>
      <c r="AL34" s="329"/>
      <c r="AM34" s="329"/>
      <c r="AN34" s="329"/>
      <c r="AO34" s="329"/>
      <c r="AP34" s="329"/>
      <c r="AQ34" s="329"/>
      <c r="AR34" s="329"/>
      <c r="AS34" s="329"/>
      <c r="AT34" s="330"/>
      <c r="AU34" s="8"/>
      <c r="AV34" s="2210">
        <f t="shared" si="9"/>
        <v>0</v>
      </c>
      <c r="AW34" s="2210">
        <f t="shared" si="10"/>
        <v>0</v>
      </c>
      <c r="AX34" s="2210">
        <f t="shared" si="11"/>
        <v>0</v>
      </c>
      <c r="AY34" s="331">
        <f t="shared" si="12"/>
        <v>0</v>
      </c>
      <c r="AZ34" s="324">
        <f t="shared" si="13"/>
        <v>0</v>
      </c>
      <c r="BA34" s="324">
        <f t="shared" si="14"/>
        <v>0</v>
      </c>
      <c r="BB34" s="324">
        <f t="shared" si="15"/>
        <v>0</v>
      </c>
      <c r="BC34" s="324">
        <f t="shared" si="16"/>
        <v>0</v>
      </c>
      <c r="BD34" s="324">
        <f t="shared" si="17"/>
        <v>0</v>
      </c>
      <c r="BE34" s="324">
        <f t="shared" si="18"/>
        <v>0</v>
      </c>
      <c r="BF34" s="324">
        <f t="shared" si="19"/>
        <v>0</v>
      </c>
      <c r="BG34" s="324">
        <f t="shared" si="20"/>
        <v>0</v>
      </c>
      <c r="BH34" s="324">
        <f t="shared" si="21"/>
        <v>0</v>
      </c>
      <c r="BI34" s="324">
        <f t="shared" si="22"/>
        <v>0</v>
      </c>
      <c r="BJ34" s="324">
        <f t="shared" si="23"/>
        <v>0</v>
      </c>
      <c r="BK34" s="324">
        <f t="shared" si="24"/>
        <v>0</v>
      </c>
      <c r="BL34" s="324">
        <f t="shared" si="25"/>
        <v>0</v>
      </c>
      <c r="BM34" s="324">
        <f t="shared" si="26"/>
        <v>0</v>
      </c>
      <c r="BN34" s="324">
        <f t="shared" si="27"/>
        <v>0</v>
      </c>
      <c r="BO34" s="324">
        <f t="shared" si="28"/>
        <v>0</v>
      </c>
      <c r="BP34" s="324">
        <f t="shared" si="29"/>
        <v>0</v>
      </c>
      <c r="BQ34" s="324">
        <f t="shared" si="30"/>
        <v>0</v>
      </c>
      <c r="BR34" s="324">
        <f t="shared" si="31"/>
        <v>0</v>
      </c>
      <c r="BS34" s="324">
        <f t="shared" si="32"/>
        <v>0</v>
      </c>
      <c r="BT34" s="332">
        <f t="shared" si="33"/>
        <v>0</v>
      </c>
    </row>
    <row r="35" spans="1:72" ht="15.75">
      <c r="A35" s="3368"/>
      <c r="B35" s="3368"/>
      <c r="C35" s="3367"/>
      <c r="D35" s="217"/>
      <c r="E35" s="324">
        <f t="shared" si="5"/>
        <v>0</v>
      </c>
      <c r="F35" s="325"/>
      <c r="G35" s="326">
        <f t="shared" si="6"/>
        <v>0</v>
      </c>
      <c r="H35" s="327">
        <f t="shared" si="7"/>
        <v>0</v>
      </c>
      <c r="I35" s="3368"/>
      <c r="J35" s="328"/>
      <c r="K35" s="328"/>
      <c r="L35" s="328"/>
      <c r="M35" s="328"/>
      <c r="N35" s="328"/>
      <c r="O35" s="328"/>
      <c r="P35" s="328"/>
      <c r="Q35" s="328"/>
      <c r="R35" s="328"/>
      <c r="S35" s="328"/>
      <c r="T35" s="328"/>
      <c r="U35" s="328"/>
      <c r="V35" s="328"/>
      <c r="W35" s="328"/>
      <c r="X35" s="328"/>
      <c r="Y35" s="328"/>
      <c r="Z35" s="328"/>
      <c r="AA35" s="328"/>
      <c r="AB35" s="328"/>
      <c r="AC35" s="324">
        <f t="shared" si="8"/>
        <v>0</v>
      </c>
      <c r="AD35" s="329"/>
      <c r="AE35" s="329"/>
      <c r="AF35" s="329"/>
      <c r="AG35" s="329"/>
      <c r="AH35" s="329"/>
      <c r="AI35" s="329"/>
      <c r="AJ35" s="329"/>
      <c r="AK35" s="329"/>
      <c r="AL35" s="329"/>
      <c r="AM35" s="329"/>
      <c r="AN35" s="329"/>
      <c r="AO35" s="329"/>
      <c r="AP35" s="329"/>
      <c r="AQ35" s="329"/>
      <c r="AR35" s="329"/>
      <c r="AS35" s="329"/>
      <c r="AT35" s="330"/>
      <c r="AU35" s="8"/>
      <c r="AV35" s="2210">
        <f t="shared" si="9"/>
        <v>0</v>
      </c>
      <c r="AW35" s="2210">
        <f t="shared" si="10"/>
        <v>0</v>
      </c>
      <c r="AX35" s="2210">
        <f t="shared" si="11"/>
        <v>0</v>
      </c>
      <c r="AY35" s="331">
        <f t="shared" si="12"/>
        <v>0</v>
      </c>
      <c r="AZ35" s="324">
        <f t="shared" si="13"/>
        <v>0</v>
      </c>
      <c r="BA35" s="324">
        <f t="shared" si="14"/>
        <v>0</v>
      </c>
      <c r="BB35" s="324">
        <f t="shared" si="15"/>
        <v>0</v>
      </c>
      <c r="BC35" s="324">
        <f t="shared" si="16"/>
        <v>0</v>
      </c>
      <c r="BD35" s="324">
        <f t="shared" si="17"/>
        <v>0</v>
      </c>
      <c r="BE35" s="324">
        <f t="shared" si="18"/>
        <v>0</v>
      </c>
      <c r="BF35" s="324">
        <f t="shared" si="19"/>
        <v>0</v>
      </c>
      <c r="BG35" s="324">
        <f t="shared" si="20"/>
        <v>0</v>
      </c>
      <c r="BH35" s="324">
        <f t="shared" si="21"/>
        <v>0</v>
      </c>
      <c r="BI35" s="324">
        <f t="shared" si="22"/>
        <v>0</v>
      </c>
      <c r="BJ35" s="324">
        <f t="shared" si="23"/>
        <v>0</v>
      </c>
      <c r="BK35" s="324">
        <f t="shared" si="24"/>
        <v>0</v>
      </c>
      <c r="BL35" s="324">
        <f t="shared" si="25"/>
        <v>0</v>
      </c>
      <c r="BM35" s="324">
        <f t="shared" si="26"/>
        <v>0</v>
      </c>
      <c r="BN35" s="324">
        <f t="shared" si="27"/>
        <v>0</v>
      </c>
      <c r="BO35" s="324">
        <f t="shared" si="28"/>
        <v>0</v>
      </c>
      <c r="BP35" s="324">
        <f t="shared" si="29"/>
        <v>0</v>
      </c>
      <c r="BQ35" s="324">
        <f t="shared" si="30"/>
        <v>0</v>
      </c>
      <c r="BR35" s="324">
        <f t="shared" si="31"/>
        <v>0</v>
      </c>
      <c r="BS35" s="324">
        <f t="shared" si="32"/>
        <v>0</v>
      </c>
      <c r="BT35" s="332">
        <f t="shared" si="33"/>
        <v>0</v>
      </c>
    </row>
    <row r="36" spans="1:72" ht="15.75">
      <c r="A36" s="3368"/>
      <c r="B36" s="3368"/>
      <c r="C36" s="3367"/>
      <c r="D36" s="217"/>
      <c r="E36" s="324">
        <f t="shared" si="5"/>
        <v>0</v>
      </c>
      <c r="F36" s="325"/>
      <c r="G36" s="326">
        <f t="shared" si="6"/>
        <v>0</v>
      </c>
      <c r="H36" s="327">
        <f t="shared" si="7"/>
        <v>0</v>
      </c>
      <c r="I36" s="3368"/>
      <c r="J36" s="328"/>
      <c r="K36" s="328"/>
      <c r="L36" s="328"/>
      <c r="M36" s="328"/>
      <c r="N36" s="328"/>
      <c r="O36" s="328"/>
      <c r="P36" s="328"/>
      <c r="Q36" s="328"/>
      <c r="R36" s="328"/>
      <c r="S36" s="328"/>
      <c r="T36" s="328"/>
      <c r="U36" s="328"/>
      <c r="V36" s="328"/>
      <c r="W36" s="328"/>
      <c r="X36" s="328"/>
      <c r="Y36" s="328"/>
      <c r="Z36" s="328"/>
      <c r="AA36" s="328"/>
      <c r="AB36" s="328"/>
      <c r="AC36" s="324">
        <f t="shared" si="8"/>
        <v>0</v>
      </c>
      <c r="AD36" s="329"/>
      <c r="AE36" s="329"/>
      <c r="AF36" s="329"/>
      <c r="AG36" s="329"/>
      <c r="AH36" s="329"/>
      <c r="AI36" s="329"/>
      <c r="AJ36" s="329"/>
      <c r="AK36" s="329"/>
      <c r="AL36" s="329"/>
      <c r="AM36" s="329"/>
      <c r="AN36" s="329"/>
      <c r="AO36" s="329"/>
      <c r="AP36" s="329"/>
      <c r="AQ36" s="329"/>
      <c r="AR36" s="329"/>
      <c r="AS36" s="329"/>
      <c r="AT36" s="330"/>
      <c r="AU36" s="8"/>
      <c r="AV36" s="2210">
        <f t="shared" si="9"/>
        <v>0</v>
      </c>
      <c r="AW36" s="2210">
        <f t="shared" si="10"/>
        <v>0</v>
      </c>
      <c r="AX36" s="2210">
        <f t="shared" si="11"/>
        <v>0</v>
      </c>
      <c r="AY36" s="331">
        <f t="shared" si="12"/>
        <v>0</v>
      </c>
      <c r="AZ36" s="324">
        <f t="shared" si="13"/>
        <v>0</v>
      </c>
      <c r="BA36" s="324">
        <f t="shared" si="14"/>
        <v>0</v>
      </c>
      <c r="BB36" s="324">
        <f t="shared" si="15"/>
        <v>0</v>
      </c>
      <c r="BC36" s="324">
        <f t="shared" si="16"/>
        <v>0</v>
      </c>
      <c r="BD36" s="324">
        <f t="shared" si="17"/>
        <v>0</v>
      </c>
      <c r="BE36" s="324">
        <f t="shared" si="18"/>
        <v>0</v>
      </c>
      <c r="BF36" s="324">
        <f t="shared" si="19"/>
        <v>0</v>
      </c>
      <c r="BG36" s="324">
        <f t="shared" si="20"/>
        <v>0</v>
      </c>
      <c r="BH36" s="324">
        <f t="shared" si="21"/>
        <v>0</v>
      </c>
      <c r="BI36" s="324">
        <f t="shared" si="22"/>
        <v>0</v>
      </c>
      <c r="BJ36" s="324">
        <f t="shared" si="23"/>
        <v>0</v>
      </c>
      <c r="BK36" s="324">
        <f t="shared" si="24"/>
        <v>0</v>
      </c>
      <c r="BL36" s="324">
        <f t="shared" si="25"/>
        <v>0</v>
      </c>
      <c r="BM36" s="324">
        <f t="shared" si="26"/>
        <v>0</v>
      </c>
      <c r="BN36" s="324">
        <f t="shared" si="27"/>
        <v>0</v>
      </c>
      <c r="BO36" s="324">
        <f t="shared" si="28"/>
        <v>0</v>
      </c>
      <c r="BP36" s="324">
        <f t="shared" si="29"/>
        <v>0</v>
      </c>
      <c r="BQ36" s="324">
        <f t="shared" si="30"/>
        <v>0</v>
      </c>
      <c r="BR36" s="324">
        <f t="shared" si="31"/>
        <v>0</v>
      </c>
      <c r="BS36" s="324">
        <f t="shared" si="32"/>
        <v>0</v>
      </c>
      <c r="BT36" s="332">
        <f t="shared" si="33"/>
        <v>0</v>
      </c>
    </row>
    <row r="37" spans="1:72" ht="15.75">
      <c r="A37" s="3368"/>
      <c r="B37" s="3368"/>
      <c r="C37" s="3367"/>
      <c r="D37" s="217"/>
      <c r="E37" s="324">
        <f t="shared" si="5"/>
        <v>0</v>
      </c>
      <c r="F37" s="325"/>
      <c r="G37" s="326">
        <f t="shared" si="6"/>
        <v>0</v>
      </c>
      <c r="H37" s="327">
        <f t="shared" si="7"/>
        <v>0</v>
      </c>
      <c r="I37" s="3368"/>
      <c r="J37" s="328"/>
      <c r="K37" s="328"/>
      <c r="L37" s="328"/>
      <c r="M37" s="328"/>
      <c r="N37" s="328"/>
      <c r="O37" s="328"/>
      <c r="P37" s="328"/>
      <c r="Q37" s="328"/>
      <c r="R37" s="328"/>
      <c r="S37" s="328"/>
      <c r="T37" s="328"/>
      <c r="U37" s="328"/>
      <c r="V37" s="328"/>
      <c r="W37" s="328"/>
      <c r="X37" s="328"/>
      <c r="Y37" s="328"/>
      <c r="Z37" s="328"/>
      <c r="AA37" s="328"/>
      <c r="AB37" s="328"/>
      <c r="AC37" s="324">
        <f t="shared" si="8"/>
        <v>0</v>
      </c>
      <c r="AD37" s="329"/>
      <c r="AE37" s="329"/>
      <c r="AF37" s="329"/>
      <c r="AG37" s="329"/>
      <c r="AH37" s="329"/>
      <c r="AI37" s="329"/>
      <c r="AJ37" s="329"/>
      <c r="AK37" s="329"/>
      <c r="AL37" s="329"/>
      <c r="AM37" s="329"/>
      <c r="AN37" s="329"/>
      <c r="AO37" s="329"/>
      <c r="AP37" s="329"/>
      <c r="AQ37" s="329"/>
      <c r="AR37" s="329"/>
      <c r="AS37" s="329"/>
      <c r="AT37" s="330"/>
      <c r="AU37" s="8"/>
      <c r="AV37" s="2210">
        <f t="shared" si="9"/>
        <v>0</v>
      </c>
      <c r="AW37" s="2210">
        <f t="shared" si="10"/>
        <v>0</v>
      </c>
      <c r="AX37" s="2210">
        <f t="shared" si="11"/>
        <v>0</v>
      </c>
      <c r="AY37" s="331">
        <f t="shared" si="12"/>
        <v>0</v>
      </c>
      <c r="AZ37" s="324">
        <f t="shared" si="13"/>
        <v>0</v>
      </c>
      <c r="BA37" s="324">
        <f t="shared" si="14"/>
        <v>0</v>
      </c>
      <c r="BB37" s="324">
        <f t="shared" si="15"/>
        <v>0</v>
      </c>
      <c r="BC37" s="324">
        <f t="shared" si="16"/>
        <v>0</v>
      </c>
      <c r="BD37" s="324">
        <f t="shared" si="17"/>
        <v>0</v>
      </c>
      <c r="BE37" s="324">
        <f t="shared" si="18"/>
        <v>0</v>
      </c>
      <c r="BF37" s="324">
        <f t="shared" si="19"/>
        <v>0</v>
      </c>
      <c r="BG37" s="324">
        <f t="shared" si="20"/>
        <v>0</v>
      </c>
      <c r="BH37" s="324">
        <f t="shared" si="21"/>
        <v>0</v>
      </c>
      <c r="BI37" s="324">
        <f t="shared" si="22"/>
        <v>0</v>
      </c>
      <c r="BJ37" s="324">
        <f t="shared" si="23"/>
        <v>0</v>
      </c>
      <c r="BK37" s="324">
        <f t="shared" si="24"/>
        <v>0</v>
      </c>
      <c r="BL37" s="324">
        <f t="shared" si="25"/>
        <v>0</v>
      </c>
      <c r="BM37" s="324">
        <f t="shared" si="26"/>
        <v>0</v>
      </c>
      <c r="BN37" s="324">
        <f t="shared" si="27"/>
        <v>0</v>
      </c>
      <c r="BO37" s="324">
        <f t="shared" si="28"/>
        <v>0</v>
      </c>
      <c r="BP37" s="324">
        <f t="shared" si="29"/>
        <v>0</v>
      </c>
      <c r="BQ37" s="324">
        <f t="shared" si="30"/>
        <v>0</v>
      </c>
      <c r="BR37" s="324">
        <f t="shared" si="31"/>
        <v>0</v>
      </c>
      <c r="BS37" s="324">
        <f t="shared" si="32"/>
        <v>0</v>
      </c>
      <c r="BT37" s="332">
        <f t="shared" si="33"/>
        <v>0</v>
      </c>
    </row>
    <row r="38" spans="1:72" ht="15.75">
      <c r="A38" s="3368"/>
      <c r="B38" s="3368"/>
      <c r="C38" s="3367"/>
      <c r="D38" s="217"/>
      <c r="E38" s="324">
        <f t="shared" si="5"/>
        <v>0</v>
      </c>
      <c r="F38" s="325"/>
      <c r="G38" s="326">
        <f t="shared" si="6"/>
        <v>0</v>
      </c>
      <c r="H38" s="327">
        <f t="shared" si="7"/>
        <v>0</v>
      </c>
      <c r="I38" s="3368"/>
      <c r="J38" s="328"/>
      <c r="K38" s="328"/>
      <c r="L38" s="328"/>
      <c r="M38" s="328"/>
      <c r="N38" s="328"/>
      <c r="O38" s="328"/>
      <c r="P38" s="328"/>
      <c r="Q38" s="328"/>
      <c r="R38" s="328"/>
      <c r="S38" s="328"/>
      <c r="T38" s="328"/>
      <c r="U38" s="328"/>
      <c r="V38" s="328"/>
      <c r="W38" s="328"/>
      <c r="X38" s="328"/>
      <c r="Y38" s="328"/>
      <c r="Z38" s="328"/>
      <c r="AA38" s="328"/>
      <c r="AB38" s="328"/>
      <c r="AC38" s="324">
        <f t="shared" si="8"/>
        <v>0</v>
      </c>
      <c r="AD38" s="329"/>
      <c r="AE38" s="329"/>
      <c r="AF38" s="329"/>
      <c r="AG38" s="329"/>
      <c r="AH38" s="329"/>
      <c r="AI38" s="329"/>
      <c r="AJ38" s="329"/>
      <c r="AK38" s="329"/>
      <c r="AL38" s="329"/>
      <c r="AM38" s="329"/>
      <c r="AN38" s="329"/>
      <c r="AO38" s="329"/>
      <c r="AP38" s="329"/>
      <c r="AQ38" s="329"/>
      <c r="AR38" s="329"/>
      <c r="AS38" s="329"/>
      <c r="AT38" s="330"/>
      <c r="AU38" s="8"/>
      <c r="AV38" s="2210">
        <f t="shared" si="9"/>
        <v>0</v>
      </c>
      <c r="AW38" s="2210">
        <f t="shared" si="10"/>
        <v>0</v>
      </c>
      <c r="AX38" s="2210">
        <f t="shared" si="11"/>
        <v>0</v>
      </c>
      <c r="AY38" s="331">
        <f t="shared" si="12"/>
        <v>0</v>
      </c>
      <c r="AZ38" s="324">
        <f t="shared" si="13"/>
        <v>0</v>
      </c>
      <c r="BA38" s="324">
        <f t="shared" si="14"/>
        <v>0</v>
      </c>
      <c r="BB38" s="324">
        <f t="shared" si="15"/>
        <v>0</v>
      </c>
      <c r="BC38" s="324">
        <f t="shared" si="16"/>
        <v>0</v>
      </c>
      <c r="BD38" s="324">
        <f t="shared" si="17"/>
        <v>0</v>
      </c>
      <c r="BE38" s="324">
        <f t="shared" si="18"/>
        <v>0</v>
      </c>
      <c r="BF38" s="324">
        <f t="shared" si="19"/>
        <v>0</v>
      </c>
      <c r="BG38" s="324">
        <f t="shared" si="20"/>
        <v>0</v>
      </c>
      <c r="BH38" s="324">
        <f t="shared" si="21"/>
        <v>0</v>
      </c>
      <c r="BI38" s="324">
        <f t="shared" si="22"/>
        <v>0</v>
      </c>
      <c r="BJ38" s="324">
        <f t="shared" si="23"/>
        <v>0</v>
      </c>
      <c r="BK38" s="324">
        <f t="shared" si="24"/>
        <v>0</v>
      </c>
      <c r="BL38" s="324">
        <f t="shared" si="25"/>
        <v>0</v>
      </c>
      <c r="BM38" s="324">
        <f t="shared" si="26"/>
        <v>0</v>
      </c>
      <c r="BN38" s="324">
        <f t="shared" si="27"/>
        <v>0</v>
      </c>
      <c r="BO38" s="324">
        <f t="shared" si="28"/>
        <v>0</v>
      </c>
      <c r="BP38" s="324">
        <f t="shared" si="29"/>
        <v>0</v>
      </c>
      <c r="BQ38" s="324">
        <f t="shared" si="30"/>
        <v>0</v>
      </c>
      <c r="BR38" s="324">
        <f t="shared" si="31"/>
        <v>0</v>
      </c>
      <c r="BS38" s="324">
        <f t="shared" si="32"/>
        <v>0</v>
      </c>
      <c r="BT38" s="332">
        <f t="shared" si="33"/>
        <v>0</v>
      </c>
    </row>
    <row r="39" spans="1:72" ht="14.25">
      <c r="A39" s="297"/>
      <c r="B39" s="323"/>
      <c r="C39" s="323"/>
      <c r="D39" s="2215"/>
      <c r="E39" s="324">
        <f t="shared" si="5"/>
        <v>0</v>
      </c>
      <c r="F39" s="325"/>
      <c r="G39" s="326">
        <f t="shared" si="6"/>
        <v>0</v>
      </c>
      <c r="H39" s="327">
        <f t="shared" si="7"/>
        <v>0</v>
      </c>
      <c r="I39" s="328"/>
      <c r="J39" s="328"/>
      <c r="K39" s="328"/>
      <c r="L39" s="328"/>
      <c r="M39" s="328"/>
      <c r="N39" s="328"/>
      <c r="O39" s="328"/>
      <c r="P39" s="328"/>
      <c r="Q39" s="328"/>
      <c r="R39" s="328"/>
      <c r="S39" s="328"/>
      <c r="T39" s="328"/>
      <c r="U39" s="328"/>
      <c r="V39" s="328"/>
      <c r="W39" s="328"/>
      <c r="X39" s="328"/>
      <c r="Y39" s="328"/>
      <c r="Z39" s="328"/>
      <c r="AA39" s="328"/>
      <c r="AB39" s="328"/>
      <c r="AC39" s="324">
        <f t="shared" si="8"/>
        <v>0</v>
      </c>
      <c r="AD39" s="329"/>
      <c r="AE39" s="329"/>
      <c r="AF39" s="329"/>
      <c r="AG39" s="329"/>
      <c r="AH39" s="329"/>
      <c r="AI39" s="329"/>
      <c r="AJ39" s="329"/>
      <c r="AK39" s="329"/>
      <c r="AL39" s="329"/>
      <c r="AM39" s="329"/>
      <c r="AN39" s="329"/>
      <c r="AO39" s="329"/>
      <c r="AP39" s="329"/>
      <c r="AQ39" s="329"/>
      <c r="AR39" s="329"/>
      <c r="AS39" s="329"/>
      <c r="AT39" s="330"/>
      <c r="AU39" s="8"/>
      <c r="AV39" s="2210">
        <f t="shared" si="9"/>
        <v>0</v>
      </c>
      <c r="AW39" s="2210">
        <f t="shared" si="10"/>
        <v>0</v>
      </c>
      <c r="AX39" s="2210">
        <f t="shared" si="11"/>
        <v>0</v>
      </c>
      <c r="AY39" s="331">
        <f t="shared" si="12"/>
        <v>0</v>
      </c>
      <c r="AZ39" s="324">
        <f t="shared" si="13"/>
        <v>0</v>
      </c>
      <c r="BA39" s="324">
        <f t="shared" si="14"/>
        <v>0</v>
      </c>
      <c r="BB39" s="324">
        <f t="shared" si="15"/>
        <v>0</v>
      </c>
      <c r="BC39" s="324">
        <f t="shared" si="16"/>
        <v>0</v>
      </c>
      <c r="BD39" s="324">
        <f t="shared" si="17"/>
        <v>0</v>
      </c>
      <c r="BE39" s="324">
        <f t="shared" si="18"/>
        <v>0</v>
      </c>
      <c r="BF39" s="324">
        <f t="shared" si="19"/>
        <v>0</v>
      </c>
      <c r="BG39" s="324">
        <f t="shared" si="20"/>
        <v>0</v>
      </c>
      <c r="BH39" s="324">
        <f t="shared" si="21"/>
        <v>0</v>
      </c>
      <c r="BI39" s="324">
        <f t="shared" si="22"/>
        <v>0</v>
      </c>
      <c r="BJ39" s="324">
        <f t="shared" si="23"/>
        <v>0</v>
      </c>
      <c r="BK39" s="324">
        <f t="shared" si="24"/>
        <v>0</v>
      </c>
      <c r="BL39" s="324">
        <f t="shared" si="25"/>
        <v>0</v>
      </c>
      <c r="BM39" s="324">
        <f t="shared" si="26"/>
        <v>0</v>
      </c>
      <c r="BN39" s="324">
        <f t="shared" si="27"/>
        <v>0</v>
      </c>
      <c r="BO39" s="324">
        <f t="shared" si="28"/>
        <v>0</v>
      </c>
      <c r="BP39" s="324">
        <f t="shared" si="29"/>
        <v>0</v>
      </c>
      <c r="BQ39" s="324">
        <f t="shared" si="30"/>
        <v>0</v>
      </c>
      <c r="BR39" s="324">
        <f t="shared" si="31"/>
        <v>0</v>
      </c>
      <c r="BS39" s="324">
        <f t="shared" si="32"/>
        <v>0</v>
      </c>
      <c r="BT39" s="332">
        <f t="shared" si="33"/>
        <v>0</v>
      </c>
    </row>
    <row r="40" spans="1:72" ht="14.25">
      <c r="A40" s="297"/>
      <c r="B40" s="323"/>
      <c r="C40" s="323"/>
      <c r="D40" s="2215"/>
      <c r="E40" s="324">
        <f t="shared" si="5"/>
        <v>0</v>
      </c>
      <c r="F40" s="325"/>
      <c r="G40" s="326">
        <f t="shared" si="6"/>
        <v>0</v>
      </c>
      <c r="H40" s="327">
        <f t="shared" si="7"/>
        <v>0</v>
      </c>
      <c r="I40" s="328"/>
      <c r="J40" s="328"/>
      <c r="K40" s="328"/>
      <c r="L40" s="328"/>
      <c r="M40" s="328"/>
      <c r="N40" s="328"/>
      <c r="O40" s="328"/>
      <c r="P40" s="328"/>
      <c r="Q40" s="328"/>
      <c r="R40" s="328"/>
      <c r="S40" s="328"/>
      <c r="T40" s="328"/>
      <c r="U40" s="328"/>
      <c r="V40" s="328"/>
      <c r="W40" s="328"/>
      <c r="X40" s="328"/>
      <c r="Y40" s="328"/>
      <c r="Z40" s="328"/>
      <c r="AA40" s="328"/>
      <c r="AB40" s="328"/>
      <c r="AC40" s="324">
        <f t="shared" si="8"/>
        <v>0</v>
      </c>
      <c r="AD40" s="329"/>
      <c r="AE40" s="329"/>
      <c r="AF40" s="329"/>
      <c r="AG40" s="329"/>
      <c r="AH40" s="329"/>
      <c r="AI40" s="329"/>
      <c r="AJ40" s="329"/>
      <c r="AK40" s="329"/>
      <c r="AL40" s="329"/>
      <c r="AM40" s="329"/>
      <c r="AN40" s="329"/>
      <c r="AO40" s="329"/>
      <c r="AP40" s="329"/>
      <c r="AQ40" s="329"/>
      <c r="AR40" s="329"/>
      <c r="AS40" s="329"/>
      <c r="AT40" s="330"/>
      <c r="AU40" s="8"/>
      <c r="AV40" s="2210">
        <f t="shared" si="9"/>
        <v>0</v>
      </c>
      <c r="AW40" s="2210">
        <f t="shared" si="10"/>
        <v>0</v>
      </c>
      <c r="AX40" s="2210">
        <f t="shared" si="11"/>
        <v>0</v>
      </c>
      <c r="AY40" s="331">
        <f t="shared" si="12"/>
        <v>0</v>
      </c>
      <c r="AZ40" s="324">
        <f t="shared" si="13"/>
        <v>0</v>
      </c>
      <c r="BA40" s="324">
        <f t="shared" si="14"/>
        <v>0</v>
      </c>
      <c r="BB40" s="324">
        <f t="shared" si="15"/>
        <v>0</v>
      </c>
      <c r="BC40" s="324">
        <f t="shared" si="16"/>
        <v>0</v>
      </c>
      <c r="BD40" s="324">
        <f t="shared" si="17"/>
        <v>0</v>
      </c>
      <c r="BE40" s="324">
        <f t="shared" si="18"/>
        <v>0</v>
      </c>
      <c r="BF40" s="324">
        <f t="shared" si="19"/>
        <v>0</v>
      </c>
      <c r="BG40" s="324">
        <f t="shared" si="20"/>
        <v>0</v>
      </c>
      <c r="BH40" s="324">
        <f t="shared" si="21"/>
        <v>0</v>
      </c>
      <c r="BI40" s="324">
        <f t="shared" si="22"/>
        <v>0</v>
      </c>
      <c r="BJ40" s="324">
        <f t="shared" si="23"/>
        <v>0</v>
      </c>
      <c r="BK40" s="324">
        <f t="shared" si="24"/>
        <v>0</v>
      </c>
      <c r="BL40" s="324">
        <f t="shared" si="25"/>
        <v>0</v>
      </c>
      <c r="BM40" s="324">
        <f t="shared" si="26"/>
        <v>0</v>
      </c>
      <c r="BN40" s="324">
        <f t="shared" si="27"/>
        <v>0</v>
      </c>
      <c r="BO40" s="324">
        <f t="shared" si="28"/>
        <v>0</v>
      </c>
      <c r="BP40" s="324">
        <f t="shared" si="29"/>
        <v>0</v>
      </c>
      <c r="BQ40" s="324">
        <f t="shared" si="30"/>
        <v>0</v>
      </c>
      <c r="BR40" s="324">
        <f t="shared" si="31"/>
        <v>0</v>
      </c>
      <c r="BS40" s="324">
        <f t="shared" si="32"/>
        <v>0</v>
      </c>
      <c r="BT40" s="332">
        <f t="shared" si="33"/>
        <v>0</v>
      </c>
    </row>
    <row r="41" spans="1:72" ht="14.25">
      <c r="A41" s="297"/>
      <c r="B41" s="323"/>
      <c r="C41" s="323"/>
      <c r="D41" s="2215"/>
      <c r="E41" s="324">
        <f t="shared" si="5"/>
        <v>0</v>
      </c>
      <c r="F41" s="325"/>
      <c r="G41" s="326">
        <f t="shared" si="6"/>
        <v>0</v>
      </c>
      <c r="H41" s="327">
        <f t="shared" si="7"/>
        <v>0</v>
      </c>
      <c r="I41" s="328"/>
      <c r="J41" s="328"/>
      <c r="K41" s="328"/>
      <c r="L41" s="328"/>
      <c r="M41" s="328"/>
      <c r="N41" s="328"/>
      <c r="O41" s="328"/>
      <c r="P41" s="328"/>
      <c r="Q41" s="328"/>
      <c r="R41" s="328"/>
      <c r="S41" s="328"/>
      <c r="T41" s="328"/>
      <c r="U41" s="328"/>
      <c r="V41" s="328"/>
      <c r="W41" s="328"/>
      <c r="X41" s="328"/>
      <c r="Y41" s="328"/>
      <c r="Z41" s="328"/>
      <c r="AA41" s="328"/>
      <c r="AB41" s="328"/>
      <c r="AC41" s="324">
        <f t="shared" si="8"/>
        <v>0</v>
      </c>
      <c r="AD41" s="329"/>
      <c r="AE41" s="329"/>
      <c r="AF41" s="329"/>
      <c r="AG41" s="329"/>
      <c r="AH41" s="329"/>
      <c r="AI41" s="329"/>
      <c r="AJ41" s="329"/>
      <c r="AK41" s="329"/>
      <c r="AL41" s="329"/>
      <c r="AM41" s="329"/>
      <c r="AN41" s="329"/>
      <c r="AO41" s="329"/>
      <c r="AP41" s="329"/>
      <c r="AQ41" s="329"/>
      <c r="AR41" s="329"/>
      <c r="AS41" s="329"/>
      <c r="AT41" s="330"/>
      <c r="AU41" s="8"/>
      <c r="AV41" s="2210">
        <f t="shared" si="9"/>
        <v>0</v>
      </c>
      <c r="AW41" s="2210">
        <f t="shared" si="10"/>
        <v>0</v>
      </c>
      <c r="AX41" s="2210">
        <f t="shared" si="11"/>
        <v>0</v>
      </c>
      <c r="AY41" s="331">
        <f t="shared" si="12"/>
        <v>0</v>
      </c>
      <c r="AZ41" s="324">
        <f t="shared" si="13"/>
        <v>0</v>
      </c>
      <c r="BA41" s="324">
        <f t="shared" si="14"/>
        <v>0</v>
      </c>
      <c r="BB41" s="324">
        <f t="shared" si="15"/>
        <v>0</v>
      </c>
      <c r="BC41" s="324">
        <f t="shared" si="16"/>
        <v>0</v>
      </c>
      <c r="BD41" s="324">
        <f t="shared" si="17"/>
        <v>0</v>
      </c>
      <c r="BE41" s="324">
        <f t="shared" si="18"/>
        <v>0</v>
      </c>
      <c r="BF41" s="324">
        <f t="shared" si="19"/>
        <v>0</v>
      </c>
      <c r="BG41" s="324">
        <f t="shared" si="20"/>
        <v>0</v>
      </c>
      <c r="BH41" s="324">
        <f t="shared" si="21"/>
        <v>0</v>
      </c>
      <c r="BI41" s="324">
        <f t="shared" si="22"/>
        <v>0</v>
      </c>
      <c r="BJ41" s="324">
        <f t="shared" si="23"/>
        <v>0</v>
      </c>
      <c r="BK41" s="324">
        <f t="shared" si="24"/>
        <v>0</v>
      </c>
      <c r="BL41" s="324">
        <f t="shared" si="25"/>
        <v>0</v>
      </c>
      <c r="BM41" s="324">
        <f t="shared" si="26"/>
        <v>0</v>
      </c>
      <c r="BN41" s="324">
        <f t="shared" si="27"/>
        <v>0</v>
      </c>
      <c r="BO41" s="324">
        <f t="shared" si="28"/>
        <v>0</v>
      </c>
      <c r="BP41" s="324">
        <f t="shared" si="29"/>
        <v>0</v>
      </c>
      <c r="BQ41" s="324">
        <f t="shared" si="30"/>
        <v>0</v>
      </c>
      <c r="BR41" s="324">
        <f t="shared" si="31"/>
        <v>0</v>
      </c>
      <c r="BS41" s="324">
        <f t="shared" si="32"/>
        <v>0</v>
      </c>
      <c r="BT41" s="332">
        <f t="shared" si="33"/>
        <v>0</v>
      </c>
    </row>
    <row r="42" spans="1:72" ht="14.25">
      <c r="A42" s="297"/>
      <c r="B42" s="323"/>
      <c r="C42" s="323"/>
      <c r="D42" s="2215"/>
      <c r="E42" s="324">
        <f t="shared" si="5"/>
        <v>0</v>
      </c>
      <c r="F42" s="325"/>
      <c r="G42" s="326">
        <f t="shared" si="6"/>
        <v>0</v>
      </c>
      <c r="H42" s="327">
        <f t="shared" si="7"/>
        <v>0</v>
      </c>
      <c r="I42" s="328"/>
      <c r="J42" s="328"/>
      <c r="K42" s="328"/>
      <c r="L42" s="328"/>
      <c r="M42" s="328"/>
      <c r="N42" s="328"/>
      <c r="O42" s="328"/>
      <c r="P42" s="328"/>
      <c r="Q42" s="328"/>
      <c r="R42" s="328"/>
      <c r="S42" s="328"/>
      <c r="T42" s="328"/>
      <c r="U42" s="328"/>
      <c r="V42" s="328"/>
      <c r="W42" s="328"/>
      <c r="X42" s="328"/>
      <c r="Y42" s="328"/>
      <c r="Z42" s="328"/>
      <c r="AA42" s="328"/>
      <c r="AB42" s="328"/>
      <c r="AC42" s="324">
        <f t="shared" si="8"/>
        <v>0</v>
      </c>
      <c r="AD42" s="329"/>
      <c r="AE42" s="329"/>
      <c r="AF42" s="329"/>
      <c r="AG42" s="329"/>
      <c r="AH42" s="329"/>
      <c r="AI42" s="329"/>
      <c r="AJ42" s="329"/>
      <c r="AK42" s="329"/>
      <c r="AL42" s="329"/>
      <c r="AM42" s="329"/>
      <c r="AN42" s="329"/>
      <c r="AO42" s="329"/>
      <c r="AP42" s="329"/>
      <c r="AQ42" s="329"/>
      <c r="AR42" s="329"/>
      <c r="AS42" s="329"/>
      <c r="AT42" s="330"/>
      <c r="AU42" s="8"/>
      <c r="AV42" s="2210">
        <f t="shared" si="9"/>
        <v>0</v>
      </c>
      <c r="AW42" s="2210">
        <f t="shared" si="10"/>
        <v>0</v>
      </c>
      <c r="AX42" s="2210">
        <f t="shared" si="11"/>
        <v>0</v>
      </c>
      <c r="AY42" s="331">
        <f t="shared" si="12"/>
        <v>0</v>
      </c>
      <c r="AZ42" s="324">
        <f t="shared" si="13"/>
        <v>0</v>
      </c>
      <c r="BA42" s="324">
        <f t="shared" si="14"/>
        <v>0</v>
      </c>
      <c r="BB42" s="324">
        <f t="shared" si="15"/>
        <v>0</v>
      </c>
      <c r="BC42" s="324">
        <f t="shared" si="16"/>
        <v>0</v>
      </c>
      <c r="BD42" s="324">
        <f t="shared" si="17"/>
        <v>0</v>
      </c>
      <c r="BE42" s="324">
        <f t="shared" si="18"/>
        <v>0</v>
      </c>
      <c r="BF42" s="324">
        <f t="shared" si="19"/>
        <v>0</v>
      </c>
      <c r="BG42" s="324">
        <f t="shared" si="20"/>
        <v>0</v>
      </c>
      <c r="BH42" s="324">
        <f t="shared" si="21"/>
        <v>0</v>
      </c>
      <c r="BI42" s="324">
        <f t="shared" si="22"/>
        <v>0</v>
      </c>
      <c r="BJ42" s="324">
        <f t="shared" si="23"/>
        <v>0</v>
      </c>
      <c r="BK42" s="324">
        <f t="shared" si="24"/>
        <v>0</v>
      </c>
      <c r="BL42" s="324">
        <f t="shared" si="25"/>
        <v>0</v>
      </c>
      <c r="BM42" s="324">
        <f t="shared" si="26"/>
        <v>0</v>
      </c>
      <c r="BN42" s="324">
        <f t="shared" si="27"/>
        <v>0</v>
      </c>
      <c r="BO42" s="324">
        <f t="shared" si="28"/>
        <v>0</v>
      </c>
      <c r="BP42" s="324">
        <f t="shared" si="29"/>
        <v>0</v>
      </c>
      <c r="BQ42" s="324">
        <f t="shared" si="30"/>
        <v>0</v>
      </c>
      <c r="BR42" s="324">
        <f t="shared" si="31"/>
        <v>0</v>
      </c>
      <c r="BS42" s="324">
        <f t="shared" si="32"/>
        <v>0</v>
      </c>
      <c r="BT42" s="332">
        <f t="shared" si="33"/>
        <v>0</v>
      </c>
    </row>
    <row r="43" spans="1:72" ht="14.25">
      <c r="A43" s="297"/>
      <c r="B43" s="323"/>
      <c r="C43" s="323"/>
      <c r="D43" s="2215"/>
      <c r="E43" s="324">
        <f t="shared" si="5"/>
        <v>0</v>
      </c>
      <c r="F43" s="325"/>
      <c r="G43" s="326">
        <f t="shared" si="6"/>
        <v>0</v>
      </c>
      <c r="H43" s="327">
        <f t="shared" si="7"/>
        <v>0</v>
      </c>
      <c r="I43" s="328"/>
      <c r="J43" s="328"/>
      <c r="K43" s="328"/>
      <c r="L43" s="328"/>
      <c r="M43" s="328"/>
      <c r="N43" s="328"/>
      <c r="O43" s="328"/>
      <c r="P43" s="328"/>
      <c r="Q43" s="328"/>
      <c r="R43" s="328"/>
      <c r="S43" s="328"/>
      <c r="T43" s="328"/>
      <c r="U43" s="328"/>
      <c r="V43" s="328"/>
      <c r="W43" s="328"/>
      <c r="X43" s="328"/>
      <c r="Y43" s="328"/>
      <c r="Z43" s="328"/>
      <c r="AA43" s="328"/>
      <c r="AB43" s="328"/>
      <c r="AC43" s="324">
        <f t="shared" si="8"/>
        <v>0</v>
      </c>
      <c r="AD43" s="329"/>
      <c r="AE43" s="329"/>
      <c r="AF43" s="329"/>
      <c r="AG43" s="329"/>
      <c r="AH43" s="329"/>
      <c r="AI43" s="329"/>
      <c r="AJ43" s="329"/>
      <c r="AK43" s="329"/>
      <c r="AL43" s="329"/>
      <c r="AM43" s="329"/>
      <c r="AN43" s="329"/>
      <c r="AO43" s="329"/>
      <c r="AP43" s="329"/>
      <c r="AQ43" s="329"/>
      <c r="AR43" s="329"/>
      <c r="AS43" s="329"/>
      <c r="AT43" s="330"/>
      <c r="AU43" s="8"/>
      <c r="AV43" s="2210">
        <f t="shared" si="9"/>
        <v>0</v>
      </c>
      <c r="AW43" s="2210">
        <f t="shared" si="10"/>
        <v>0</v>
      </c>
      <c r="AX43" s="2210">
        <f t="shared" si="11"/>
        <v>0</v>
      </c>
      <c r="AY43" s="331">
        <f t="shared" si="12"/>
        <v>0</v>
      </c>
      <c r="AZ43" s="324">
        <f t="shared" si="13"/>
        <v>0</v>
      </c>
      <c r="BA43" s="324">
        <f t="shared" si="14"/>
        <v>0</v>
      </c>
      <c r="BB43" s="324">
        <f t="shared" si="15"/>
        <v>0</v>
      </c>
      <c r="BC43" s="324">
        <f t="shared" si="16"/>
        <v>0</v>
      </c>
      <c r="BD43" s="324">
        <f t="shared" si="17"/>
        <v>0</v>
      </c>
      <c r="BE43" s="324">
        <f t="shared" si="18"/>
        <v>0</v>
      </c>
      <c r="BF43" s="324">
        <f t="shared" si="19"/>
        <v>0</v>
      </c>
      <c r="BG43" s="324">
        <f t="shared" si="20"/>
        <v>0</v>
      </c>
      <c r="BH43" s="324">
        <f t="shared" si="21"/>
        <v>0</v>
      </c>
      <c r="BI43" s="324">
        <f t="shared" si="22"/>
        <v>0</v>
      </c>
      <c r="BJ43" s="324">
        <f t="shared" si="23"/>
        <v>0</v>
      </c>
      <c r="BK43" s="324">
        <f t="shared" si="24"/>
        <v>0</v>
      </c>
      <c r="BL43" s="324">
        <f t="shared" si="25"/>
        <v>0</v>
      </c>
      <c r="BM43" s="324">
        <f t="shared" si="26"/>
        <v>0</v>
      </c>
      <c r="BN43" s="324">
        <f t="shared" si="27"/>
        <v>0</v>
      </c>
      <c r="BO43" s="324">
        <f t="shared" si="28"/>
        <v>0</v>
      </c>
      <c r="BP43" s="324">
        <f t="shared" si="29"/>
        <v>0</v>
      </c>
      <c r="BQ43" s="324">
        <f t="shared" si="30"/>
        <v>0</v>
      </c>
      <c r="BR43" s="324">
        <f t="shared" si="31"/>
        <v>0</v>
      </c>
      <c r="BS43" s="324">
        <f t="shared" si="32"/>
        <v>0</v>
      </c>
      <c r="BT43" s="332">
        <f t="shared" si="33"/>
        <v>0</v>
      </c>
    </row>
    <row r="44" spans="1:72" ht="14.25">
      <c r="A44" s="297"/>
      <c r="B44" s="323"/>
      <c r="C44" s="323"/>
      <c r="D44" s="2215"/>
      <c r="E44" s="324">
        <f t="shared" si="5"/>
        <v>0</v>
      </c>
      <c r="F44" s="325"/>
      <c r="G44" s="326">
        <f t="shared" si="6"/>
        <v>0</v>
      </c>
      <c r="H44" s="327">
        <f t="shared" si="7"/>
        <v>0</v>
      </c>
      <c r="I44" s="328"/>
      <c r="J44" s="328"/>
      <c r="K44" s="328"/>
      <c r="L44" s="328"/>
      <c r="M44" s="328"/>
      <c r="N44" s="328"/>
      <c r="O44" s="328"/>
      <c r="P44" s="328"/>
      <c r="Q44" s="328"/>
      <c r="R44" s="328"/>
      <c r="S44" s="328"/>
      <c r="T44" s="328"/>
      <c r="U44" s="328"/>
      <c r="V44" s="328"/>
      <c r="W44" s="328"/>
      <c r="X44" s="328"/>
      <c r="Y44" s="328"/>
      <c r="Z44" s="328"/>
      <c r="AA44" s="328"/>
      <c r="AB44" s="328"/>
      <c r="AC44" s="324">
        <f t="shared" si="8"/>
        <v>0</v>
      </c>
      <c r="AD44" s="329"/>
      <c r="AE44" s="329"/>
      <c r="AF44" s="329"/>
      <c r="AG44" s="329"/>
      <c r="AH44" s="329"/>
      <c r="AI44" s="329"/>
      <c r="AJ44" s="329"/>
      <c r="AK44" s="329"/>
      <c r="AL44" s="329"/>
      <c r="AM44" s="329"/>
      <c r="AN44" s="329"/>
      <c r="AO44" s="329"/>
      <c r="AP44" s="329"/>
      <c r="AQ44" s="329"/>
      <c r="AR44" s="329"/>
      <c r="AS44" s="329"/>
      <c r="AT44" s="330"/>
      <c r="AU44" s="8"/>
      <c r="AV44" s="2210">
        <f t="shared" si="9"/>
        <v>0</v>
      </c>
      <c r="AW44" s="2210">
        <f t="shared" si="10"/>
        <v>0</v>
      </c>
      <c r="AX44" s="2210">
        <f t="shared" si="11"/>
        <v>0</v>
      </c>
      <c r="AY44" s="331">
        <f t="shared" si="12"/>
        <v>0</v>
      </c>
      <c r="AZ44" s="324">
        <f t="shared" si="13"/>
        <v>0</v>
      </c>
      <c r="BA44" s="324">
        <f t="shared" si="14"/>
        <v>0</v>
      </c>
      <c r="BB44" s="324">
        <f t="shared" si="15"/>
        <v>0</v>
      </c>
      <c r="BC44" s="324">
        <f t="shared" si="16"/>
        <v>0</v>
      </c>
      <c r="BD44" s="324">
        <f t="shared" si="17"/>
        <v>0</v>
      </c>
      <c r="BE44" s="324">
        <f t="shared" si="18"/>
        <v>0</v>
      </c>
      <c r="BF44" s="324">
        <f t="shared" si="19"/>
        <v>0</v>
      </c>
      <c r="BG44" s="324">
        <f t="shared" si="20"/>
        <v>0</v>
      </c>
      <c r="BH44" s="324">
        <f t="shared" si="21"/>
        <v>0</v>
      </c>
      <c r="BI44" s="324">
        <f t="shared" si="22"/>
        <v>0</v>
      </c>
      <c r="BJ44" s="324">
        <f t="shared" si="23"/>
        <v>0</v>
      </c>
      <c r="BK44" s="324">
        <f t="shared" si="24"/>
        <v>0</v>
      </c>
      <c r="BL44" s="324">
        <f t="shared" si="25"/>
        <v>0</v>
      </c>
      <c r="BM44" s="324">
        <f t="shared" si="26"/>
        <v>0</v>
      </c>
      <c r="BN44" s="324">
        <f t="shared" si="27"/>
        <v>0</v>
      </c>
      <c r="BO44" s="324">
        <f t="shared" si="28"/>
        <v>0</v>
      </c>
      <c r="BP44" s="324">
        <f t="shared" si="29"/>
        <v>0</v>
      </c>
      <c r="BQ44" s="324">
        <f t="shared" si="30"/>
        <v>0</v>
      </c>
      <c r="BR44" s="324">
        <f t="shared" si="31"/>
        <v>0</v>
      </c>
      <c r="BS44" s="324">
        <f t="shared" si="32"/>
        <v>0</v>
      </c>
      <c r="BT44" s="332">
        <f t="shared" si="33"/>
        <v>0</v>
      </c>
    </row>
    <row r="45" spans="1:72" ht="14.25">
      <c r="A45" s="297"/>
      <c r="B45" s="323"/>
      <c r="C45" s="323"/>
      <c r="D45" s="2215"/>
      <c r="E45" s="324">
        <f t="shared" si="5"/>
        <v>0</v>
      </c>
      <c r="F45" s="325"/>
      <c r="G45" s="326">
        <f t="shared" si="6"/>
        <v>0</v>
      </c>
      <c r="H45" s="327">
        <f t="shared" si="7"/>
        <v>0</v>
      </c>
      <c r="I45" s="328"/>
      <c r="J45" s="328"/>
      <c r="K45" s="328"/>
      <c r="L45" s="328"/>
      <c r="M45" s="328"/>
      <c r="N45" s="328"/>
      <c r="O45" s="328"/>
      <c r="P45" s="328"/>
      <c r="Q45" s="328"/>
      <c r="R45" s="328"/>
      <c r="S45" s="328"/>
      <c r="T45" s="328"/>
      <c r="U45" s="328"/>
      <c r="V45" s="328"/>
      <c r="W45" s="328"/>
      <c r="X45" s="328"/>
      <c r="Y45" s="328"/>
      <c r="Z45" s="328"/>
      <c r="AA45" s="328"/>
      <c r="AB45" s="328"/>
      <c r="AC45" s="324">
        <f t="shared" si="8"/>
        <v>0</v>
      </c>
      <c r="AD45" s="329"/>
      <c r="AE45" s="329"/>
      <c r="AF45" s="329"/>
      <c r="AG45" s="329"/>
      <c r="AH45" s="329"/>
      <c r="AI45" s="329"/>
      <c r="AJ45" s="329"/>
      <c r="AK45" s="329"/>
      <c r="AL45" s="329"/>
      <c r="AM45" s="329"/>
      <c r="AN45" s="329"/>
      <c r="AO45" s="329"/>
      <c r="AP45" s="329"/>
      <c r="AQ45" s="329"/>
      <c r="AR45" s="329"/>
      <c r="AS45" s="329"/>
      <c r="AT45" s="330"/>
      <c r="AU45" s="8"/>
      <c r="AV45" s="2210">
        <f t="shared" si="9"/>
        <v>0</v>
      </c>
      <c r="AW45" s="2210">
        <f t="shared" si="10"/>
        <v>0</v>
      </c>
      <c r="AX45" s="2210">
        <f t="shared" si="11"/>
        <v>0</v>
      </c>
      <c r="AY45" s="331">
        <f t="shared" si="12"/>
        <v>0</v>
      </c>
      <c r="AZ45" s="324">
        <f t="shared" si="13"/>
        <v>0</v>
      </c>
      <c r="BA45" s="324">
        <f t="shared" si="14"/>
        <v>0</v>
      </c>
      <c r="BB45" s="324">
        <f t="shared" si="15"/>
        <v>0</v>
      </c>
      <c r="BC45" s="324">
        <f t="shared" si="16"/>
        <v>0</v>
      </c>
      <c r="BD45" s="324">
        <f t="shared" si="17"/>
        <v>0</v>
      </c>
      <c r="BE45" s="324">
        <f t="shared" si="18"/>
        <v>0</v>
      </c>
      <c r="BF45" s="324">
        <f t="shared" si="19"/>
        <v>0</v>
      </c>
      <c r="BG45" s="324">
        <f t="shared" si="20"/>
        <v>0</v>
      </c>
      <c r="BH45" s="324">
        <f t="shared" si="21"/>
        <v>0</v>
      </c>
      <c r="BI45" s="324">
        <f t="shared" si="22"/>
        <v>0</v>
      </c>
      <c r="BJ45" s="324">
        <f t="shared" si="23"/>
        <v>0</v>
      </c>
      <c r="BK45" s="324">
        <f t="shared" si="24"/>
        <v>0</v>
      </c>
      <c r="BL45" s="324">
        <f t="shared" si="25"/>
        <v>0</v>
      </c>
      <c r="BM45" s="324">
        <f t="shared" si="26"/>
        <v>0</v>
      </c>
      <c r="BN45" s="324">
        <f t="shared" si="27"/>
        <v>0</v>
      </c>
      <c r="BO45" s="324">
        <f t="shared" si="28"/>
        <v>0</v>
      </c>
      <c r="BP45" s="324">
        <f t="shared" si="29"/>
        <v>0</v>
      </c>
      <c r="BQ45" s="324">
        <f t="shared" si="30"/>
        <v>0</v>
      </c>
      <c r="BR45" s="324">
        <f t="shared" si="31"/>
        <v>0</v>
      </c>
      <c r="BS45" s="324">
        <f t="shared" si="32"/>
        <v>0</v>
      </c>
      <c r="BT45" s="332">
        <f t="shared" si="33"/>
        <v>0</v>
      </c>
    </row>
    <row r="46" spans="1:72" ht="14.25">
      <c r="A46" s="297"/>
      <c r="B46" s="323"/>
      <c r="C46" s="323"/>
      <c r="D46" s="2215"/>
      <c r="E46" s="324">
        <f t="shared" si="5"/>
        <v>0</v>
      </c>
      <c r="F46" s="325"/>
      <c r="G46" s="326">
        <f t="shared" si="6"/>
        <v>0</v>
      </c>
      <c r="H46" s="327">
        <f t="shared" si="7"/>
        <v>0</v>
      </c>
      <c r="I46" s="328"/>
      <c r="J46" s="328"/>
      <c r="K46" s="328"/>
      <c r="L46" s="328"/>
      <c r="M46" s="328"/>
      <c r="N46" s="328"/>
      <c r="O46" s="328"/>
      <c r="P46" s="328"/>
      <c r="Q46" s="328"/>
      <c r="R46" s="328"/>
      <c r="S46" s="328"/>
      <c r="T46" s="328"/>
      <c r="U46" s="328"/>
      <c r="V46" s="328"/>
      <c r="W46" s="328"/>
      <c r="X46" s="328"/>
      <c r="Y46" s="328"/>
      <c r="Z46" s="328"/>
      <c r="AA46" s="328"/>
      <c r="AB46" s="328"/>
      <c r="AC46" s="324">
        <f t="shared" si="8"/>
        <v>0</v>
      </c>
      <c r="AD46" s="329"/>
      <c r="AE46" s="329"/>
      <c r="AF46" s="329"/>
      <c r="AG46" s="329"/>
      <c r="AH46" s="329"/>
      <c r="AI46" s="329"/>
      <c r="AJ46" s="329"/>
      <c r="AK46" s="329"/>
      <c r="AL46" s="329"/>
      <c r="AM46" s="329"/>
      <c r="AN46" s="329"/>
      <c r="AO46" s="329"/>
      <c r="AP46" s="329"/>
      <c r="AQ46" s="329"/>
      <c r="AR46" s="329"/>
      <c r="AS46" s="329"/>
      <c r="AT46" s="330"/>
      <c r="AU46" s="8"/>
      <c r="AV46" s="2210">
        <f t="shared" si="9"/>
        <v>0</v>
      </c>
      <c r="AW46" s="2210">
        <f t="shared" si="10"/>
        <v>0</v>
      </c>
      <c r="AX46" s="2210">
        <f t="shared" si="11"/>
        <v>0</v>
      </c>
      <c r="AY46" s="331">
        <f t="shared" si="12"/>
        <v>0</v>
      </c>
      <c r="AZ46" s="324">
        <f t="shared" si="13"/>
        <v>0</v>
      </c>
      <c r="BA46" s="324">
        <f t="shared" si="14"/>
        <v>0</v>
      </c>
      <c r="BB46" s="324">
        <f t="shared" si="15"/>
        <v>0</v>
      </c>
      <c r="BC46" s="324">
        <f t="shared" si="16"/>
        <v>0</v>
      </c>
      <c r="BD46" s="324">
        <f t="shared" si="17"/>
        <v>0</v>
      </c>
      <c r="BE46" s="324">
        <f t="shared" si="18"/>
        <v>0</v>
      </c>
      <c r="BF46" s="324">
        <f t="shared" si="19"/>
        <v>0</v>
      </c>
      <c r="BG46" s="324">
        <f t="shared" si="20"/>
        <v>0</v>
      </c>
      <c r="BH46" s="324">
        <f t="shared" si="21"/>
        <v>0</v>
      </c>
      <c r="BI46" s="324">
        <f t="shared" si="22"/>
        <v>0</v>
      </c>
      <c r="BJ46" s="324">
        <f t="shared" si="23"/>
        <v>0</v>
      </c>
      <c r="BK46" s="324">
        <f t="shared" si="24"/>
        <v>0</v>
      </c>
      <c r="BL46" s="324">
        <f t="shared" si="25"/>
        <v>0</v>
      </c>
      <c r="BM46" s="324">
        <f t="shared" si="26"/>
        <v>0</v>
      </c>
      <c r="BN46" s="324">
        <f t="shared" si="27"/>
        <v>0</v>
      </c>
      <c r="BO46" s="324">
        <f t="shared" si="28"/>
        <v>0</v>
      </c>
      <c r="BP46" s="324">
        <f t="shared" si="29"/>
        <v>0</v>
      </c>
      <c r="BQ46" s="324">
        <f t="shared" si="30"/>
        <v>0</v>
      </c>
      <c r="BR46" s="324">
        <f t="shared" si="31"/>
        <v>0</v>
      </c>
      <c r="BS46" s="324">
        <f t="shared" si="32"/>
        <v>0</v>
      </c>
      <c r="BT46" s="332">
        <f t="shared" si="33"/>
        <v>0</v>
      </c>
    </row>
    <row r="47" spans="1:72" ht="14.25">
      <c r="A47" s="297"/>
      <c r="B47" s="323"/>
      <c r="C47" s="323"/>
      <c r="D47" s="2215"/>
      <c r="E47" s="324">
        <f t="shared" si="5"/>
        <v>0</v>
      </c>
      <c r="F47" s="325"/>
      <c r="G47" s="326">
        <f t="shared" si="6"/>
        <v>0</v>
      </c>
      <c r="H47" s="327">
        <f t="shared" si="7"/>
        <v>0</v>
      </c>
      <c r="I47" s="328"/>
      <c r="J47" s="328"/>
      <c r="K47" s="328"/>
      <c r="L47" s="328"/>
      <c r="M47" s="328"/>
      <c r="N47" s="328"/>
      <c r="O47" s="328"/>
      <c r="P47" s="328"/>
      <c r="Q47" s="328"/>
      <c r="R47" s="328"/>
      <c r="S47" s="328"/>
      <c r="T47" s="328"/>
      <c r="U47" s="328"/>
      <c r="V47" s="328"/>
      <c r="W47" s="328"/>
      <c r="X47" s="328"/>
      <c r="Y47" s="328"/>
      <c r="Z47" s="328"/>
      <c r="AA47" s="328"/>
      <c r="AB47" s="328"/>
      <c r="AC47" s="324">
        <f t="shared" si="8"/>
        <v>0</v>
      </c>
      <c r="AD47" s="329"/>
      <c r="AE47" s="329"/>
      <c r="AF47" s="329"/>
      <c r="AG47" s="329"/>
      <c r="AH47" s="329"/>
      <c r="AI47" s="329"/>
      <c r="AJ47" s="329"/>
      <c r="AK47" s="329"/>
      <c r="AL47" s="329"/>
      <c r="AM47" s="329"/>
      <c r="AN47" s="329"/>
      <c r="AO47" s="329"/>
      <c r="AP47" s="329"/>
      <c r="AQ47" s="329"/>
      <c r="AR47" s="329"/>
      <c r="AS47" s="329"/>
      <c r="AT47" s="330"/>
      <c r="AU47" s="8"/>
      <c r="AV47" s="2210">
        <f t="shared" si="9"/>
        <v>0</v>
      </c>
      <c r="AW47" s="2210">
        <f t="shared" si="10"/>
        <v>0</v>
      </c>
      <c r="AX47" s="2210">
        <f t="shared" si="11"/>
        <v>0</v>
      </c>
      <c r="AY47" s="331">
        <f t="shared" si="12"/>
        <v>0</v>
      </c>
      <c r="AZ47" s="324">
        <f t="shared" si="13"/>
        <v>0</v>
      </c>
      <c r="BA47" s="324">
        <f t="shared" si="14"/>
        <v>0</v>
      </c>
      <c r="BB47" s="324">
        <f t="shared" si="15"/>
        <v>0</v>
      </c>
      <c r="BC47" s="324">
        <f t="shared" si="16"/>
        <v>0</v>
      </c>
      <c r="BD47" s="324">
        <f t="shared" si="17"/>
        <v>0</v>
      </c>
      <c r="BE47" s="324">
        <f t="shared" si="18"/>
        <v>0</v>
      </c>
      <c r="BF47" s="324">
        <f t="shared" si="19"/>
        <v>0</v>
      </c>
      <c r="BG47" s="324">
        <f t="shared" si="20"/>
        <v>0</v>
      </c>
      <c r="BH47" s="324">
        <f t="shared" si="21"/>
        <v>0</v>
      </c>
      <c r="BI47" s="324">
        <f t="shared" si="22"/>
        <v>0</v>
      </c>
      <c r="BJ47" s="324">
        <f t="shared" si="23"/>
        <v>0</v>
      </c>
      <c r="BK47" s="324">
        <f t="shared" si="24"/>
        <v>0</v>
      </c>
      <c r="BL47" s="324">
        <f t="shared" si="25"/>
        <v>0</v>
      </c>
      <c r="BM47" s="324">
        <f t="shared" si="26"/>
        <v>0</v>
      </c>
      <c r="BN47" s="324">
        <f t="shared" si="27"/>
        <v>0</v>
      </c>
      <c r="BO47" s="324">
        <f t="shared" si="28"/>
        <v>0</v>
      </c>
      <c r="BP47" s="324">
        <f t="shared" si="29"/>
        <v>0</v>
      </c>
      <c r="BQ47" s="324">
        <f t="shared" si="30"/>
        <v>0</v>
      </c>
      <c r="BR47" s="324">
        <f t="shared" si="31"/>
        <v>0</v>
      </c>
      <c r="BS47" s="324">
        <f t="shared" si="32"/>
        <v>0</v>
      </c>
      <c r="BT47" s="332">
        <f t="shared" si="33"/>
        <v>0</v>
      </c>
    </row>
    <row r="48" spans="1:72" ht="14.25">
      <c r="A48" s="297"/>
      <c r="B48" s="323"/>
      <c r="C48" s="323"/>
      <c r="D48" s="2215"/>
      <c r="E48" s="324">
        <f t="shared" si="5"/>
        <v>0</v>
      </c>
      <c r="F48" s="325"/>
      <c r="G48" s="326">
        <f t="shared" si="6"/>
        <v>0</v>
      </c>
      <c r="H48" s="327">
        <f t="shared" si="7"/>
        <v>0</v>
      </c>
      <c r="I48" s="328"/>
      <c r="J48" s="328"/>
      <c r="K48" s="328"/>
      <c r="L48" s="328"/>
      <c r="M48" s="328"/>
      <c r="N48" s="328"/>
      <c r="O48" s="328"/>
      <c r="P48" s="328"/>
      <c r="Q48" s="328"/>
      <c r="R48" s="328"/>
      <c r="S48" s="328"/>
      <c r="T48" s="328"/>
      <c r="U48" s="328"/>
      <c r="V48" s="328"/>
      <c r="W48" s="328"/>
      <c r="X48" s="328"/>
      <c r="Y48" s="328"/>
      <c r="Z48" s="328"/>
      <c r="AA48" s="328"/>
      <c r="AB48" s="328"/>
      <c r="AC48" s="324">
        <f t="shared" si="8"/>
        <v>0</v>
      </c>
      <c r="AD48" s="329"/>
      <c r="AE48" s="329"/>
      <c r="AF48" s="329"/>
      <c r="AG48" s="329"/>
      <c r="AH48" s="329"/>
      <c r="AI48" s="329"/>
      <c r="AJ48" s="329"/>
      <c r="AK48" s="329"/>
      <c r="AL48" s="329"/>
      <c r="AM48" s="329"/>
      <c r="AN48" s="329"/>
      <c r="AO48" s="329"/>
      <c r="AP48" s="329"/>
      <c r="AQ48" s="329"/>
      <c r="AR48" s="329"/>
      <c r="AS48" s="329"/>
      <c r="AT48" s="330"/>
      <c r="AU48" s="8"/>
      <c r="AV48" s="2210">
        <f t="shared" si="9"/>
        <v>0</v>
      </c>
      <c r="AW48" s="2210">
        <f t="shared" si="10"/>
        <v>0</v>
      </c>
      <c r="AX48" s="2210">
        <f t="shared" si="11"/>
        <v>0</v>
      </c>
      <c r="AY48" s="331">
        <f t="shared" si="12"/>
        <v>0</v>
      </c>
      <c r="AZ48" s="324">
        <f t="shared" si="13"/>
        <v>0</v>
      </c>
      <c r="BA48" s="324">
        <f t="shared" si="14"/>
        <v>0</v>
      </c>
      <c r="BB48" s="324">
        <f t="shared" si="15"/>
        <v>0</v>
      </c>
      <c r="BC48" s="324">
        <f t="shared" si="16"/>
        <v>0</v>
      </c>
      <c r="BD48" s="324">
        <f t="shared" si="17"/>
        <v>0</v>
      </c>
      <c r="BE48" s="324">
        <f t="shared" si="18"/>
        <v>0</v>
      </c>
      <c r="BF48" s="324">
        <f t="shared" si="19"/>
        <v>0</v>
      </c>
      <c r="BG48" s="324">
        <f t="shared" si="20"/>
        <v>0</v>
      </c>
      <c r="BH48" s="324">
        <f t="shared" si="21"/>
        <v>0</v>
      </c>
      <c r="BI48" s="324">
        <f t="shared" si="22"/>
        <v>0</v>
      </c>
      <c r="BJ48" s="324">
        <f t="shared" si="23"/>
        <v>0</v>
      </c>
      <c r="BK48" s="324">
        <f t="shared" si="24"/>
        <v>0</v>
      </c>
      <c r="BL48" s="324">
        <f t="shared" si="25"/>
        <v>0</v>
      </c>
      <c r="BM48" s="324">
        <f t="shared" si="26"/>
        <v>0</v>
      </c>
      <c r="BN48" s="324">
        <f t="shared" si="27"/>
        <v>0</v>
      </c>
      <c r="BO48" s="324">
        <f t="shared" si="28"/>
        <v>0</v>
      </c>
      <c r="BP48" s="324">
        <f t="shared" si="29"/>
        <v>0</v>
      </c>
      <c r="BQ48" s="324">
        <f t="shared" si="30"/>
        <v>0</v>
      </c>
      <c r="BR48" s="324">
        <f t="shared" si="31"/>
        <v>0</v>
      </c>
      <c r="BS48" s="324">
        <f t="shared" si="32"/>
        <v>0</v>
      </c>
      <c r="BT48" s="332">
        <f t="shared" si="33"/>
        <v>0</v>
      </c>
    </row>
    <row r="49" spans="1:72" ht="14.25">
      <c r="A49" s="297"/>
      <c r="B49" s="323"/>
      <c r="C49" s="323"/>
      <c r="D49" s="2215"/>
      <c r="E49" s="324">
        <f t="shared" si="5"/>
        <v>0</v>
      </c>
      <c r="F49" s="325"/>
      <c r="G49" s="326">
        <f t="shared" si="6"/>
        <v>0</v>
      </c>
      <c r="H49" s="327">
        <f t="shared" si="7"/>
        <v>0</v>
      </c>
      <c r="I49" s="328"/>
      <c r="J49" s="328"/>
      <c r="K49" s="328"/>
      <c r="L49" s="328"/>
      <c r="M49" s="328"/>
      <c r="N49" s="328"/>
      <c r="O49" s="328"/>
      <c r="P49" s="328"/>
      <c r="Q49" s="328"/>
      <c r="R49" s="328"/>
      <c r="S49" s="328"/>
      <c r="T49" s="328"/>
      <c r="U49" s="328"/>
      <c r="V49" s="328"/>
      <c r="W49" s="328"/>
      <c r="X49" s="328"/>
      <c r="Y49" s="328"/>
      <c r="Z49" s="328"/>
      <c r="AA49" s="328"/>
      <c r="AB49" s="328"/>
      <c r="AC49" s="324">
        <f t="shared" si="8"/>
        <v>0</v>
      </c>
      <c r="AD49" s="329"/>
      <c r="AE49" s="329"/>
      <c r="AF49" s="329"/>
      <c r="AG49" s="329"/>
      <c r="AH49" s="329"/>
      <c r="AI49" s="329"/>
      <c r="AJ49" s="329"/>
      <c r="AK49" s="329"/>
      <c r="AL49" s="329"/>
      <c r="AM49" s="329"/>
      <c r="AN49" s="329"/>
      <c r="AO49" s="329"/>
      <c r="AP49" s="329"/>
      <c r="AQ49" s="329"/>
      <c r="AR49" s="329"/>
      <c r="AS49" s="329"/>
      <c r="AT49" s="330"/>
      <c r="AU49" s="8"/>
      <c r="AV49" s="2210">
        <f t="shared" si="9"/>
        <v>0</v>
      </c>
      <c r="AW49" s="2210">
        <f t="shared" si="10"/>
        <v>0</v>
      </c>
      <c r="AX49" s="2210">
        <f t="shared" si="11"/>
        <v>0</v>
      </c>
      <c r="AY49" s="331">
        <f t="shared" si="12"/>
        <v>0</v>
      </c>
      <c r="AZ49" s="324">
        <f t="shared" si="13"/>
        <v>0</v>
      </c>
      <c r="BA49" s="324">
        <f t="shared" si="14"/>
        <v>0</v>
      </c>
      <c r="BB49" s="324">
        <f t="shared" si="15"/>
        <v>0</v>
      </c>
      <c r="BC49" s="324">
        <f t="shared" si="16"/>
        <v>0</v>
      </c>
      <c r="BD49" s="324">
        <f t="shared" si="17"/>
        <v>0</v>
      </c>
      <c r="BE49" s="324">
        <f t="shared" si="18"/>
        <v>0</v>
      </c>
      <c r="BF49" s="324">
        <f t="shared" si="19"/>
        <v>0</v>
      </c>
      <c r="BG49" s="324">
        <f t="shared" si="20"/>
        <v>0</v>
      </c>
      <c r="BH49" s="324">
        <f t="shared" si="21"/>
        <v>0</v>
      </c>
      <c r="BI49" s="324">
        <f t="shared" si="22"/>
        <v>0</v>
      </c>
      <c r="BJ49" s="324">
        <f t="shared" si="23"/>
        <v>0</v>
      </c>
      <c r="BK49" s="324">
        <f t="shared" si="24"/>
        <v>0</v>
      </c>
      <c r="BL49" s="324">
        <f t="shared" si="25"/>
        <v>0</v>
      </c>
      <c r="BM49" s="324">
        <f t="shared" si="26"/>
        <v>0</v>
      </c>
      <c r="BN49" s="324">
        <f t="shared" si="27"/>
        <v>0</v>
      </c>
      <c r="BO49" s="324">
        <f t="shared" si="28"/>
        <v>0</v>
      </c>
      <c r="BP49" s="324">
        <f t="shared" si="29"/>
        <v>0</v>
      </c>
      <c r="BQ49" s="324">
        <f t="shared" si="30"/>
        <v>0</v>
      </c>
      <c r="BR49" s="324">
        <f t="shared" si="31"/>
        <v>0</v>
      </c>
      <c r="BS49" s="324">
        <f t="shared" si="32"/>
        <v>0</v>
      </c>
      <c r="BT49" s="332">
        <f t="shared" si="33"/>
        <v>0</v>
      </c>
    </row>
    <row r="50" spans="1:72" ht="14.25">
      <c r="A50" s="297"/>
      <c r="B50" s="323"/>
      <c r="C50" s="323"/>
      <c r="D50" s="2215"/>
      <c r="E50" s="324">
        <f t="shared" si="5"/>
        <v>0</v>
      </c>
      <c r="F50" s="325"/>
      <c r="G50" s="326">
        <f t="shared" si="6"/>
        <v>0</v>
      </c>
      <c r="H50" s="327">
        <f t="shared" si="7"/>
        <v>0</v>
      </c>
      <c r="I50" s="328"/>
      <c r="J50" s="328"/>
      <c r="K50" s="328"/>
      <c r="L50" s="328"/>
      <c r="M50" s="328"/>
      <c r="N50" s="328"/>
      <c r="O50" s="328"/>
      <c r="P50" s="328"/>
      <c r="Q50" s="328"/>
      <c r="R50" s="328"/>
      <c r="S50" s="328"/>
      <c r="T50" s="328"/>
      <c r="U50" s="328"/>
      <c r="V50" s="328"/>
      <c r="W50" s="328"/>
      <c r="X50" s="328"/>
      <c r="Y50" s="328"/>
      <c r="Z50" s="328"/>
      <c r="AA50" s="328"/>
      <c r="AB50" s="328"/>
      <c r="AC50" s="324">
        <f t="shared" si="8"/>
        <v>0</v>
      </c>
      <c r="AD50" s="329"/>
      <c r="AE50" s="329"/>
      <c r="AF50" s="329"/>
      <c r="AG50" s="329"/>
      <c r="AH50" s="329"/>
      <c r="AI50" s="329"/>
      <c r="AJ50" s="329"/>
      <c r="AK50" s="329"/>
      <c r="AL50" s="329"/>
      <c r="AM50" s="329"/>
      <c r="AN50" s="329"/>
      <c r="AO50" s="329"/>
      <c r="AP50" s="329"/>
      <c r="AQ50" s="329"/>
      <c r="AR50" s="329"/>
      <c r="AS50" s="329"/>
      <c r="AT50" s="330"/>
      <c r="AU50" s="8"/>
      <c r="AV50" s="2210">
        <f t="shared" si="9"/>
        <v>0</v>
      </c>
      <c r="AW50" s="2210">
        <f t="shared" si="10"/>
        <v>0</v>
      </c>
      <c r="AX50" s="2210">
        <f t="shared" si="11"/>
        <v>0</v>
      </c>
      <c r="AY50" s="331">
        <f t="shared" si="12"/>
        <v>0</v>
      </c>
      <c r="AZ50" s="324">
        <f t="shared" si="13"/>
        <v>0</v>
      </c>
      <c r="BA50" s="324">
        <f t="shared" si="14"/>
        <v>0</v>
      </c>
      <c r="BB50" s="324">
        <f t="shared" si="15"/>
        <v>0</v>
      </c>
      <c r="BC50" s="324">
        <f t="shared" si="16"/>
        <v>0</v>
      </c>
      <c r="BD50" s="324">
        <f t="shared" si="17"/>
        <v>0</v>
      </c>
      <c r="BE50" s="324">
        <f t="shared" si="18"/>
        <v>0</v>
      </c>
      <c r="BF50" s="324">
        <f t="shared" si="19"/>
        <v>0</v>
      </c>
      <c r="BG50" s="324">
        <f t="shared" si="20"/>
        <v>0</v>
      </c>
      <c r="BH50" s="324">
        <f t="shared" si="21"/>
        <v>0</v>
      </c>
      <c r="BI50" s="324">
        <f t="shared" si="22"/>
        <v>0</v>
      </c>
      <c r="BJ50" s="324">
        <f t="shared" si="23"/>
        <v>0</v>
      </c>
      <c r="BK50" s="324">
        <f t="shared" si="24"/>
        <v>0</v>
      </c>
      <c r="BL50" s="324">
        <f t="shared" si="25"/>
        <v>0</v>
      </c>
      <c r="BM50" s="324">
        <f t="shared" si="26"/>
        <v>0</v>
      </c>
      <c r="BN50" s="324">
        <f t="shared" si="27"/>
        <v>0</v>
      </c>
      <c r="BO50" s="324">
        <f t="shared" si="28"/>
        <v>0</v>
      </c>
      <c r="BP50" s="324">
        <f t="shared" si="29"/>
        <v>0</v>
      </c>
      <c r="BQ50" s="324">
        <f t="shared" si="30"/>
        <v>0</v>
      </c>
      <c r="BR50" s="324">
        <f t="shared" si="31"/>
        <v>0</v>
      </c>
      <c r="BS50" s="324">
        <f t="shared" si="32"/>
        <v>0</v>
      </c>
      <c r="BT50" s="332">
        <f t="shared" si="33"/>
        <v>0</v>
      </c>
    </row>
    <row r="51" spans="1:72" ht="14.25">
      <c r="A51" s="297"/>
      <c r="B51" s="323"/>
      <c r="C51" s="323"/>
      <c r="D51" s="2215"/>
      <c r="E51" s="324">
        <f t="shared" si="5"/>
        <v>0</v>
      </c>
      <c r="F51" s="325"/>
      <c r="G51" s="326">
        <f t="shared" si="6"/>
        <v>0</v>
      </c>
      <c r="H51" s="327">
        <f t="shared" si="7"/>
        <v>0</v>
      </c>
      <c r="I51" s="328"/>
      <c r="J51" s="328"/>
      <c r="K51" s="328"/>
      <c r="L51" s="328"/>
      <c r="M51" s="328"/>
      <c r="N51" s="328"/>
      <c r="O51" s="328"/>
      <c r="P51" s="328"/>
      <c r="Q51" s="328"/>
      <c r="R51" s="328"/>
      <c r="S51" s="328"/>
      <c r="T51" s="328"/>
      <c r="U51" s="328"/>
      <c r="V51" s="328"/>
      <c r="W51" s="328"/>
      <c r="X51" s="328"/>
      <c r="Y51" s="328"/>
      <c r="Z51" s="328"/>
      <c r="AA51" s="328"/>
      <c r="AB51" s="328"/>
      <c r="AC51" s="324">
        <f t="shared" si="8"/>
        <v>0</v>
      </c>
      <c r="AD51" s="329"/>
      <c r="AE51" s="329"/>
      <c r="AF51" s="329"/>
      <c r="AG51" s="329"/>
      <c r="AH51" s="329"/>
      <c r="AI51" s="329"/>
      <c r="AJ51" s="329"/>
      <c r="AK51" s="329"/>
      <c r="AL51" s="329"/>
      <c r="AM51" s="329"/>
      <c r="AN51" s="329"/>
      <c r="AO51" s="329"/>
      <c r="AP51" s="329"/>
      <c r="AQ51" s="329"/>
      <c r="AR51" s="329"/>
      <c r="AS51" s="329"/>
      <c r="AT51" s="330"/>
      <c r="AU51" s="8"/>
      <c r="AV51" s="2210">
        <f t="shared" si="9"/>
        <v>0</v>
      </c>
      <c r="AW51" s="2210">
        <f t="shared" si="10"/>
        <v>0</v>
      </c>
      <c r="AX51" s="2210">
        <f t="shared" si="11"/>
        <v>0</v>
      </c>
      <c r="AY51" s="331">
        <f t="shared" si="12"/>
        <v>0</v>
      </c>
      <c r="AZ51" s="324">
        <f t="shared" si="13"/>
        <v>0</v>
      </c>
      <c r="BA51" s="324">
        <f t="shared" si="14"/>
        <v>0</v>
      </c>
      <c r="BB51" s="324">
        <f t="shared" si="15"/>
        <v>0</v>
      </c>
      <c r="BC51" s="324">
        <f t="shared" si="16"/>
        <v>0</v>
      </c>
      <c r="BD51" s="324">
        <f t="shared" si="17"/>
        <v>0</v>
      </c>
      <c r="BE51" s="324">
        <f t="shared" si="18"/>
        <v>0</v>
      </c>
      <c r="BF51" s="324">
        <f t="shared" si="19"/>
        <v>0</v>
      </c>
      <c r="BG51" s="324">
        <f t="shared" si="20"/>
        <v>0</v>
      </c>
      <c r="BH51" s="324">
        <f t="shared" si="21"/>
        <v>0</v>
      </c>
      <c r="BI51" s="324">
        <f t="shared" si="22"/>
        <v>0</v>
      </c>
      <c r="BJ51" s="324">
        <f t="shared" si="23"/>
        <v>0</v>
      </c>
      <c r="BK51" s="324">
        <f t="shared" si="24"/>
        <v>0</v>
      </c>
      <c r="BL51" s="324">
        <f t="shared" si="25"/>
        <v>0</v>
      </c>
      <c r="BM51" s="324">
        <f t="shared" si="26"/>
        <v>0</v>
      </c>
      <c r="BN51" s="324">
        <f t="shared" si="27"/>
        <v>0</v>
      </c>
      <c r="BO51" s="324">
        <f t="shared" si="28"/>
        <v>0</v>
      </c>
      <c r="BP51" s="324">
        <f t="shared" si="29"/>
        <v>0</v>
      </c>
      <c r="BQ51" s="324">
        <f t="shared" si="30"/>
        <v>0</v>
      </c>
      <c r="BR51" s="324">
        <f t="shared" si="31"/>
        <v>0</v>
      </c>
      <c r="BS51" s="324">
        <f t="shared" si="32"/>
        <v>0</v>
      </c>
      <c r="BT51" s="332">
        <f t="shared" si="33"/>
        <v>0</v>
      </c>
    </row>
    <row r="52" spans="1:72" ht="14.25">
      <c r="A52" s="297"/>
      <c r="B52" s="323"/>
      <c r="C52" s="323"/>
      <c r="D52" s="2215"/>
      <c r="E52" s="324">
        <f t="shared" si="5"/>
        <v>0</v>
      </c>
      <c r="F52" s="325"/>
      <c r="G52" s="326">
        <f t="shared" si="6"/>
        <v>0</v>
      </c>
      <c r="H52" s="327">
        <f t="shared" si="7"/>
        <v>0</v>
      </c>
      <c r="I52" s="328"/>
      <c r="J52" s="328"/>
      <c r="K52" s="328"/>
      <c r="L52" s="328"/>
      <c r="M52" s="328"/>
      <c r="N52" s="328"/>
      <c r="O52" s="328"/>
      <c r="P52" s="328"/>
      <c r="Q52" s="328"/>
      <c r="R52" s="328"/>
      <c r="S52" s="328"/>
      <c r="T52" s="328"/>
      <c r="U52" s="328"/>
      <c r="V52" s="328"/>
      <c r="W52" s="328"/>
      <c r="X52" s="328"/>
      <c r="Y52" s="328"/>
      <c r="Z52" s="328"/>
      <c r="AA52" s="328"/>
      <c r="AB52" s="328"/>
      <c r="AC52" s="324">
        <f t="shared" si="8"/>
        <v>0</v>
      </c>
      <c r="AD52" s="329"/>
      <c r="AE52" s="329"/>
      <c r="AF52" s="329"/>
      <c r="AG52" s="329"/>
      <c r="AH52" s="329"/>
      <c r="AI52" s="329"/>
      <c r="AJ52" s="329"/>
      <c r="AK52" s="329"/>
      <c r="AL52" s="329"/>
      <c r="AM52" s="329"/>
      <c r="AN52" s="329"/>
      <c r="AO52" s="329"/>
      <c r="AP52" s="329"/>
      <c r="AQ52" s="329"/>
      <c r="AR52" s="329"/>
      <c r="AS52" s="329"/>
      <c r="AT52" s="330"/>
      <c r="AU52" s="8"/>
      <c r="AV52" s="2210">
        <f t="shared" si="9"/>
        <v>0</v>
      </c>
      <c r="AW52" s="2210">
        <f t="shared" si="10"/>
        <v>0</v>
      </c>
      <c r="AX52" s="2210">
        <f t="shared" si="11"/>
        <v>0</v>
      </c>
      <c r="AY52" s="331">
        <f t="shared" si="12"/>
        <v>0</v>
      </c>
      <c r="AZ52" s="324">
        <f t="shared" si="13"/>
        <v>0</v>
      </c>
      <c r="BA52" s="324">
        <f t="shared" si="14"/>
        <v>0</v>
      </c>
      <c r="BB52" s="324">
        <f t="shared" si="15"/>
        <v>0</v>
      </c>
      <c r="BC52" s="324">
        <f t="shared" si="16"/>
        <v>0</v>
      </c>
      <c r="BD52" s="324">
        <f t="shared" si="17"/>
        <v>0</v>
      </c>
      <c r="BE52" s="324">
        <f t="shared" si="18"/>
        <v>0</v>
      </c>
      <c r="BF52" s="324">
        <f t="shared" si="19"/>
        <v>0</v>
      </c>
      <c r="BG52" s="324">
        <f t="shared" si="20"/>
        <v>0</v>
      </c>
      <c r="BH52" s="324">
        <f t="shared" si="21"/>
        <v>0</v>
      </c>
      <c r="BI52" s="324">
        <f t="shared" si="22"/>
        <v>0</v>
      </c>
      <c r="BJ52" s="324">
        <f t="shared" si="23"/>
        <v>0</v>
      </c>
      <c r="BK52" s="324">
        <f t="shared" si="24"/>
        <v>0</v>
      </c>
      <c r="BL52" s="324">
        <f t="shared" si="25"/>
        <v>0</v>
      </c>
      <c r="BM52" s="324">
        <f t="shared" si="26"/>
        <v>0</v>
      </c>
      <c r="BN52" s="324">
        <f t="shared" si="27"/>
        <v>0</v>
      </c>
      <c r="BO52" s="324">
        <f t="shared" si="28"/>
        <v>0</v>
      </c>
      <c r="BP52" s="324">
        <f t="shared" si="29"/>
        <v>0</v>
      </c>
      <c r="BQ52" s="324">
        <f t="shared" si="30"/>
        <v>0</v>
      </c>
      <c r="BR52" s="324">
        <f t="shared" si="31"/>
        <v>0</v>
      </c>
      <c r="BS52" s="324">
        <f t="shared" si="32"/>
        <v>0</v>
      </c>
      <c r="BT52" s="332">
        <f t="shared" si="33"/>
        <v>0</v>
      </c>
    </row>
    <row r="53" spans="1:72" ht="14.25">
      <c r="A53" s="297"/>
      <c r="B53" s="323"/>
      <c r="C53" s="323"/>
      <c r="D53" s="2215"/>
      <c r="E53" s="324">
        <f t="shared" si="5"/>
        <v>0</v>
      </c>
      <c r="F53" s="325"/>
      <c r="G53" s="326">
        <f t="shared" si="6"/>
        <v>0</v>
      </c>
      <c r="H53" s="327">
        <f t="shared" si="7"/>
        <v>0</v>
      </c>
      <c r="I53" s="328"/>
      <c r="J53" s="328"/>
      <c r="K53" s="328"/>
      <c r="L53" s="328"/>
      <c r="M53" s="328"/>
      <c r="N53" s="328"/>
      <c r="O53" s="328"/>
      <c r="P53" s="328"/>
      <c r="Q53" s="328"/>
      <c r="R53" s="328"/>
      <c r="S53" s="328"/>
      <c r="T53" s="328"/>
      <c r="U53" s="328"/>
      <c r="V53" s="328"/>
      <c r="W53" s="328"/>
      <c r="X53" s="328"/>
      <c r="Y53" s="328"/>
      <c r="Z53" s="328"/>
      <c r="AA53" s="328"/>
      <c r="AB53" s="328"/>
      <c r="AC53" s="324">
        <f t="shared" si="8"/>
        <v>0</v>
      </c>
      <c r="AD53" s="329"/>
      <c r="AE53" s="329"/>
      <c r="AF53" s="329"/>
      <c r="AG53" s="329"/>
      <c r="AH53" s="329"/>
      <c r="AI53" s="329"/>
      <c r="AJ53" s="329"/>
      <c r="AK53" s="329"/>
      <c r="AL53" s="329"/>
      <c r="AM53" s="329"/>
      <c r="AN53" s="329"/>
      <c r="AO53" s="329"/>
      <c r="AP53" s="329"/>
      <c r="AQ53" s="329"/>
      <c r="AR53" s="329"/>
      <c r="AS53" s="329"/>
      <c r="AT53" s="330"/>
      <c r="AU53" s="8"/>
      <c r="AV53" s="2210">
        <f t="shared" si="9"/>
        <v>0</v>
      </c>
      <c r="AW53" s="2210">
        <f t="shared" si="10"/>
        <v>0</v>
      </c>
      <c r="AX53" s="2210">
        <f t="shared" si="11"/>
        <v>0</v>
      </c>
      <c r="AY53" s="331">
        <f t="shared" si="12"/>
        <v>0</v>
      </c>
      <c r="AZ53" s="324">
        <f t="shared" si="13"/>
        <v>0</v>
      </c>
      <c r="BA53" s="324">
        <f t="shared" si="14"/>
        <v>0</v>
      </c>
      <c r="BB53" s="324">
        <f t="shared" si="15"/>
        <v>0</v>
      </c>
      <c r="BC53" s="324">
        <f t="shared" si="16"/>
        <v>0</v>
      </c>
      <c r="BD53" s="324">
        <f t="shared" si="17"/>
        <v>0</v>
      </c>
      <c r="BE53" s="324">
        <f t="shared" si="18"/>
        <v>0</v>
      </c>
      <c r="BF53" s="324">
        <f t="shared" si="19"/>
        <v>0</v>
      </c>
      <c r="BG53" s="324">
        <f t="shared" si="20"/>
        <v>0</v>
      </c>
      <c r="BH53" s="324">
        <f t="shared" si="21"/>
        <v>0</v>
      </c>
      <c r="BI53" s="324">
        <f t="shared" si="22"/>
        <v>0</v>
      </c>
      <c r="BJ53" s="324">
        <f t="shared" si="23"/>
        <v>0</v>
      </c>
      <c r="BK53" s="324">
        <f t="shared" si="24"/>
        <v>0</v>
      </c>
      <c r="BL53" s="324">
        <f t="shared" si="25"/>
        <v>0</v>
      </c>
      <c r="BM53" s="324">
        <f t="shared" si="26"/>
        <v>0</v>
      </c>
      <c r="BN53" s="324">
        <f t="shared" si="27"/>
        <v>0</v>
      </c>
      <c r="BO53" s="324">
        <f t="shared" si="28"/>
        <v>0</v>
      </c>
      <c r="BP53" s="324">
        <f t="shared" si="29"/>
        <v>0</v>
      </c>
      <c r="BQ53" s="324">
        <f t="shared" si="30"/>
        <v>0</v>
      </c>
      <c r="BR53" s="324">
        <f t="shared" si="31"/>
        <v>0</v>
      </c>
      <c r="BS53" s="324">
        <f t="shared" si="32"/>
        <v>0</v>
      </c>
      <c r="BT53" s="332">
        <f t="shared" si="33"/>
        <v>0</v>
      </c>
    </row>
    <row r="54" spans="1:72" ht="14.25">
      <c r="A54" s="297"/>
      <c r="B54" s="323"/>
      <c r="C54" s="323"/>
      <c r="D54" s="2215"/>
      <c r="E54" s="324">
        <f t="shared" si="5"/>
        <v>0</v>
      </c>
      <c r="F54" s="325"/>
      <c r="G54" s="326">
        <f t="shared" si="6"/>
        <v>0</v>
      </c>
      <c r="H54" s="327">
        <f t="shared" si="7"/>
        <v>0</v>
      </c>
      <c r="I54" s="328"/>
      <c r="J54" s="328"/>
      <c r="K54" s="328"/>
      <c r="L54" s="328"/>
      <c r="M54" s="328"/>
      <c r="N54" s="328"/>
      <c r="O54" s="328"/>
      <c r="P54" s="328"/>
      <c r="Q54" s="328"/>
      <c r="R54" s="328"/>
      <c r="S54" s="328"/>
      <c r="T54" s="328"/>
      <c r="U54" s="328"/>
      <c r="V54" s="328"/>
      <c r="W54" s="328"/>
      <c r="X54" s="328"/>
      <c r="Y54" s="328"/>
      <c r="Z54" s="328"/>
      <c r="AA54" s="328"/>
      <c r="AB54" s="328"/>
      <c r="AC54" s="324">
        <f t="shared" si="8"/>
        <v>0</v>
      </c>
      <c r="AD54" s="329"/>
      <c r="AE54" s="329"/>
      <c r="AF54" s="329"/>
      <c r="AG54" s="329"/>
      <c r="AH54" s="329"/>
      <c r="AI54" s="329"/>
      <c r="AJ54" s="329"/>
      <c r="AK54" s="329"/>
      <c r="AL54" s="329"/>
      <c r="AM54" s="329"/>
      <c r="AN54" s="329"/>
      <c r="AO54" s="329"/>
      <c r="AP54" s="329"/>
      <c r="AQ54" s="329"/>
      <c r="AR54" s="329"/>
      <c r="AS54" s="329"/>
      <c r="AT54" s="330"/>
      <c r="AU54" s="8"/>
      <c r="AV54" s="2210">
        <f t="shared" si="9"/>
        <v>0</v>
      </c>
      <c r="AW54" s="2210">
        <f t="shared" si="10"/>
        <v>0</v>
      </c>
      <c r="AX54" s="2210">
        <f t="shared" si="11"/>
        <v>0</v>
      </c>
      <c r="AY54" s="331">
        <f t="shared" si="12"/>
        <v>0</v>
      </c>
      <c r="AZ54" s="324">
        <f t="shared" si="13"/>
        <v>0</v>
      </c>
      <c r="BA54" s="324">
        <f t="shared" si="14"/>
        <v>0</v>
      </c>
      <c r="BB54" s="324">
        <f t="shared" si="15"/>
        <v>0</v>
      </c>
      <c r="BC54" s="324">
        <f t="shared" si="16"/>
        <v>0</v>
      </c>
      <c r="BD54" s="324">
        <f t="shared" si="17"/>
        <v>0</v>
      </c>
      <c r="BE54" s="324">
        <f t="shared" si="18"/>
        <v>0</v>
      </c>
      <c r="BF54" s="324">
        <f t="shared" si="19"/>
        <v>0</v>
      </c>
      <c r="BG54" s="324">
        <f t="shared" si="20"/>
        <v>0</v>
      </c>
      <c r="BH54" s="324">
        <f t="shared" si="21"/>
        <v>0</v>
      </c>
      <c r="BI54" s="324">
        <f t="shared" si="22"/>
        <v>0</v>
      </c>
      <c r="BJ54" s="324">
        <f t="shared" si="23"/>
        <v>0</v>
      </c>
      <c r="BK54" s="324">
        <f t="shared" si="24"/>
        <v>0</v>
      </c>
      <c r="BL54" s="324">
        <f t="shared" si="25"/>
        <v>0</v>
      </c>
      <c r="BM54" s="324">
        <f t="shared" si="26"/>
        <v>0</v>
      </c>
      <c r="BN54" s="324">
        <f t="shared" si="27"/>
        <v>0</v>
      </c>
      <c r="BO54" s="324">
        <f t="shared" si="28"/>
        <v>0</v>
      </c>
      <c r="BP54" s="324">
        <f t="shared" si="29"/>
        <v>0</v>
      </c>
      <c r="BQ54" s="324">
        <f t="shared" si="30"/>
        <v>0</v>
      </c>
      <c r="BR54" s="324">
        <f t="shared" si="31"/>
        <v>0</v>
      </c>
      <c r="BS54" s="324">
        <f t="shared" si="32"/>
        <v>0</v>
      </c>
      <c r="BT54" s="332">
        <f t="shared" si="33"/>
        <v>0</v>
      </c>
    </row>
    <row r="55" spans="1:72" ht="14.25">
      <c r="A55" s="297"/>
      <c r="B55" s="323"/>
      <c r="C55" s="323"/>
      <c r="D55" s="2215"/>
      <c r="E55" s="324">
        <f t="shared" si="5"/>
        <v>0</v>
      </c>
      <c r="F55" s="325"/>
      <c r="G55" s="326">
        <f t="shared" si="6"/>
        <v>0</v>
      </c>
      <c r="H55" s="327">
        <f t="shared" si="7"/>
        <v>0</v>
      </c>
      <c r="I55" s="328"/>
      <c r="J55" s="328"/>
      <c r="K55" s="328"/>
      <c r="L55" s="328"/>
      <c r="M55" s="328"/>
      <c r="N55" s="328"/>
      <c r="O55" s="328"/>
      <c r="P55" s="328"/>
      <c r="Q55" s="328"/>
      <c r="R55" s="328"/>
      <c r="S55" s="328"/>
      <c r="T55" s="328"/>
      <c r="U55" s="328"/>
      <c r="V55" s="328"/>
      <c r="W55" s="328"/>
      <c r="X55" s="328"/>
      <c r="Y55" s="328"/>
      <c r="Z55" s="328"/>
      <c r="AA55" s="328"/>
      <c r="AB55" s="328"/>
      <c r="AC55" s="324">
        <f t="shared" si="8"/>
        <v>0</v>
      </c>
      <c r="AD55" s="329"/>
      <c r="AE55" s="329"/>
      <c r="AF55" s="329"/>
      <c r="AG55" s="329"/>
      <c r="AH55" s="329"/>
      <c r="AI55" s="329"/>
      <c r="AJ55" s="329"/>
      <c r="AK55" s="329"/>
      <c r="AL55" s="329"/>
      <c r="AM55" s="329"/>
      <c r="AN55" s="329"/>
      <c r="AO55" s="329"/>
      <c r="AP55" s="329"/>
      <c r="AQ55" s="329"/>
      <c r="AR55" s="329"/>
      <c r="AS55" s="329"/>
      <c r="AT55" s="330"/>
      <c r="AU55" s="8"/>
      <c r="AV55" s="2210">
        <f t="shared" si="9"/>
        <v>0</v>
      </c>
      <c r="AW55" s="2210">
        <f t="shared" si="10"/>
        <v>0</v>
      </c>
      <c r="AX55" s="2210">
        <f t="shared" si="11"/>
        <v>0</v>
      </c>
      <c r="AY55" s="331">
        <f t="shared" si="12"/>
        <v>0</v>
      </c>
      <c r="AZ55" s="324">
        <f t="shared" si="13"/>
        <v>0</v>
      </c>
      <c r="BA55" s="324">
        <f t="shared" si="14"/>
        <v>0</v>
      </c>
      <c r="BB55" s="324">
        <f t="shared" si="15"/>
        <v>0</v>
      </c>
      <c r="BC55" s="324">
        <f t="shared" si="16"/>
        <v>0</v>
      </c>
      <c r="BD55" s="324">
        <f t="shared" si="17"/>
        <v>0</v>
      </c>
      <c r="BE55" s="324">
        <f t="shared" si="18"/>
        <v>0</v>
      </c>
      <c r="BF55" s="324">
        <f t="shared" si="19"/>
        <v>0</v>
      </c>
      <c r="BG55" s="324">
        <f t="shared" si="20"/>
        <v>0</v>
      </c>
      <c r="BH55" s="324">
        <f t="shared" si="21"/>
        <v>0</v>
      </c>
      <c r="BI55" s="324">
        <f t="shared" si="22"/>
        <v>0</v>
      </c>
      <c r="BJ55" s="324">
        <f t="shared" si="23"/>
        <v>0</v>
      </c>
      <c r="BK55" s="324">
        <f t="shared" si="24"/>
        <v>0</v>
      </c>
      <c r="BL55" s="324">
        <f t="shared" si="25"/>
        <v>0</v>
      </c>
      <c r="BM55" s="324">
        <f t="shared" si="26"/>
        <v>0</v>
      </c>
      <c r="BN55" s="324">
        <f t="shared" si="27"/>
        <v>0</v>
      </c>
      <c r="BO55" s="324">
        <f t="shared" si="28"/>
        <v>0</v>
      </c>
      <c r="BP55" s="324">
        <f t="shared" si="29"/>
        <v>0</v>
      </c>
      <c r="BQ55" s="324">
        <f t="shared" si="30"/>
        <v>0</v>
      </c>
      <c r="BR55" s="324">
        <f t="shared" si="31"/>
        <v>0</v>
      </c>
      <c r="BS55" s="324">
        <f t="shared" si="32"/>
        <v>0</v>
      </c>
      <c r="BT55" s="332">
        <f t="shared" si="33"/>
        <v>0</v>
      </c>
    </row>
    <row r="56" spans="1:72" ht="14.25">
      <c r="A56" s="297"/>
      <c r="B56" s="323"/>
      <c r="C56" s="323"/>
      <c r="D56" s="2215"/>
      <c r="E56" s="324">
        <f t="shared" si="5"/>
        <v>0</v>
      </c>
      <c r="F56" s="325"/>
      <c r="G56" s="326">
        <f t="shared" si="6"/>
        <v>0</v>
      </c>
      <c r="H56" s="327">
        <f t="shared" si="7"/>
        <v>0</v>
      </c>
      <c r="I56" s="328"/>
      <c r="J56" s="328"/>
      <c r="K56" s="328"/>
      <c r="L56" s="328"/>
      <c r="M56" s="328"/>
      <c r="N56" s="328"/>
      <c r="O56" s="328"/>
      <c r="P56" s="328"/>
      <c r="Q56" s="328"/>
      <c r="R56" s="328"/>
      <c r="S56" s="328"/>
      <c r="T56" s="328"/>
      <c r="U56" s="328"/>
      <c r="V56" s="328"/>
      <c r="W56" s="328"/>
      <c r="X56" s="328"/>
      <c r="Y56" s="328"/>
      <c r="Z56" s="328"/>
      <c r="AA56" s="328"/>
      <c r="AB56" s="328"/>
      <c r="AC56" s="324">
        <f t="shared" si="8"/>
        <v>0</v>
      </c>
      <c r="AD56" s="329"/>
      <c r="AE56" s="329"/>
      <c r="AF56" s="329"/>
      <c r="AG56" s="329"/>
      <c r="AH56" s="329"/>
      <c r="AI56" s="329"/>
      <c r="AJ56" s="329"/>
      <c r="AK56" s="329"/>
      <c r="AL56" s="329"/>
      <c r="AM56" s="329"/>
      <c r="AN56" s="329"/>
      <c r="AO56" s="329"/>
      <c r="AP56" s="329"/>
      <c r="AQ56" s="329"/>
      <c r="AR56" s="329"/>
      <c r="AS56" s="329"/>
      <c r="AT56" s="330"/>
      <c r="AU56" s="8"/>
      <c r="AV56" s="2210">
        <f t="shared" si="9"/>
        <v>0</v>
      </c>
      <c r="AW56" s="2210">
        <f t="shared" si="10"/>
        <v>0</v>
      </c>
      <c r="AX56" s="2210">
        <f t="shared" si="11"/>
        <v>0</v>
      </c>
      <c r="AY56" s="331">
        <f t="shared" si="12"/>
        <v>0</v>
      </c>
      <c r="AZ56" s="324">
        <f t="shared" si="13"/>
        <v>0</v>
      </c>
      <c r="BA56" s="324">
        <f t="shared" si="14"/>
        <v>0</v>
      </c>
      <c r="BB56" s="324">
        <f t="shared" si="15"/>
        <v>0</v>
      </c>
      <c r="BC56" s="324">
        <f t="shared" si="16"/>
        <v>0</v>
      </c>
      <c r="BD56" s="324">
        <f t="shared" si="17"/>
        <v>0</v>
      </c>
      <c r="BE56" s="324">
        <f t="shared" si="18"/>
        <v>0</v>
      </c>
      <c r="BF56" s="324">
        <f t="shared" si="19"/>
        <v>0</v>
      </c>
      <c r="BG56" s="324">
        <f t="shared" si="20"/>
        <v>0</v>
      </c>
      <c r="BH56" s="324">
        <f t="shared" si="21"/>
        <v>0</v>
      </c>
      <c r="BI56" s="324">
        <f t="shared" si="22"/>
        <v>0</v>
      </c>
      <c r="BJ56" s="324">
        <f t="shared" si="23"/>
        <v>0</v>
      </c>
      <c r="BK56" s="324">
        <f t="shared" si="24"/>
        <v>0</v>
      </c>
      <c r="BL56" s="324">
        <f t="shared" si="25"/>
        <v>0</v>
      </c>
      <c r="BM56" s="324">
        <f t="shared" si="26"/>
        <v>0</v>
      </c>
      <c r="BN56" s="324">
        <f t="shared" si="27"/>
        <v>0</v>
      </c>
      <c r="BO56" s="324">
        <f t="shared" si="28"/>
        <v>0</v>
      </c>
      <c r="BP56" s="324">
        <f t="shared" si="29"/>
        <v>0</v>
      </c>
      <c r="BQ56" s="324">
        <f t="shared" si="30"/>
        <v>0</v>
      </c>
      <c r="BR56" s="324">
        <f t="shared" si="31"/>
        <v>0</v>
      </c>
      <c r="BS56" s="324">
        <f t="shared" si="32"/>
        <v>0</v>
      </c>
      <c r="BT56" s="332">
        <f t="shared" si="33"/>
        <v>0</v>
      </c>
    </row>
    <row r="57" spans="1:72" ht="14.25">
      <c r="A57" s="297"/>
      <c r="B57" s="323"/>
      <c r="C57" s="323"/>
      <c r="D57" s="2215"/>
      <c r="E57" s="324">
        <f t="shared" si="5"/>
        <v>0</v>
      </c>
      <c r="F57" s="325"/>
      <c r="G57" s="326">
        <f t="shared" si="6"/>
        <v>0</v>
      </c>
      <c r="H57" s="327">
        <f t="shared" si="7"/>
        <v>0</v>
      </c>
      <c r="I57" s="328"/>
      <c r="J57" s="328"/>
      <c r="K57" s="328"/>
      <c r="L57" s="328"/>
      <c r="M57" s="328"/>
      <c r="N57" s="328"/>
      <c r="O57" s="328"/>
      <c r="P57" s="328"/>
      <c r="Q57" s="328"/>
      <c r="R57" s="328"/>
      <c r="S57" s="328"/>
      <c r="T57" s="328"/>
      <c r="U57" s="328"/>
      <c r="V57" s="328"/>
      <c r="W57" s="328"/>
      <c r="X57" s="328"/>
      <c r="Y57" s="328"/>
      <c r="Z57" s="328"/>
      <c r="AA57" s="328"/>
      <c r="AB57" s="328"/>
      <c r="AC57" s="324">
        <f t="shared" si="8"/>
        <v>0</v>
      </c>
      <c r="AD57" s="329"/>
      <c r="AE57" s="329"/>
      <c r="AF57" s="329"/>
      <c r="AG57" s="329"/>
      <c r="AH57" s="329"/>
      <c r="AI57" s="329"/>
      <c r="AJ57" s="329"/>
      <c r="AK57" s="329"/>
      <c r="AL57" s="329"/>
      <c r="AM57" s="329"/>
      <c r="AN57" s="329"/>
      <c r="AO57" s="329"/>
      <c r="AP57" s="329"/>
      <c r="AQ57" s="329"/>
      <c r="AR57" s="329"/>
      <c r="AS57" s="329"/>
      <c r="AT57" s="330"/>
      <c r="AU57" s="8"/>
      <c r="AV57" s="2210">
        <f t="shared" si="9"/>
        <v>0</v>
      </c>
      <c r="AW57" s="2210">
        <f t="shared" si="10"/>
        <v>0</v>
      </c>
      <c r="AX57" s="2210">
        <f t="shared" si="11"/>
        <v>0</v>
      </c>
      <c r="AY57" s="331">
        <f t="shared" si="12"/>
        <v>0</v>
      </c>
      <c r="AZ57" s="324">
        <f t="shared" si="13"/>
        <v>0</v>
      </c>
      <c r="BA57" s="324">
        <f t="shared" si="14"/>
        <v>0</v>
      </c>
      <c r="BB57" s="324">
        <f t="shared" si="15"/>
        <v>0</v>
      </c>
      <c r="BC57" s="324">
        <f t="shared" si="16"/>
        <v>0</v>
      </c>
      <c r="BD57" s="324">
        <f t="shared" si="17"/>
        <v>0</v>
      </c>
      <c r="BE57" s="324">
        <f t="shared" si="18"/>
        <v>0</v>
      </c>
      <c r="BF57" s="324">
        <f t="shared" si="19"/>
        <v>0</v>
      </c>
      <c r="BG57" s="324">
        <f t="shared" si="20"/>
        <v>0</v>
      </c>
      <c r="BH57" s="324">
        <f t="shared" si="21"/>
        <v>0</v>
      </c>
      <c r="BI57" s="324">
        <f t="shared" si="22"/>
        <v>0</v>
      </c>
      <c r="BJ57" s="324">
        <f t="shared" si="23"/>
        <v>0</v>
      </c>
      <c r="BK57" s="324">
        <f t="shared" si="24"/>
        <v>0</v>
      </c>
      <c r="BL57" s="324">
        <f t="shared" si="25"/>
        <v>0</v>
      </c>
      <c r="BM57" s="324">
        <f t="shared" si="26"/>
        <v>0</v>
      </c>
      <c r="BN57" s="324">
        <f t="shared" si="27"/>
        <v>0</v>
      </c>
      <c r="BO57" s="324">
        <f t="shared" si="28"/>
        <v>0</v>
      </c>
      <c r="BP57" s="324">
        <f t="shared" si="29"/>
        <v>0</v>
      </c>
      <c r="BQ57" s="324">
        <f t="shared" si="30"/>
        <v>0</v>
      </c>
      <c r="BR57" s="324">
        <f t="shared" si="31"/>
        <v>0</v>
      </c>
      <c r="BS57" s="324">
        <f t="shared" si="32"/>
        <v>0</v>
      </c>
      <c r="BT57" s="332">
        <f t="shared" si="33"/>
        <v>0</v>
      </c>
    </row>
    <row r="58" spans="1:72" ht="14.25">
      <c r="A58" s="297"/>
      <c r="B58" s="323"/>
      <c r="C58" s="323"/>
      <c r="D58" s="2215"/>
      <c r="E58" s="324">
        <f t="shared" si="5"/>
        <v>0</v>
      </c>
      <c r="F58" s="325"/>
      <c r="G58" s="326">
        <f t="shared" si="6"/>
        <v>0</v>
      </c>
      <c r="H58" s="327">
        <f t="shared" si="7"/>
        <v>0</v>
      </c>
      <c r="I58" s="328"/>
      <c r="J58" s="328"/>
      <c r="K58" s="328"/>
      <c r="L58" s="328"/>
      <c r="M58" s="328"/>
      <c r="N58" s="328"/>
      <c r="O58" s="328"/>
      <c r="P58" s="328"/>
      <c r="Q58" s="328"/>
      <c r="R58" s="328"/>
      <c r="S58" s="328"/>
      <c r="T58" s="328"/>
      <c r="U58" s="328"/>
      <c r="V58" s="328"/>
      <c r="W58" s="328"/>
      <c r="X58" s="328"/>
      <c r="Y58" s="328"/>
      <c r="Z58" s="328"/>
      <c r="AA58" s="328"/>
      <c r="AB58" s="328"/>
      <c r="AC58" s="324">
        <f t="shared" si="8"/>
        <v>0</v>
      </c>
      <c r="AD58" s="329"/>
      <c r="AE58" s="329"/>
      <c r="AF58" s="329"/>
      <c r="AG58" s="329"/>
      <c r="AH58" s="329"/>
      <c r="AI58" s="329"/>
      <c r="AJ58" s="329"/>
      <c r="AK58" s="329"/>
      <c r="AL58" s="329"/>
      <c r="AM58" s="329"/>
      <c r="AN58" s="329"/>
      <c r="AO58" s="329"/>
      <c r="AP58" s="329"/>
      <c r="AQ58" s="329"/>
      <c r="AR58" s="329"/>
      <c r="AS58" s="329"/>
      <c r="AT58" s="330"/>
      <c r="AU58" s="8"/>
      <c r="AV58" s="2210">
        <f t="shared" si="9"/>
        <v>0</v>
      </c>
      <c r="AW58" s="2210">
        <f t="shared" si="10"/>
        <v>0</v>
      </c>
      <c r="AX58" s="2210">
        <f t="shared" si="11"/>
        <v>0</v>
      </c>
      <c r="AY58" s="331">
        <f t="shared" si="12"/>
        <v>0</v>
      </c>
      <c r="AZ58" s="324">
        <f t="shared" si="13"/>
        <v>0</v>
      </c>
      <c r="BA58" s="324">
        <f t="shared" si="14"/>
        <v>0</v>
      </c>
      <c r="BB58" s="324">
        <f t="shared" si="15"/>
        <v>0</v>
      </c>
      <c r="BC58" s="324">
        <f t="shared" si="16"/>
        <v>0</v>
      </c>
      <c r="BD58" s="324">
        <f t="shared" si="17"/>
        <v>0</v>
      </c>
      <c r="BE58" s="324">
        <f t="shared" si="18"/>
        <v>0</v>
      </c>
      <c r="BF58" s="324">
        <f t="shared" si="19"/>
        <v>0</v>
      </c>
      <c r="BG58" s="324">
        <f t="shared" si="20"/>
        <v>0</v>
      </c>
      <c r="BH58" s="324">
        <f t="shared" si="21"/>
        <v>0</v>
      </c>
      <c r="BI58" s="324">
        <f t="shared" si="22"/>
        <v>0</v>
      </c>
      <c r="BJ58" s="324">
        <f t="shared" si="23"/>
        <v>0</v>
      </c>
      <c r="BK58" s="324">
        <f t="shared" si="24"/>
        <v>0</v>
      </c>
      <c r="BL58" s="324">
        <f t="shared" si="25"/>
        <v>0</v>
      </c>
      <c r="BM58" s="324">
        <f t="shared" si="26"/>
        <v>0</v>
      </c>
      <c r="BN58" s="324">
        <f t="shared" si="27"/>
        <v>0</v>
      </c>
      <c r="BO58" s="324">
        <f t="shared" si="28"/>
        <v>0</v>
      </c>
      <c r="BP58" s="324">
        <f t="shared" si="29"/>
        <v>0</v>
      </c>
      <c r="BQ58" s="324">
        <f t="shared" si="30"/>
        <v>0</v>
      </c>
      <c r="BR58" s="324">
        <f t="shared" si="31"/>
        <v>0</v>
      </c>
      <c r="BS58" s="324">
        <f t="shared" si="32"/>
        <v>0</v>
      </c>
      <c r="BT58" s="332">
        <f t="shared" si="33"/>
        <v>0</v>
      </c>
    </row>
    <row r="59" spans="1:72" ht="14.25">
      <c r="A59" s="297"/>
      <c r="B59" s="323"/>
      <c r="C59" s="323"/>
      <c r="D59" s="2215"/>
      <c r="E59" s="324">
        <f t="shared" si="5"/>
        <v>0</v>
      </c>
      <c r="F59" s="325"/>
      <c r="G59" s="326">
        <f t="shared" si="6"/>
        <v>0</v>
      </c>
      <c r="H59" s="327">
        <f t="shared" si="7"/>
        <v>0</v>
      </c>
      <c r="I59" s="328"/>
      <c r="J59" s="328"/>
      <c r="K59" s="328"/>
      <c r="L59" s="328"/>
      <c r="M59" s="328"/>
      <c r="N59" s="328"/>
      <c r="O59" s="328"/>
      <c r="P59" s="328"/>
      <c r="Q59" s="328"/>
      <c r="R59" s="328"/>
      <c r="S59" s="328"/>
      <c r="T59" s="328"/>
      <c r="U59" s="328"/>
      <c r="V59" s="328"/>
      <c r="W59" s="328"/>
      <c r="X59" s="328"/>
      <c r="Y59" s="328"/>
      <c r="Z59" s="328"/>
      <c r="AA59" s="328"/>
      <c r="AB59" s="328"/>
      <c r="AC59" s="324">
        <f t="shared" si="8"/>
        <v>0</v>
      </c>
      <c r="AD59" s="329"/>
      <c r="AE59" s="329"/>
      <c r="AF59" s="329"/>
      <c r="AG59" s="329"/>
      <c r="AH59" s="329"/>
      <c r="AI59" s="329"/>
      <c r="AJ59" s="329"/>
      <c r="AK59" s="329"/>
      <c r="AL59" s="329"/>
      <c r="AM59" s="329"/>
      <c r="AN59" s="329"/>
      <c r="AO59" s="329"/>
      <c r="AP59" s="329"/>
      <c r="AQ59" s="329"/>
      <c r="AR59" s="329"/>
      <c r="AS59" s="329"/>
      <c r="AT59" s="330"/>
      <c r="AU59" s="8"/>
      <c r="AV59" s="2210">
        <f t="shared" si="9"/>
        <v>0</v>
      </c>
      <c r="AW59" s="2210">
        <f t="shared" si="10"/>
        <v>0</v>
      </c>
      <c r="AX59" s="2210">
        <f t="shared" si="11"/>
        <v>0</v>
      </c>
      <c r="AY59" s="331">
        <f t="shared" si="12"/>
        <v>0</v>
      </c>
      <c r="AZ59" s="324">
        <f t="shared" si="13"/>
        <v>0</v>
      </c>
      <c r="BA59" s="324">
        <f t="shared" si="14"/>
        <v>0</v>
      </c>
      <c r="BB59" s="324">
        <f t="shared" si="15"/>
        <v>0</v>
      </c>
      <c r="BC59" s="324">
        <f t="shared" si="16"/>
        <v>0</v>
      </c>
      <c r="BD59" s="324">
        <f t="shared" si="17"/>
        <v>0</v>
      </c>
      <c r="BE59" s="324">
        <f t="shared" si="18"/>
        <v>0</v>
      </c>
      <c r="BF59" s="324">
        <f t="shared" si="19"/>
        <v>0</v>
      </c>
      <c r="BG59" s="324">
        <f t="shared" si="20"/>
        <v>0</v>
      </c>
      <c r="BH59" s="324">
        <f t="shared" si="21"/>
        <v>0</v>
      </c>
      <c r="BI59" s="324">
        <f t="shared" si="22"/>
        <v>0</v>
      </c>
      <c r="BJ59" s="324">
        <f t="shared" si="23"/>
        <v>0</v>
      </c>
      <c r="BK59" s="324">
        <f t="shared" si="24"/>
        <v>0</v>
      </c>
      <c r="BL59" s="324">
        <f t="shared" si="25"/>
        <v>0</v>
      </c>
      <c r="BM59" s="324">
        <f t="shared" si="26"/>
        <v>0</v>
      </c>
      <c r="BN59" s="324">
        <f t="shared" si="27"/>
        <v>0</v>
      </c>
      <c r="BO59" s="324">
        <f t="shared" si="28"/>
        <v>0</v>
      </c>
      <c r="BP59" s="324">
        <f t="shared" si="29"/>
        <v>0</v>
      </c>
      <c r="BQ59" s="324">
        <f t="shared" si="30"/>
        <v>0</v>
      </c>
      <c r="BR59" s="324">
        <f t="shared" si="31"/>
        <v>0</v>
      </c>
      <c r="BS59" s="324">
        <f t="shared" si="32"/>
        <v>0</v>
      </c>
      <c r="BT59" s="332">
        <f t="shared" si="33"/>
        <v>0</v>
      </c>
    </row>
    <row r="60" spans="1:72" ht="14.25">
      <c r="A60" s="297"/>
      <c r="B60" s="323"/>
      <c r="C60" s="323"/>
      <c r="D60" s="2215"/>
      <c r="E60" s="324">
        <f t="shared" si="5"/>
        <v>0</v>
      </c>
      <c r="F60" s="325"/>
      <c r="G60" s="326">
        <f t="shared" si="6"/>
        <v>0</v>
      </c>
      <c r="H60" s="327">
        <f t="shared" si="7"/>
        <v>0</v>
      </c>
      <c r="I60" s="328"/>
      <c r="J60" s="328"/>
      <c r="K60" s="328"/>
      <c r="L60" s="328"/>
      <c r="M60" s="328"/>
      <c r="N60" s="328"/>
      <c r="O60" s="328"/>
      <c r="P60" s="328"/>
      <c r="Q60" s="328"/>
      <c r="R60" s="328"/>
      <c r="S60" s="328"/>
      <c r="T60" s="328"/>
      <c r="U60" s="328"/>
      <c r="V60" s="328"/>
      <c r="W60" s="328"/>
      <c r="X60" s="328"/>
      <c r="Y60" s="328"/>
      <c r="Z60" s="328"/>
      <c r="AA60" s="328"/>
      <c r="AB60" s="328"/>
      <c r="AC60" s="324">
        <f t="shared" si="8"/>
        <v>0</v>
      </c>
      <c r="AD60" s="329"/>
      <c r="AE60" s="329"/>
      <c r="AF60" s="329"/>
      <c r="AG60" s="329"/>
      <c r="AH60" s="329"/>
      <c r="AI60" s="329"/>
      <c r="AJ60" s="329"/>
      <c r="AK60" s="329"/>
      <c r="AL60" s="329"/>
      <c r="AM60" s="329"/>
      <c r="AN60" s="329"/>
      <c r="AO60" s="329"/>
      <c r="AP60" s="329"/>
      <c r="AQ60" s="329"/>
      <c r="AR60" s="329"/>
      <c r="AS60" s="329"/>
      <c r="AT60" s="330"/>
      <c r="AU60" s="8"/>
      <c r="AV60" s="2210">
        <f t="shared" si="9"/>
        <v>0</v>
      </c>
      <c r="AW60" s="2210">
        <f t="shared" si="10"/>
        <v>0</v>
      </c>
      <c r="AX60" s="2210">
        <f t="shared" si="11"/>
        <v>0</v>
      </c>
      <c r="AY60" s="331">
        <f t="shared" si="12"/>
        <v>0</v>
      </c>
      <c r="AZ60" s="324">
        <f t="shared" si="13"/>
        <v>0</v>
      </c>
      <c r="BA60" s="324">
        <f t="shared" si="14"/>
        <v>0</v>
      </c>
      <c r="BB60" s="324">
        <f t="shared" si="15"/>
        <v>0</v>
      </c>
      <c r="BC60" s="324">
        <f t="shared" si="16"/>
        <v>0</v>
      </c>
      <c r="BD60" s="324">
        <f t="shared" si="17"/>
        <v>0</v>
      </c>
      <c r="BE60" s="324">
        <f t="shared" si="18"/>
        <v>0</v>
      </c>
      <c r="BF60" s="324">
        <f t="shared" si="19"/>
        <v>0</v>
      </c>
      <c r="BG60" s="324">
        <f t="shared" si="20"/>
        <v>0</v>
      </c>
      <c r="BH60" s="324">
        <f t="shared" si="21"/>
        <v>0</v>
      </c>
      <c r="BI60" s="324">
        <f t="shared" si="22"/>
        <v>0</v>
      </c>
      <c r="BJ60" s="324">
        <f t="shared" si="23"/>
        <v>0</v>
      </c>
      <c r="BK60" s="324">
        <f t="shared" si="24"/>
        <v>0</v>
      </c>
      <c r="BL60" s="324">
        <f t="shared" si="25"/>
        <v>0</v>
      </c>
      <c r="BM60" s="324">
        <f t="shared" si="26"/>
        <v>0</v>
      </c>
      <c r="BN60" s="324">
        <f t="shared" si="27"/>
        <v>0</v>
      </c>
      <c r="BO60" s="324">
        <f t="shared" si="28"/>
        <v>0</v>
      </c>
      <c r="BP60" s="324">
        <f t="shared" si="29"/>
        <v>0</v>
      </c>
      <c r="BQ60" s="324">
        <f t="shared" si="30"/>
        <v>0</v>
      </c>
      <c r="BR60" s="324">
        <f t="shared" si="31"/>
        <v>0</v>
      </c>
      <c r="BS60" s="324">
        <f t="shared" si="32"/>
        <v>0</v>
      </c>
      <c r="BT60" s="332">
        <f t="shared" si="33"/>
        <v>0</v>
      </c>
    </row>
    <row r="61" spans="1:72" ht="14.25">
      <c r="A61" s="297"/>
      <c r="B61" s="323"/>
      <c r="C61" s="323"/>
      <c r="D61" s="2215"/>
      <c r="E61" s="324">
        <f t="shared" si="5"/>
        <v>0</v>
      </c>
      <c r="F61" s="325"/>
      <c r="G61" s="326">
        <f t="shared" si="6"/>
        <v>0</v>
      </c>
      <c r="H61" s="327">
        <f t="shared" si="7"/>
        <v>0</v>
      </c>
      <c r="I61" s="328"/>
      <c r="J61" s="328"/>
      <c r="K61" s="328"/>
      <c r="L61" s="328"/>
      <c r="M61" s="328"/>
      <c r="N61" s="328"/>
      <c r="O61" s="328"/>
      <c r="P61" s="328"/>
      <c r="Q61" s="328"/>
      <c r="R61" s="328"/>
      <c r="S61" s="328"/>
      <c r="T61" s="328"/>
      <c r="U61" s="328"/>
      <c r="V61" s="328"/>
      <c r="W61" s="328"/>
      <c r="X61" s="328"/>
      <c r="Y61" s="328"/>
      <c r="Z61" s="328"/>
      <c r="AA61" s="328"/>
      <c r="AB61" s="328"/>
      <c r="AC61" s="324">
        <f t="shared" si="8"/>
        <v>0</v>
      </c>
      <c r="AD61" s="329"/>
      <c r="AE61" s="329"/>
      <c r="AF61" s="329"/>
      <c r="AG61" s="329"/>
      <c r="AH61" s="329"/>
      <c r="AI61" s="329"/>
      <c r="AJ61" s="329"/>
      <c r="AK61" s="329"/>
      <c r="AL61" s="329"/>
      <c r="AM61" s="329"/>
      <c r="AN61" s="329"/>
      <c r="AO61" s="329"/>
      <c r="AP61" s="329"/>
      <c r="AQ61" s="329"/>
      <c r="AR61" s="329"/>
      <c r="AS61" s="329"/>
      <c r="AT61" s="330"/>
      <c r="AU61" s="8"/>
      <c r="AV61" s="2210">
        <f t="shared" si="9"/>
        <v>0</v>
      </c>
      <c r="AW61" s="2210">
        <f t="shared" si="10"/>
        <v>0</v>
      </c>
      <c r="AX61" s="2210">
        <f t="shared" si="11"/>
        <v>0</v>
      </c>
      <c r="AY61" s="331">
        <f t="shared" si="12"/>
        <v>0</v>
      </c>
      <c r="AZ61" s="324">
        <f t="shared" si="13"/>
        <v>0</v>
      </c>
      <c r="BA61" s="324">
        <f t="shared" si="14"/>
        <v>0</v>
      </c>
      <c r="BB61" s="324">
        <f t="shared" si="15"/>
        <v>0</v>
      </c>
      <c r="BC61" s="324">
        <f t="shared" si="16"/>
        <v>0</v>
      </c>
      <c r="BD61" s="324">
        <f t="shared" si="17"/>
        <v>0</v>
      </c>
      <c r="BE61" s="324">
        <f t="shared" si="18"/>
        <v>0</v>
      </c>
      <c r="BF61" s="324">
        <f t="shared" si="19"/>
        <v>0</v>
      </c>
      <c r="BG61" s="324">
        <f t="shared" si="20"/>
        <v>0</v>
      </c>
      <c r="BH61" s="324">
        <f t="shared" si="21"/>
        <v>0</v>
      </c>
      <c r="BI61" s="324">
        <f t="shared" si="22"/>
        <v>0</v>
      </c>
      <c r="BJ61" s="324">
        <f t="shared" si="23"/>
        <v>0</v>
      </c>
      <c r="BK61" s="324">
        <f t="shared" si="24"/>
        <v>0</v>
      </c>
      <c r="BL61" s="324">
        <f t="shared" si="25"/>
        <v>0</v>
      </c>
      <c r="BM61" s="324">
        <f t="shared" si="26"/>
        <v>0</v>
      </c>
      <c r="BN61" s="324">
        <f t="shared" si="27"/>
        <v>0</v>
      </c>
      <c r="BO61" s="324">
        <f t="shared" si="28"/>
        <v>0</v>
      </c>
      <c r="BP61" s="324">
        <f t="shared" si="29"/>
        <v>0</v>
      </c>
      <c r="BQ61" s="324">
        <f t="shared" si="30"/>
        <v>0</v>
      </c>
      <c r="BR61" s="324">
        <f t="shared" si="31"/>
        <v>0</v>
      </c>
      <c r="BS61" s="324">
        <f t="shared" si="32"/>
        <v>0</v>
      </c>
      <c r="BT61" s="332">
        <f t="shared" si="33"/>
        <v>0</v>
      </c>
    </row>
    <row r="62" spans="1:72" ht="14.25">
      <c r="A62" s="297"/>
      <c r="B62" s="323"/>
      <c r="C62" s="323"/>
      <c r="D62" s="2215"/>
      <c r="E62" s="324">
        <f t="shared" si="5"/>
        <v>0</v>
      </c>
      <c r="F62" s="325"/>
      <c r="G62" s="326">
        <f t="shared" si="6"/>
        <v>0</v>
      </c>
      <c r="H62" s="327">
        <f t="shared" si="7"/>
        <v>0</v>
      </c>
      <c r="I62" s="328"/>
      <c r="J62" s="328"/>
      <c r="K62" s="328"/>
      <c r="L62" s="328"/>
      <c r="M62" s="328"/>
      <c r="N62" s="328"/>
      <c r="O62" s="328"/>
      <c r="P62" s="328"/>
      <c r="Q62" s="328"/>
      <c r="R62" s="328"/>
      <c r="S62" s="328"/>
      <c r="T62" s="328"/>
      <c r="U62" s="328"/>
      <c r="V62" s="328"/>
      <c r="W62" s="328"/>
      <c r="X62" s="328"/>
      <c r="Y62" s="328"/>
      <c r="Z62" s="328"/>
      <c r="AA62" s="328"/>
      <c r="AB62" s="328"/>
      <c r="AC62" s="324">
        <f t="shared" si="8"/>
        <v>0</v>
      </c>
      <c r="AD62" s="329"/>
      <c r="AE62" s="329"/>
      <c r="AF62" s="329"/>
      <c r="AG62" s="329"/>
      <c r="AH62" s="329"/>
      <c r="AI62" s="329"/>
      <c r="AJ62" s="329"/>
      <c r="AK62" s="329"/>
      <c r="AL62" s="329"/>
      <c r="AM62" s="329"/>
      <c r="AN62" s="329"/>
      <c r="AO62" s="329"/>
      <c r="AP62" s="329"/>
      <c r="AQ62" s="329"/>
      <c r="AR62" s="329"/>
      <c r="AS62" s="329"/>
      <c r="AT62" s="330"/>
      <c r="AU62" s="8"/>
      <c r="AV62" s="2210">
        <f t="shared" si="9"/>
        <v>0</v>
      </c>
      <c r="AW62" s="2210">
        <f t="shared" si="10"/>
        <v>0</v>
      </c>
      <c r="AX62" s="2210">
        <f t="shared" si="11"/>
        <v>0</v>
      </c>
      <c r="AY62" s="331">
        <f t="shared" si="12"/>
        <v>0</v>
      </c>
      <c r="AZ62" s="324">
        <f t="shared" si="13"/>
        <v>0</v>
      </c>
      <c r="BA62" s="324">
        <f t="shared" si="14"/>
        <v>0</v>
      </c>
      <c r="BB62" s="324">
        <f t="shared" si="15"/>
        <v>0</v>
      </c>
      <c r="BC62" s="324">
        <f t="shared" si="16"/>
        <v>0</v>
      </c>
      <c r="BD62" s="324">
        <f t="shared" si="17"/>
        <v>0</v>
      </c>
      <c r="BE62" s="324">
        <f t="shared" si="18"/>
        <v>0</v>
      </c>
      <c r="BF62" s="324">
        <f t="shared" si="19"/>
        <v>0</v>
      </c>
      <c r="BG62" s="324">
        <f t="shared" si="20"/>
        <v>0</v>
      </c>
      <c r="BH62" s="324">
        <f t="shared" si="21"/>
        <v>0</v>
      </c>
      <c r="BI62" s="324">
        <f t="shared" si="22"/>
        <v>0</v>
      </c>
      <c r="BJ62" s="324">
        <f t="shared" si="23"/>
        <v>0</v>
      </c>
      <c r="BK62" s="324">
        <f t="shared" si="24"/>
        <v>0</v>
      </c>
      <c r="BL62" s="324">
        <f t="shared" si="25"/>
        <v>0</v>
      </c>
      <c r="BM62" s="324">
        <f t="shared" si="26"/>
        <v>0</v>
      </c>
      <c r="BN62" s="324">
        <f t="shared" si="27"/>
        <v>0</v>
      </c>
      <c r="BO62" s="324">
        <f t="shared" si="28"/>
        <v>0</v>
      </c>
      <c r="BP62" s="324">
        <f t="shared" si="29"/>
        <v>0</v>
      </c>
      <c r="BQ62" s="324">
        <f t="shared" si="30"/>
        <v>0</v>
      </c>
      <c r="BR62" s="324">
        <f t="shared" si="31"/>
        <v>0</v>
      </c>
      <c r="BS62" s="324">
        <f t="shared" si="32"/>
        <v>0</v>
      </c>
      <c r="BT62" s="332">
        <f t="shared" si="33"/>
        <v>0</v>
      </c>
    </row>
    <row r="63" spans="1:72" ht="14.25">
      <c r="A63" s="297"/>
      <c r="B63" s="323"/>
      <c r="C63" s="323"/>
      <c r="D63" s="2215"/>
      <c r="E63" s="324">
        <f t="shared" si="5"/>
        <v>0</v>
      </c>
      <c r="F63" s="325"/>
      <c r="G63" s="326">
        <f t="shared" si="6"/>
        <v>0</v>
      </c>
      <c r="H63" s="327">
        <f t="shared" si="7"/>
        <v>0</v>
      </c>
      <c r="I63" s="328"/>
      <c r="J63" s="328"/>
      <c r="K63" s="328"/>
      <c r="L63" s="328"/>
      <c r="M63" s="328"/>
      <c r="N63" s="328"/>
      <c r="O63" s="328"/>
      <c r="P63" s="328"/>
      <c r="Q63" s="328"/>
      <c r="R63" s="328"/>
      <c r="S63" s="328"/>
      <c r="T63" s="328"/>
      <c r="U63" s="328"/>
      <c r="V63" s="328"/>
      <c r="W63" s="328"/>
      <c r="X63" s="328"/>
      <c r="Y63" s="328"/>
      <c r="Z63" s="328"/>
      <c r="AA63" s="328"/>
      <c r="AB63" s="328"/>
      <c r="AC63" s="324">
        <f t="shared" si="8"/>
        <v>0</v>
      </c>
      <c r="AD63" s="329"/>
      <c r="AE63" s="329"/>
      <c r="AF63" s="329"/>
      <c r="AG63" s="329"/>
      <c r="AH63" s="329"/>
      <c r="AI63" s="329"/>
      <c r="AJ63" s="329"/>
      <c r="AK63" s="329"/>
      <c r="AL63" s="329"/>
      <c r="AM63" s="329"/>
      <c r="AN63" s="329"/>
      <c r="AO63" s="329"/>
      <c r="AP63" s="329"/>
      <c r="AQ63" s="329"/>
      <c r="AR63" s="329"/>
      <c r="AS63" s="329"/>
      <c r="AT63" s="330"/>
      <c r="AU63" s="8"/>
      <c r="AV63" s="2210">
        <f t="shared" si="9"/>
        <v>0</v>
      </c>
      <c r="AW63" s="2210">
        <f t="shared" si="10"/>
        <v>0</v>
      </c>
      <c r="AX63" s="2210">
        <f t="shared" si="11"/>
        <v>0</v>
      </c>
      <c r="AY63" s="331">
        <f t="shared" si="12"/>
        <v>0</v>
      </c>
      <c r="AZ63" s="324">
        <f t="shared" si="13"/>
        <v>0</v>
      </c>
      <c r="BA63" s="324">
        <f t="shared" si="14"/>
        <v>0</v>
      </c>
      <c r="BB63" s="324">
        <f t="shared" si="15"/>
        <v>0</v>
      </c>
      <c r="BC63" s="324">
        <f t="shared" si="16"/>
        <v>0</v>
      </c>
      <c r="BD63" s="324">
        <f t="shared" si="17"/>
        <v>0</v>
      </c>
      <c r="BE63" s="324">
        <f t="shared" si="18"/>
        <v>0</v>
      </c>
      <c r="BF63" s="324">
        <f t="shared" si="19"/>
        <v>0</v>
      </c>
      <c r="BG63" s="324">
        <f t="shared" si="20"/>
        <v>0</v>
      </c>
      <c r="BH63" s="324">
        <f t="shared" si="21"/>
        <v>0</v>
      </c>
      <c r="BI63" s="324">
        <f t="shared" si="22"/>
        <v>0</v>
      </c>
      <c r="BJ63" s="324">
        <f t="shared" si="23"/>
        <v>0</v>
      </c>
      <c r="BK63" s="324">
        <f t="shared" si="24"/>
        <v>0</v>
      </c>
      <c r="BL63" s="324">
        <f t="shared" si="25"/>
        <v>0</v>
      </c>
      <c r="BM63" s="324">
        <f t="shared" si="26"/>
        <v>0</v>
      </c>
      <c r="BN63" s="324">
        <f t="shared" si="27"/>
        <v>0</v>
      </c>
      <c r="BO63" s="324">
        <f t="shared" si="28"/>
        <v>0</v>
      </c>
      <c r="BP63" s="324">
        <f t="shared" si="29"/>
        <v>0</v>
      </c>
      <c r="BQ63" s="324">
        <f t="shared" si="30"/>
        <v>0</v>
      </c>
      <c r="BR63" s="324">
        <f t="shared" si="31"/>
        <v>0</v>
      </c>
      <c r="BS63" s="324">
        <f t="shared" si="32"/>
        <v>0</v>
      </c>
      <c r="BT63" s="332">
        <f t="shared" si="33"/>
        <v>0</v>
      </c>
    </row>
    <row r="64" spans="1:72" ht="14.25">
      <c r="A64" s="297"/>
      <c r="B64" s="323"/>
      <c r="C64" s="323"/>
      <c r="D64" s="2215"/>
      <c r="E64" s="324">
        <f t="shared" si="5"/>
        <v>0</v>
      </c>
      <c r="F64" s="325"/>
      <c r="G64" s="326">
        <f t="shared" si="6"/>
        <v>0</v>
      </c>
      <c r="H64" s="327">
        <f t="shared" si="7"/>
        <v>0</v>
      </c>
      <c r="I64" s="328"/>
      <c r="J64" s="328"/>
      <c r="K64" s="328"/>
      <c r="L64" s="328"/>
      <c r="M64" s="328"/>
      <c r="N64" s="328"/>
      <c r="O64" s="328"/>
      <c r="P64" s="328"/>
      <c r="Q64" s="328"/>
      <c r="R64" s="328"/>
      <c r="S64" s="328"/>
      <c r="T64" s="328"/>
      <c r="U64" s="328"/>
      <c r="V64" s="328"/>
      <c r="W64" s="328"/>
      <c r="X64" s="328"/>
      <c r="Y64" s="328"/>
      <c r="Z64" s="328"/>
      <c r="AA64" s="328"/>
      <c r="AB64" s="328"/>
      <c r="AC64" s="324">
        <f t="shared" si="8"/>
        <v>0</v>
      </c>
      <c r="AD64" s="329"/>
      <c r="AE64" s="329"/>
      <c r="AF64" s="329"/>
      <c r="AG64" s="329"/>
      <c r="AH64" s="329"/>
      <c r="AI64" s="329"/>
      <c r="AJ64" s="329"/>
      <c r="AK64" s="329"/>
      <c r="AL64" s="329"/>
      <c r="AM64" s="329"/>
      <c r="AN64" s="329"/>
      <c r="AO64" s="329"/>
      <c r="AP64" s="329"/>
      <c r="AQ64" s="329"/>
      <c r="AR64" s="329"/>
      <c r="AS64" s="329"/>
      <c r="AT64" s="330"/>
      <c r="AU64" s="8"/>
      <c r="AV64" s="2210">
        <f t="shared" si="9"/>
        <v>0</v>
      </c>
      <c r="AW64" s="2210">
        <f t="shared" si="10"/>
        <v>0</v>
      </c>
      <c r="AX64" s="2210">
        <f t="shared" si="11"/>
        <v>0</v>
      </c>
      <c r="AY64" s="331">
        <f t="shared" si="12"/>
        <v>0</v>
      </c>
      <c r="AZ64" s="324">
        <f t="shared" si="13"/>
        <v>0</v>
      </c>
      <c r="BA64" s="324">
        <f t="shared" si="14"/>
        <v>0</v>
      </c>
      <c r="BB64" s="324">
        <f t="shared" si="15"/>
        <v>0</v>
      </c>
      <c r="BC64" s="324">
        <f t="shared" si="16"/>
        <v>0</v>
      </c>
      <c r="BD64" s="324">
        <f t="shared" si="17"/>
        <v>0</v>
      </c>
      <c r="BE64" s="324">
        <f t="shared" si="18"/>
        <v>0</v>
      </c>
      <c r="BF64" s="324">
        <f t="shared" si="19"/>
        <v>0</v>
      </c>
      <c r="BG64" s="324">
        <f t="shared" si="20"/>
        <v>0</v>
      </c>
      <c r="BH64" s="324">
        <f t="shared" si="21"/>
        <v>0</v>
      </c>
      <c r="BI64" s="324">
        <f t="shared" si="22"/>
        <v>0</v>
      </c>
      <c r="BJ64" s="324">
        <f t="shared" si="23"/>
        <v>0</v>
      </c>
      <c r="BK64" s="324">
        <f t="shared" si="24"/>
        <v>0</v>
      </c>
      <c r="BL64" s="324">
        <f t="shared" si="25"/>
        <v>0</v>
      </c>
      <c r="BM64" s="324">
        <f t="shared" si="26"/>
        <v>0</v>
      </c>
      <c r="BN64" s="324">
        <f t="shared" si="27"/>
        <v>0</v>
      </c>
      <c r="BO64" s="324">
        <f t="shared" si="28"/>
        <v>0</v>
      </c>
      <c r="BP64" s="324">
        <f t="shared" si="29"/>
        <v>0</v>
      </c>
      <c r="BQ64" s="324">
        <f t="shared" si="30"/>
        <v>0</v>
      </c>
      <c r="BR64" s="324">
        <f t="shared" si="31"/>
        <v>0</v>
      </c>
      <c r="BS64" s="324">
        <f t="shared" si="32"/>
        <v>0</v>
      </c>
      <c r="BT64" s="332">
        <f t="shared" si="33"/>
        <v>0</v>
      </c>
    </row>
    <row r="65" spans="1:72" ht="14.25">
      <c r="A65" s="297"/>
      <c r="B65" s="323"/>
      <c r="C65" s="323"/>
      <c r="D65" s="2215"/>
      <c r="E65" s="324">
        <f t="shared" si="5"/>
        <v>0</v>
      </c>
      <c r="F65" s="325"/>
      <c r="G65" s="326">
        <f t="shared" si="6"/>
        <v>0</v>
      </c>
      <c r="H65" s="327">
        <f t="shared" si="7"/>
        <v>0</v>
      </c>
      <c r="I65" s="328"/>
      <c r="J65" s="328"/>
      <c r="K65" s="328"/>
      <c r="L65" s="328"/>
      <c r="M65" s="328"/>
      <c r="N65" s="328"/>
      <c r="O65" s="328"/>
      <c r="P65" s="328"/>
      <c r="Q65" s="328"/>
      <c r="R65" s="328"/>
      <c r="S65" s="328"/>
      <c r="T65" s="328"/>
      <c r="U65" s="328"/>
      <c r="V65" s="328"/>
      <c r="W65" s="328"/>
      <c r="X65" s="328"/>
      <c r="Y65" s="328"/>
      <c r="Z65" s="328"/>
      <c r="AA65" s="328"/>
      <c r="AB65" s="328"/>
      <c r="AC65" s="324">
        <f t="shared" si="8"/>
        <v>0</v>
      </c>
      <c r="AD65" s="329"/>
      <c r="AE65" s="329"/>
      <c r="AF65" s="329"/>
      <c r="AG65" s="329"/>
      <c r="AH65" s="329"/>
      <c r="AI65" s="329"/>
      <c r="AJ65" s="329"/>
      <c r="AK65" s="329"/>
      <c r="AL65" s="329"/>
      <c r="AM65" s="329"/>
      <c r="AN65" s="329"/>
      <c r="AO65" s="329"/>
      <c r="AP65" s="329"/>
      <c r="AQ65" s="329"/>
      <c r="AR65" s="329"/>
      <c r="AS65" s="329"/>
      <c r="AT65" s="330"/>
      <c r="AU65" s="8"/>
      <c r="AV65" s="2210">
        <f t="shared" si="9"/>
        <v>0</v>
      </c>
      <c r="AW65" s="2210">
        <f t="shared" si="10"/>
        <v>0</v>
      </c>
      <c r="AX65" s="2210">
        <f t="shared" si="11"/>
        <v>0</v>
      </c>
      <c r="AY65" s="331">
        <f t="shared" si="12"/>
        <v>0</v>
      </c>
      <c r="AZ65" s="324">
        <f t="shared" si="13"/>
        <v>0</v>
      </c>
      <c r="BA65" s="324">
        <f t="shared" si="14"/>
        <v>0</v>
      </c>
      <c r="BB65" s="324">
        <f t="shared" si="15"/>
        <v>0</v>
      </c>
      <c r="BC65" s="324">
        <f t="shared" si="16"/>
        <v>0</v>
      </c>
      <c r="BD65" s="324">
        <f t="shared" si="17"/>
        <v>0</v>
      </c>
      <c r="BE65" s="324">
        <f t="shared" si="18"/>
        <v>0</v>
      </c>
      <c r="BF65" s="324">
        <f t="shared" si="19"/>
        <v>0</v>
      </c>
      <c r="BG65" s="324">
        <f t="shared" si="20"/>
        <v>0</v>
      </c>
      <c r="BH65" s="324">
        <f t="shared" si="21"/>
        <v>0</v>
      </c>
      <c r="BI65" s="324">
        <f t="shared" si="22"/>
        <v>0</v>
      </c>
      <c r="BJ65" s="324">
        <f t="shared" si="23"/>
        <v>0</v>
      </c>
      <c r="BK65" s="324">
        <f t="shared" si="24"/>
        <v>0</v>
      </c>
      <c r="BL65" s="324">
        <f t="shared" si="25"/>
        <v>0</v>
      </c>
      <c r="BM65" s="324">
        <f t="shared" si="26"/>
        <v>0</v>
      </c>
      <c r="BN65" s="324">
        <f t="shared" si="27"/>
        <v>0</v>
      </c>
      <c r="BO65" s="324">
        <f t="shared" si="28"/>
        <v>0</v>
      </c>
      <c r="BP65" s="324">
        <f t="shared" si="29"/>
        <v>0</v>
      </c>
      <c r="BQ65" s="324">
        <f t="shared" si="30"/>
        <v>0</v>
      </c>
      <c r="BR65" s="324">
        <f t="shared" si="31"/>
        <v>0</v>
      </c>
      <c r="BS65" s="324">
        <f t="shared" si="32"/>
        <v>0</v>
      </c>
      <c r="BT65" s="332">
        <f t="shared" si="33"/>
        <v>0</v>
      </c>
    </row>
    <row r="66" spans="1:72" ht="14.25">
      <c r="A66" s="297"/>
      <c r="B66" s="323"/>
      <c r="C66" s="323"/>
      <c r="D66" s="2215"/>
      <c r="E66" s="324">
        <f t="shared" si="5"/>
        <v>0</v>
      </c>
      <c r="F66" s="325"/>
      <c r="G66" s="326">
        <f t="shared" si="6"/>
        <v>0</v>
      </c>
      <c r="H66" s="327">
        <f t="shared" si="7"/>
        <v>0</v>
      </c>
      <c r="I66" s="328"/>
      <c r="J66" s="328"/>
      <c r="K66" s="328"/>
      <c r="L66" s="328"/>
      <c r="M66" s="328"/>
      <c r="N66" s="328"/>
      <c r="O66" s="328"/>
      <c r="P66" s="328"/>
      <c r="Q66" s="328"/>
      <c r="R66" s="328"/>
      <c r="S66" s="328"/>
      <c r="T66" s="328"/>
      <c r="U66" s="328"/>
      <c r="V66" s="328"/>
      <c r="W66" s="328"/>
      <c r="X66" s="328"/>
      <c r="Y66" s="328"/>
      <c r="Z66" s="328"/>
      <c r="AA66" s="328"/>
      <c r="AB66" s="328"/>
      <c r="AC66" s="324">
        <f t="shared" si="8"/>
        <v>0</v>
      </c>
      <c r="AD66" s="329"/>
      <c r="AE66" s="329"/>
      <c r="AF66" s="329"/>
      <c r="AG66" s="329"/>
      <c r="AH66" s="329"/>
      <c r="AI66" s="329"/>
      <c r="AJ66" s="329"/>
      <c r="AK66" s="329"/>
      <c r="AL66" s="329"/>
      <c r="AM66" s="329"/>
      <c r="AN66" s="329"/>
      <c r="AO66" s="329"/>
      <c r="AP66" s="329"/>
      <c r="AQ66" s="329"/>
      <c r="AR66" s="329"/>
      <c r="AS66" s="329"/>
      <c r="AT66" s="330"/>
      <c r="AU66" s="8"/>
      <c r="AV66" s="2210">
        <f t="shared" si="9"/>
        <v>0</v>
      </c>
      <c r="AW66" s="2210">
        <f t="shared" si="10"/>
        <v>0</v>
      </c>
      <c r="AX66" s="2210">
        <f t="shared" si="11"/>
        <v>0</v>
      </c>
      <c r="AY66" s="331">
        <f t="shared" si="12"/>
        <v>0</v>
      </c>
      <c r="AZ66" s="324">
        <f t="shared" si="13"/>
        <v>0</v>
      </c>
      <c r="BA66" s="324">
        <f t="shared" si="14"/>
        <v>0</v>
      </c>
      <c r="BB66" s="324">
        <f t="shared" si="15"/>
        <v>0</v>
      </c>
      <c r="BC66" s="324">
        <f t="shared" si="16"/>
        <v>0</v>
      </c>
      <c r="BD66" s="324">
        <f t="shared" si="17"/>
        <v>0</v>
      </c>
      <c r="BE66" s="324">
        <f t="shared" si="18"/>
        <v>0</v>
      </c>
      <c r="BF66" s="324">
        <f t="shared" si="19"/>
        <v>0</v>
      </c>
      <c r="BG66" s="324">
        <f t="shared" si="20"/>
        <v>0</v>
      </c>
      <c r="BH66" s="324">
        <f t="shared" si="21"/>
        <v>0</v>
      </c>
      <c r="BI66" s="324">
        <f t="shared" si="22"/>
        <v>0</v>
      </c>
      <c r="BJ66" s="324">
        <f t="shared" si="23"/>
        <v>0</v>
      </c>
      <c r="BK66" s="324">
        <f t="shared" si="24"/>
        <v>0</v>
      </c>
      <c r="BL66" s="324">
        <f t="shared" si="25"/>
        <v>0</v>
      </c>
      <c r="BM66" s="324">
        <f t="shared" si="26"/>
        <v>0</v>
      </c>
      <c r="BN66" s="324">
        <f t="shared" si="27"/>
        <v>0</v>
      </c>
      <c r="BO66" s="324">
        <f t="shared" si="28"/>
        <v>0</v>
      </c>
      <c r="BP66" s="324">
        <f t="shared" si="29"/>
        <v>0</v>
      </c>
      <c r="BQ66" s="324">
        <f t="shared" si="30"/>
        <v>0</v>
      </c>
      <c r="BR66" s="324">
        <f t="shared" si="31"/>
        <v>0</v>
      </c>
      <c r="BS66" s="324">
        <f t="shared" si="32"/>
        <v>0</v>
      </c>
      <c r="BT66" s="332">
        <f t="shared" si="33"/>
        <v>0</v>
      </c>
    </row>
    <row r="67" spans="1:72" ht="14.25">
      <c r="A67" s="297"/>
      <c r="B67" s="323"/>
      <c r="C67" s="323"/>
      <c r="D67" s="2215"/>
      <c r="E67" s="324">
        <f t="shared" si="5"/>
        <v>0</v>
      </c>
      <c r="F67" s="325"/>
      <c r="G67" s="326">
        <f t="shared" si="6"/>
        <v>0</v>
      </c>
      <c r="H67" s="327">
        <f t="shared" si="7"/>
        <v>0</v>
      </c>
      <c r="I67" s="328"/>
      <c r="J67" s="328"/>
      <c r="K67" s="328"/>
      <c r="L67" s="328"/>
      <c r="M67" s="328"/>
      <c r="N67" s="328"/>
      <c r="O67" s="328"/>
      <c r="P67" s="328"/>
      <c r="Q67" s="328"/>
      <c r="R67" s="328"/>
      <c r="S67" s="328"/>
      <c r="T67" s="328"/>
      <c r="U67" s="328"/>
      <c r="V67" s="328"/>
      <c r="W67" s="328"/>
      <c r="X67" s="328"/>
      <c r="Y67" s="328"/>
      <c r="Z67" s="328"/>
      <c r="AA67" s="328"/>
      <c r="AB67" s="328"/>
      <c r="AC67" s="324">
        <f t="shared" si="8"/>
        <v>0</v>
      </c>
      <c r="AD67" s="329"/>
      <c r="AE67" s="329"/>
      <c r="AF67" s="329"/>
      <c r="AG67" s="329"/>
      <c r="AH67" s="329"/>
      <c r="AI67" s="329"/>
      <c r="AJ67" s="329"/>
      <c r="AK67" s="329"/>
      <c r="AL67" s="329"/>
      <c r="AM67" s="329"/>
      <c r="AN67" s="329"/>
      <c r="AO67" s="329"/>
      <c r="AP67" s="329"/>
      <c r="AQ67" s="329"/>
      <c r="AR67" s="329"/>
      <c r="AS67" s="329"/>
      <c r="AT67" s="330"/>
      <c r="AU67" s="8"/>
      <c r="AV67" s="2210">
        <f t="shared" si="9"/>
        <v>0</v>
      </c>
      <c r="AW67" s="2210">
        <f t="shared" si="10"/>
        <v>0</v>
      </c>
      <c r="AX67" s="2210">
        <f t="shared" si="11"/>
        <v>0</v>
      </c>
      <c r="AY67" s="331">
        <f t="shared" si="12"/>
        <v>0</v>
      </c>
      <c r="AZ67" s="324">
        <f t="shared" si="13"/>
        <v>0</v>
      </c>
      <c r="BA67" s="324">
        <f t="shared" si="14"/>
        <v>0</v>
      </c>
      <c r="BB67" s="324">
        <f t="shared" si="15"/>
        <v>0</v>
      </c>
      <c r="BC67" s="324">
        <f t="shared" si="16"/>
        <v>0</v>
      </c>
      <c r="BD67" s="324">
        <f t="shared" si="17"/>
        <v>0</v>
      </c>
      <c r="BE67" s="324">
        <f t="shared" si="18"/>
        <v>0</v>
      </c>
      <c r="BF67" s="324">
        <f t="shared" si="19"/>
        <v>0</v>
      </c>
      <c r="BG67" s="324">
        <f t="shared" si="20"/>
        <v>0</v>
      </c>
      <c r="BH67" s="324">
        <f t="shared" si="21"/>
        <v>0</v>
      </c>
      <c r="BI67" s="324">
        <f t="shared" si="22"/>
        <v>0</v>
      </c>
      <c r="BJ67" s="324">
        <f t="shared" si="23"/>
        <v>0</v>
      </c>
      <c r="BK67" s="324">
        <f t="shared" si="24"/>
        <v>0</v>
      </c>
      <c r="BL67" s="324">
        <f t="shared" si="25"/>
        <v>0</v>
      </c>
      <c r="BM67" s="324">
        <f t="shared" si="26"/>
        <v>0</v>
      </c>
      <c r="BN67" s="324">
        <f t="shared" si="27"/>
        <v>0</v>
      </c>
      <c r="BO67" s="324">
        <f t="shared" si="28"/>
        <v>0</v>
      </c>
      <c r="BP67" s="324">
        <f t="shared" si="29"/>
        <v>0</v>
      </c>
      <c r="BQ67" s="324">
        <f t="shared" si="30"/>
        <v>0</v>
      </c>
      <c r="BR67" s="324">
        <f t="shared" si="31"/>
        <v>0</v>
      </c>
      <c r="BS67" s="324">
        <f t="shared" si="32"/>
        <v>0</v>
      </c>
      <c r="BT67" s="332">
        <f t="shared" si="33"/>
        <v>0</v>
      </c>
    </row>
    <row r="68" spans="1:72" ht="14.25">
      <c r="A68" s="297"/>
      <c r="B68" s="323"/>
      <c r="C68" s="323"/>
      <c r="D68" s="2215"/>
      <c r="E68" s="324">
        <f t="shared" si="5"/>
        <v>0</v>
      </c>
      <c r="F68" s="325"/>
      <c r="G68" s="326">
        <f t="shared" si="6"/>
        <v>0</v>
      </c>
      <c r="H68" s="327">
        <f t="shared" si="7"/>
        <v>0</v>
      </c>
      <c r="I68" s="328"/>
      <c r="J68" s="328"/>
      <c r="K68" s="328"/>
      <c r="L68" s="328"/>
      <c r="M68" s="328"/>
      <c r="N68" s="328"/>
      <c r="O68" s="328"/>
      <c r="P68" s="328"/>
      <c r="Q68" s="328"/>
      <c r="R68" s="328"/>
      <c r="S68" s="328"/>
      <c r="T68" s="328"/>
      <c r="U68" s="328"/>
      <c r="V68" s="328"/>
      <c r="W68" s="328"/>
      <c r="X68" s="328"/>
      <c r="Y68" s="328"/>
      <c r="Z68" s="328"/>
      <c r="AA68" s="328"/>
      <c r="AB68" s="328"/>
      <c r="AC68" s="324">
        <f t="shared" si="8"/>
        <v>0</v>
      </c>
      <c r="AD68" s="329"/>
      <c r="AE68" s="329"/>
      <c r="AF68" s="329"/>
      <c r="AG68" s="329"/>
      <c r="AH68" s="329"/>
      <c r="AI68" s="329"/>
      <c r="AJ68" s="329"/>
      <c r="AK68" s="329"/>
      <c r="AL68" s="329"/>
      <c r="AM68" s="329"/>
      <c r="AN68" s="329"/>
      <c r="AO68" s="329"/>
      <c r="AP68" s="329"/>
      <c r="AQ68" s="329"/>
      <c r="AR68" s="329"/>
      <c r="AS68" s="329"/>
      <c r="AT68" s="330"/>
      <c r="AU68" s="8"/>
      <c r="AV68" s="2210">
        <f t="shared" si="9"/>
        <v>0</v>
      </c>
      <c r="AW68" s="2210">
        <f t="shared" si="10"/>
        <v>0</v>
      </c>
      <c r="AX68" s="2210">
        <f t="shared" si="11"/>
        <v>0</v>
      </c>
      <c r="AY68" s="331">
        <f t="shared" si="12"/>
        <v>0</v>
      </c>
      <c r="AZ68" s="324">
        <f t="shared" si="13"/>
        <v>0</v>
      </c>
      <c r="BA68" s="324">
        <f t="shared" si="14"/>
        <v>0</v>
      </c>
      <c r="BB68" s="324">
        <f t="shared" si="15"/>
        <v>0</v>
      </c>
      <c r="BC68" s="324">
        <f t="shared" si="16"/>
        <v>0</v>
      </c>
      <c r="BD68" s="324">
        <f t="shared" si="17"/>
        <v>0</v>
      </c>
      <c r="BE68" s="324">
        <f t="shared" si="18"/>
        <v>0</v>
      </c>
      <c r="BF68" s="324">
        <f t="shared" si="19"/>
        <v>0</v>
      </c>
      <c r="BG68" s="324">
        <f t="shared" si="20"/>
        <v>0</v>
      </c>
      <c r="BH68" s="324">
        <f t="shared" si="21"/>
        <v>0</v>
      </c>
      <c r="BI68" s="324">
        <f t="shared" si="22"/>
        <v>0</v>
      </c>
      <c r="BJ68" s="324">
        <f t="shared" si="23"/>
        <v>0</v>
      </c>
      <c r="BK68" s="324">
        <f t="shared" si="24"/>
        <v>0</v>
      </c>
      <c r="BL68" s="324">
        <f t="shared" si="25"/>
        <v>0</v>
      </c>
      <c r="BM68" s="324">
        <f t="shared" si="26"/>
        <v>0</v>
      </c>
      <c r="BN68" s="324">
        <f t="shared" si="27"/>
        <v>0</v>
      </c>
      <c r="BO68" s="324">
        <f t="shared" si="28"/>
        <v>0</v>
      </c>
      <c r="BP68" s="324">
        <f t="shared" si="29"/>
        <v>0</v>
      </c>
      <c r="BQ68" s="324">
        <f t="shared" si="30"/>
        <v>0</v>
      </c>
      <c r="BR68" s="324">
        <f t="shared" si="31"/>
        <v>0</v>
      </c>
      <c r="BS68" s="324">
        <f t="shared" si="32"/>
        <v>0</v>
      </c>
      <c r="BT68" s="332">
        <f t="shared" si="33"/>
        <v>0</v>
      </c>
    </row>
    <row r="69" spans="1:72" ht="14.25">
      <c r="A69" s="297"/>
      <c r="B69" s="323"/>
      <c r="C69" s="323"/>
      <c r="D69" s="2215"/>
      <c r="E69" s="324">
        <f t="shared" si="5"/>
        <v>0</v>
      </c>
      <c r="F69" s="325"/>
      <c r="G69" s="326">
        <f t="shared" si="6"/>
        <v>0</v>
      </c>
      <c r="H69" s="327">
        <f t="shared" si="7"/>
        <v>0</v>
      </c>
      <c r="I69" s="328"/>
      <c r="J69" s="328"/>
      <c r="K69" s="328"/>
      <c r="L69" s="328"/>
      <c r="M69" s="328"/>
      <c r="N69" s="328"/>
      <c r="O69" s="328"/>
      <c r="P69" s="328"/>
      <c r="Q69" s="328"/>
      <c r="R69" s="328"/>
      <c r="S69" s="328"/>
      <c r="T69" s="328"/>
      <c r="U69" s="328"/>
      <c r="V69" s="328"/>
      <c r="W69" s="328"/>
      <c r="X69" s="328"/>
      <c r="Y69" s="328"/>
      <c r="Z69" s="328"/>
      <c r="AA69" s="328"/>
      <c r="AB69" s="328"/>
      <c r="AC69" s="324">
        <f t="shared" si="8"/>
        <v>0</v>
      </c>
      <c r="AD69" s="329"/>
      <c r="AE69" s="329"/>
      <c r="AF69" s="329"/>
      <c r="AG69" s="329"/>
      <c r="AH69" s="329"/>
      <c r="AI69" s="329"/>
      <c r="AJ69" s="329"/>
      <c r="AK69" s="329"/>
      <c r="AL69" s="329"/>
      <c r="AM69" s="329"/>
      <c r="AN69" s="329"/>
      <c r="AO69" s="329"/>
      <c r="AP69" s="329"/>
      <c r="AQ69" s="329"/>
      <c r="AR69" s="329"/>
      <c r="AS69" s="329"/>
      <c r="AT69" s="330"/>
      <c r="AU69" s="8"/>
      <c r="AV69" s="2210">
        <f t="shared" si="9"/>
        <v>0</v>
      </c>
      <c r="AW69" s="2210">
        <f t="shared" si="10"/>
        <v>0</v>
      </c>
      <c r="AX69" s="2210">
        <f t="shared" si="11"/>
        <v>0</v>
      </c>
      <c r="AY69" s="331">
        <f t="shared" si="12"/>
        <v>0</v>
      </c>
      <c r="AZ69" s="324">
        <f t="shared" si="13"/>
        <v>0</v>
      </c>
      <c r="BA69" s="324">
        <f t="shared" si="14"/>
        <v>0</v>
      </c>
      <c r="BB69" s="324">
        <f t="shared" si="15"/>
        <v>0</v>
      </c>
      <c r="BC69" s="324">
        <f t="shared" si="16"/>
        <v>0</v>
      </c>
      <c r="BD69" s="324">
        <f t="shared" si="17"/>
        <v>0</v>
      </c>
      <c r="BE69" s="324">
        <f t="shared" si="18"/>
        <v>0</v>
      </c>
      <c r="BF69" s="324">
        <f t="shared" si="19"/>
        <v>0</v>
      </c>
      <c r="BG69" s="324">
        <f t="shared" si="20"/>
        <v>0</v>
      </c>
      <c r="BH69" s="324">
        <f t="shared" si="21"/>
        <v>0</v>
      </c>
      <c r="BI69" s="324">
        <f t="shared" si="22"/>
        <v>0</v>
      </c>
      <c r="BJ69" s="324">
        <f t="shared" si="23"/>
        <v>0</v>
      </c>
      <c r="BK69" s="324">
        <f t="shared" si="24"/>
        <v>0</v>
      </c>
      <c r="BL69" s="324">
        <f t="shared" si="25"/>
        <v>0</v>
      </c>
      <c r="BM69" s="324">
        <f t="shared" si="26"/>
        <v>0</v>
      </c>
      <c r="BN69" s="324">
        <f t="shared" si="27"/>
        <v>0</v>
      </c>
      <c r="BO69" s="324">
        <f t="shared" si="28"/>
        <v>0</v>
      </c>
      <c r="BP69" s="324">
        <f t="shared" si="29"/>
        <v>0</v>
      </c>
      <c r="BQ69" s="324">
        <f t="shared" si="30"/>
        <v>0</v>
      </c>
      <c r="BR69" s="324">
        <f t="shared" si="31"/>
        <v>0</v>
      </c>
      <c r="BS69" s="324">
        <f t="shared" si="32"/>
        <v>0</v>
      </c>
      <c r="BT69" s="332">
        <f t="shared" si="33"/>
        <v>0</v>
      </c>
    </row>
    <row r="70" spans="1:72" ht="14.25">
      <c r="A70" s="297"/>
      <c r="B70" s="323"/>
      <c r="C70" s="323"/>
      <c r="D70" s="2215"/>
      <c r="E70" s="324">
        <f t="shared" si="5"/>
        <v>0</v>
      </c>
      <c r="F70" s="325"/>
      <c r="G70" s="326">
        <f t="shared" si="6"/>
        <v>0</v>
      </c>
      <c r="H70" s="327">
        <f t="shared" si="7"/>
        <v>0</v>
      </c>
      <c r="I70" s="328"/>
      <c r="J70" s="328"/>
      <c r="K70" s="328"/>
      <c r="L70" s="328"/>
      <c r="M70" s="328"/>
      <c r="N70" s="328"/>
      <c r="O70" s="328"/>
      <c r="P70" s="328"/>
      <c r="Q70" s="328"/>
      <c r="R70" s="328"/>
      <c r="S70" s="328"/>
      <c r="T70" s="328"/>
      <c r="U70" s="328"/>
      <c r="V70" s="328"/>
      <c r="W70" s="328"/>
      <c r="X70" s="328"/>
      <c r="Y70" s="328"/>
      <c r="Z70" s="328"/>
      <c r="AA70" s="328"/>
      <c r="AB70" s="328"/>
      <c r="AC70" s="324">
        <f t="shared" si="8"/>
        <v>0</v>
      </c>
      <c r="AD70" s="329"/>
      <c r="AE70" s="329"/>
      <c r="AF70" s="329"/>
      <c r="AG70" s="329"/>
      <c r="AH70" s="329"/>
      <c r="AI70" s="329"/>
      <c r="AJ70" s="329"/>
      <c r="AK70" s="329"/>
      <c r="AL70" s="329"/>
      <c r="AM70" s="329"/>
      <c r="AN70" s="329"/>
      <c r="AO70" s="329"/>
      <c r="AP70" s="329"/>
      <c r="AQ70" s="329"/>
      <c r="AR70" s="329"/>
      <c r="AS70" s="329"/>
      <c r="AT70" s="330"/>
      <c r="AU70" s="8"/>
      <c r="AV70" s="2210">
        <f t="shared" si="9"/>
        <v>0</v>
      </c>
      <c r="AW70" s="2210">
        <f t="shared" si="10"/>
        <v>0</v>
      </c>
      <c r="AX70" s="2210">
        <f t="shared" si="11"/>
        <v>0</v>
      </c>
      <c r="AY70" s="331">
        <f t="shared" si="12"/>
        <v>0</v>
      </c>
      <c r="AZ70" s="324">
        <f t="shared" si="13"/>
        <v>0</v>
      </c>
      <c r="BA70" s="324">
        <f t="shared" si="14"/>
        <v>0</v>
      </c>
      <c r="BB70" s="324">
        <f t="shared" si="15"/>
        <v>0</v>
      </c>
      <c r="BC70" s="324">
        <f t="shared" si="16"/>
        <v>0</v>
      </c>
      <c r="BD70" s="324">
        <f t="shared" si="17"/>
        <v>0</v>
      </c>
      <c r="BE70" s="324">
        <f t="shared" si="18"/>
        <v>0</v>
      </c>
      <c r="BF70" s="324">
        <f t="shared" si="19"/>
        <v>0</v>
      </c>
      <c r="BG70" s="324">
        <f t="shared" si="20"/>
        <v>0</v>
      </c>
      <c r="BH70" s="324">
        <f t="shared" si="21"/>
        <v>0</v>
      </c>
      <c r="BI70" s="324">
        <f t="shared" si="22"/>
        <v>0</v>
      </c>
      <c r="BJ70" s="324">
        <f t="shared" si="23"/>
        <v>0</v>
      </c>
      <c r="BK70" s="324">
        <f t="shared" si="24"/>
        <v>0</v>
      </c>
      <c r="BL70" s="324">
        <f t="shared" si="25"/>
        <v>0</v>
      </c>
      <c r="BM70" s="324">
        <f t="shared" si="26"/>
        <v>0</v>
      </c>
      <c r="BN70" s="324">
        <f t="shared" si="27"/>
        <v>0</v>
      </c>
      <c r="BO70" s="324">
        <f t="shared" si="28"/>
        <v>0</v>
      </c>
      <c r="BP70" s="324">
        <f t="shared" si="29"/>
        <v>0</v>
      </c>
      <c r="BQ70" s="324">
        <f t="shared" si="30"/>
        <v>0</v>
      </c>
      <c r="BR70" s="324">
        <f t="shared" si="31"/>
        <v>0</v>
      </c>
      <c r="BS70" s="324">
        <f t="shared" si="32"/>
        <v>0</v>
      </c>
      <c r="BT70" s="332">
        <f t="shared" si="33"/>
        <v>0</v>
      </c>
    </row>
    <row r="71" spans="1:72" ht="14.25">
      <c r="A71" s="297"/>
      <c r="B71" s="323"/>
      <c r="C71" s="323"/>
      <c r="D71" s="2215"/>
      <c r="E71" s="324">
        <f t="shared" si="5"/>
        <v>0</v>
      </c>
      <c r="F71" s="325"/>
      <c r="G71" s="326">
        <f t="shared" si="6"/>
        <v>0</v>
      </c>
      <c r="H71" s="327">
        <f t="shared" si="7"/>
        <v>0</v>
      </c>
      <c r="I71" s="328"/>
      <c r="J71" s="328"/>
      <c r="K71" s="328"/>
      <c r="L71" s="328"/>
      <c r="M71" s="328"/>
      <c r="N71" s="328"/>
      <c r="O71" s="328"/>
      <c r="P71" s="328"/>
      <c r="Q71" s="328"/>
      <c r="R71" s="328"/>
      <c r="S71" s="328"/>
      <c r="T71" s="328"/>
      <c r="U71" s="328"/>
      <c r="V71" s="328"/>
      <c r="W71" s="328"/>
      <c r="X71" s="328"/>
      <c r="Y71" s="328"/>
      <c r="Z71" s="328"/>
      <c r="AA71" s="328"/>
      <c r="AB71" s="328"/>
      <c r="AC71" s="324">
        <f t="shared" si="8"/>
        <v>0</v>
      </c>
      <c r="AD71" s="329"/>
      <c r="AE71" s="329"/>
      <c r="AF71" s="329"/>
      <c r="AG71" s="329"/>
      <c r="AH71" s="329"/>
      <c r="AI71" s="329"/>
      <c r="AJ71" s="329"/>
      <c r="AK71" s="329"/>
      <c r="AL71" s="329"/>
      <c r="AM71" s="329"/>
      <c r="AN71" s="329"/>
      <c r="AO71" s="329"/>
      <c r="AP71" s="329"/>
      <c r="AQ71" s="329"/>
      <c r="AR71" s="329"/>
      <c r="AS71" s="329"/>
      <c r="AT71" s="330"/>
      <c r="AU71" s="8"/>
      <c r="AV71" s="2210">
        <f t="shared" si="9"/>
        <v>0</v>
      </c>
      <c r="AW71" s="2210">
        <f t="shared" si="10"/>
        <v>0</v>
      </c>
      <c r="AX71" s="2210">
        <f t="shared" si="11"/>
        <v>0</v>
      </c>
      <c r="AY71" s="331">
        <f t="shared" si="12"/>
        <v>0</v>
      </c>
      <c r="AZ71" s="324">
        <f t="shared" si="13"/>
        <v>0</v>
      </c>
      <c r="BA71" s="324">
        <f t="shared" si="14"/>
        <v>0</v>
      </c>
      <c r="BB71" s="324">
        <f t="shared" si="15"/>
        <v>0</v>
      </c>
      <c r="BC71" s="324">
        <f t="shared" si="16"/>
        <v>0</v>
      </c>
      <c r="BD71" s="324">
        <f t="shared" si="17"/>
        <v>0</v>
      </c>
      <c r="BE71" s="324">
        <f t="shared" si="18"/>
        <v>0</v>
      </c>
      <c r="BF71" s="324">
        <f t="shared" si="19"/>
        <v>0</v>
      </c>
      <c r="BG71" s="324">
        <f t="shared" si="20"/>
        <v>0</v>
      </c>
      <c r="BH71" s="324">
        <f t="shared" si="21"/>
        <v>0</v>
      </c>
      <c r="BI71" s="324">
        <f t="shared" si="22"/>
        <v>0</v>
      </c>
      <c r="BJ71" s="324">
        <f t="shared" si="23"/>
        <v>0</v>
      </c>
      <c r="BK71" s="324">
        <f t="shared" si="24"/>
        <v>0</v>
      </c>
      <c r="BL71" s="324">
        <f t="shared" si="25"/>
        <v>0</v>
      </c>
      <c r="BM71" s="324">
        <f t="shared" si="26"/>
        <v>0</v>
      </c>
      <c r="BN71" s="324">
        <f t="shared" si="27"/>
        <v>0</v>
      </c>
      <c r="BO71" s="324">
        <f t="shared" si="28"/>
        <v>0</v>
      </c>
      <c r="BP71" s="324">
        <f t="shared" si="29"/>
        <v>0</v>
      </c>
      <c r="BQ71" s="324">
        <f t="shared" si="30"/>
        <v>0</v>
      </c>
      <c r="BR71" s="324">
        <f t="shared" si="31"/>
        <v>0</v>
      </c>
      <c r="BS71" s="324">
        <f t="shared" si="32"/>
        <v>0</v>
      </c>
      <c r="BT71" s="332">
        <f t="shared" si="33"/>
        <v>0</v>
      </c>
    </row>
    <row r="72" spans="1:72" ht="14.25">
      <c r="A72" s="297"/>
      <c r="B72" s="323"/>
      <c r="C72" s="323"/>
      <c r="D72" s="2215"/>
      <c r="E72" s="324">
        <f t="shared" si="5"/>
        <v>0</v>
      </c>
      <c r="F72" s="325"/>
      <c r="G72" s="326">
        <f t="shared" si="6"/>
        <v>0</v>
      </c>
      <c r="H72" s="327">
        <f t="shared" si="7"/>
        <v>0</v>
      </c>
      <c r="I72" s="328"/>
      <c r="J72" s="328"/>
      <c r="K72" s="328"/>
      <c r="L72" s="328"/>
      <c r="M72" s="328"/>
      <c r="N72" s="328"/>
      <c r="O72" s="328"/>
      <c r="P72" s="328"/>
      <c r="Q72" s="328"/>
      <c r="R72" s="328"/>
      <c r="S72" s="328"/>
      <c r="T72" s="328"/>
      <c r="U72" s="328"/>
      <c r="V72" s="328"/>
      <c r="W72" s="328"/>
      <c r="X72" s="328"/>
      <c r="Y72" s="328"/>
      <c r="Z72" s="328"/>
      <c r="AA72" s="328"/>
      <c r="AB72" s="328"/>
      <c r="AC72" s="324">
        <f t="shared" si="8"/>
        <v>0</v>
      </c>
      <c r="AD72" s="329"/>
      <c r="AE72" s="329"/>
      <c r="AF72" s="329"/>
      <c r="AG72" s="329"/>
      <c r="AH72" s="329"/>
      <c r="AI72" s="329"/>
      <c r="AJ72" s="329"/>
      <c r="AK72" s="329"/>
      <c r="AL72" s="329"/>
      <c r="AM72" s="329"/>
      <c r="AN72" s="329"/>
      <c r="AO72" s="329"/>
      <c r="AP72" s="329"/>
      <c r="AQ72" s="329"/>
      <c r="AR72" s="329"/>
      <c r="AS72" s="329"/>
      <c r="AT72" s="330"/>
      <c r="AU72" s="8"/>
      <c r="AV72" s="2210">
        <f t="shared" si="9"/>
        <v>0</v>
      </c>
      <c r="AW72" s="2210">
        <f t="shared" si="10"/>
        <v>0</v>
      </c>
      <c r="AX72" s="2210">
        <f t="shared" si="11"/>
        <v>0</v>
      </c>
      <c r="AY72" s="331">
        <f t="shared" si="12"/>
        <v>0</v>
      </c>
      <c r="AZ72" s="324">
        <f t="shared" si="13"/>
        <v>0</v>
      </c>
      <c r="BA72" s="324">
        <f t="shared" si="14"/>
        <v>0</v>
      </c>
      <c r="BB72" s="324">
        <f t="shared" si="15"/>
        <v>0</v>
      </c>
      <c r="BC72" s="324">
        <f t="shared" si="16"/>
        <v>0</v>
      </c>
      <c r="BD72" s="324">
        <f t="shared" si="17"/>
        <v>0</v>
      </c>
      <c r="BE72" s="324">
        <f t="shared" si="18"/>
        <v>0</v>
      </c>
      <c r="BF72" s="324">
        <f t="shared" si="19"/>
        <v>0</v>
      </c>
      <c r="BG72" s="324">
        <f t="shared" si="20"/>
        <v>0</v>
      </c>
      <c r="BH72" s="324">
        <f t="shared" si="21"/>
        <v>0</v>
      </c>
      <c r="BI72" s="324">
        <f t="shared" si="22"/>
        <v>0</v>
      </c>
      <c r="BJ72" s="324">
        <f t="shared" si="23"/>
        <v>0</v>
      </c>
      <c r="BK72" s="324">
        <f t="shared" si="24"/>
        <v>0</v>
      </c>
      <c r="BL72" s="324">
        <f t="shared" si="25"/>
        <v>0</v>
      </c>
      <c r="BM72" s="324">
        <f t="shared" si="26"/>
        <v>0</v>
      </c>
      <c r="BN72" s="324">
        <f t="shared" si="27"/>
        <v>0</v>
      </c>
      <c r="BO72" s="324">
        <f t="shared" si="28"/>
        <v>0</v>
      </c>
      <c r="BP72" s="324">
        <f t="shared" si="29"/>
        <v>0</v>
      </c>
      <c r="BQ72" s="324">
        <f t="shared" si="30"/>
        <v>0</v>
      </c>
      <c r="BR72" s="324">
        <f t="shared" si="31"/>
        <v>0</v>
      </c>
      <c r="BS72" s="324">
        <f t="shared" si="32"/>
        <v>0</v>
      </c>
      <c r="BT72" s="332">
        <f t="shared" si="33"/>
        <v>0</v>
      </c>
    </row>
    <row r="73" spans="1:72" ht="14.25">
      <c r="A73" s="297"/>
      <c r="B73" s="323"/>
      <c r="C73" s="323"/>
      <c r="D73" s="2215"/>
      <c r="E73" s="324">
        <f t="shared" si="5"/>
        <v>0</v>
      </c>
      <c r="F73" s="325"/>
      <c r="G73" s="326">
        <f t="shared" si="6"/>
        <v>0</v>
      </c>
      <c r="H73" s="327">
        <f t="shared" si="7"/>
        <v>0</v>
      </c>
      <c r="I73" s="328"/>
      <c r="J73" s="328"/>
      <c r="K73" s="328"/>
      <c r="L73" s="328"/>
      <c r="M73" s="328"/>
      <c r="N73" s="328"/>
      <c r="O73" s="328"/>
      <c r="P73" s="328"/>
      <c r="Q73" s="328"/>
      <c r="R73" s="328"/>
      <c r="S73" s="328"/>
      <c r="T73" s="328"/>
      <c r="U73" s="328"/>
      <c r="V73" s="328"/>
      <c r="W73" s="328"/>
      <c r="X73" s="328"/>
      <c r="Y73" s="328"/>
      <c r="Z73" s="328"/>
      <c r="AA73" s="328"/>
      <c r="AB73" s="328"/>
      <c r="AC73" s="324">
        <f t="shared" si="8"/>
        <v>0</v>
      </c>
      <c r="AD73" s="329"/>
      <c r="AE73" s="329"/>
      <c r="AF73" s="329"/>
      <c r="AG73" s="329"/>
      <c r="AH73" s="329"/>
      <c r="AI73" s="329"/>
      <c r="AJ73" s="329"/>
      <c r="AK73" s="329"/>
      <c r="AL73" s="329"/>
      <c r="AM73" s="329"/>
      <c r="AN73" s="329"/>
      <c r="AO73" s="329"/>
      <c r="AP73" s="329"/>
      <c r="AQ73" s="329"/>
      <c r="AR73" s="329"/>
      <c r="AS73" s="329"/>
      <c r="AT73" s="330"/>
      <c r="AU73" s="8"/>
      <c r="AV73" s="2210">
        <f t="shared" si="9"/>
        <v>0</v>
      </c>
      <c r="AW73" s="2210">
        <f t="shared" si="10"/>
        <v>0</v>
      </c>
      <c r="AX73" s="2210">
        <f t="shared" si="11"/>
        <v>0</v>
      </c>
      <c r="AY73" s="331">
        <f t="shared" si="12"/>
        <v>0</v>
      </c>
      <c r="AZ73" s="324">
        <f t="shared" si="13"/>
        <v>0</v>
      </c>
      <c r="BA73" s="324">
        <f t="shared" si="14"/>
        <v>0</v>
      </c>
      <c r="BB73" s="324">
        <f t="shared" si="15"/>
        <v>0</v>
      </c>
      <c r="BC73" s="324">
        <f t="shared" si="16"/>
        <v>0</v>
      </c>
      <c r="BD73" s="324">
        <f t="shared" si="17"/>
        <v>0</v>
      </c>
      <c r="BE73" s="324">
        <f t="shared" si="18"/>
        <v>0</v>
      </c>
      <c r="BF73" s="324">
        <f t="shared" si="19"/>
        <v>0</v>
      </c>
      <c r="BG73" s="324">
        <f t="shared" si="20"/>
        <v>0</v>
      </c>
      <c r="BH73" s="324">
        <f t="shared" si="21"/>
        <v>0</v>
      </c>
      <c r="BI73" s="324">
        <f t="shared" si="22"/>
        <v>0</v>
      </c>
      <c r="BJ73" s="324">
        <f t="shared" si="23"/>
        <v>0</v>
      </c>
      <c r="BK73" s="324">
        <f t="shared" si="24"/>
        <v>0</v>
      </c>
      <c r="BL73" s="324">
        <f t="shared" si="25"/>
        <v>0</v>
      </c>
      <c r="BM73" s="324">
        <f t="shared" si="26"/>
        <v>0</v>
      </c>
      <c r="BN73" s="324">
        <f t="shared" si="27"/>
        <v>0</v>
      </c>
      <c r="BO73" s="324">
        <f t="shared" si="28"/>
        <v>0</v>
      </c>
      <c r="BP73" s="324">
        <f t="shared" si="29"/>
        <v>0</v>
      </c>
      <c r="BQ73" s="324">
        <f t="shared" si="30"/>
        <v>0</v>
      </c>
      <c r="BR73" s="324">
        <f t="shared" si="31"/>
        <v>0</v>
      </c>
      <c r="BS73" s="324">
        <f t="shared" si="32"/>
        <v>0</v>
      </c>
      <c r="BT73" s="332">
        <f t="shared" si="33"/>
        <v>0</v>
      </c>
    </row>
    <row r="74" spans="1:72" ht="14.25">
      <c r="A74" s="297"/>
      <c r="B74" s="323"/>
      <c r="C74" s="323"/>
      <c r="D74" s="2215"/>
      <c r="E74" s="324">
        <f t="shared" si="5"/>
        <v>0</v>
      </c>
      <c r="F74" s="325"/>
      <c r="G74" s="326">
        <f t="shared" si="6"/>
        <v>0</v>
      </c>
      <c r="H74" s="327">
        <f t="shared" si="7"/>
        <v>0</v>
      </c>
      <c r="I74" s="328"/>
      <c r="J74" s="328"/>
      <c r="K74" s="328"/>
      <c r="L74" s="328"/>
      <c r="M74" s="328"/>
      <c r="N74" s="328"/>
      <c r="O74" s="328"/>
      <c r="P74" s="328"/>
      <c r="Q74" s="328"/>
      <c r="R74" s="328"/>
      <c r="S74" s="328"/>
      <c r="T74" s="328"/>
      <c r="U74" s="328"/>
      <c r="V74" s="328"/>
      <c r="W74" s="328"/>
      <c r="X74" s="328"/>
      <c r="Y74" s="328"/>
      <c r="Z74" s="328"/>
      <c r="AA74" s="328"/>
      <c r="AB74" s="328"/>
      <c r="AC74" s="324">
        <f t="shared" si="8"/>
        <v>0</v>
      </c>
      <c r="AD74" s="329"/>
      <c r="AE74" s="329"/>
      <c r="AF74" s="329"/>
      <c r="AG74" s="329"/>
      <c r="AH74" s="329"/>
      <c r="AI74" s="329"/>
      <c r="AJ74" s="329"/>
      <c r="AK74" s="329"/>
      <c r="AL74" s="329"/>
      <c r="AM74" s="329"/>
      <c r="AN74" s="329"/>
      <c r="AO74" s="329"/>
      <c r="AP74" s="329"/>
      <c r="AQ74" s="329"/>
      <c r="AR74" s="329"/>
      <c r="AS74" s="329"/>
      <c r="AT74" s="330"/>
      <c r="AU74" s="8"/>
      <c r="AV74" s="2210">
        <f t="shared" si="9"/>
        <v>0</v>
      </c>
      <c r="AW74" s="2210">
        <f t="shared" si="10"/>
        <v>0</v>
      </c>
      <c r="AX74" s="2210">
        <f t="shared" si="11"/>
        <v>0</v>
      </c>
      <c r="AY74" s="331">
        <f t="shared" si="12"/>
        <v>0</v>
      </c>
      <c r="AZ74" s="324">
        <f t="shared" si="13"/>
        <v>0</v>
      </c>
      <c r="BA74" s="324">
        <f t="shared" si="14"/>
        <v>0</v>
      </c>
      <c r="BB74" s="324">
        <f t="shared" si="15"/>
        <v>0</v>
      </c>
      <c r="BC74" s="324">
        <f t="shared" si="16"/>
        <v>0</v>
      </c>
      <c r="BD74" s="324">
        <f t="shared" si="17"/>
        <v>0</v>
      </c>
      <c r="BE74" s="324">
        <f t="shared" si="18"/>
        <v>0</v>
      </c>
      <c r="BF74" s="324">
        <f t="shared" si="19"/>
        <v>0</v>
      </c>
      <c r="BG74" s="324">
        <f t="shared" si="20"/>
        <v>0</v>
      </c>
      <c r="BH74" s="324">
        <f t="shared" si="21"/>
        <v>0</v>
      </c>
      <c r="BI74" s="324">
        <f t="shared" si="22"/>
        <v>0</v>
      </c>
      <c r="BJ74" s="324">
        <f t="shared" si="23"/>
        <v>0</v>
      </c>
      <c r="BK74" s="324">
        <f t="shared" si="24"/>
        <v>0</v>
      </c>
      <c r="BL74" s="324">
        <f t="shared" si="25"/>
        <v>0</v>
      </c>
      <c r="BM74" s="324">
        <f t="shared" si="26"/>
        <v>0</v>
      </c>
      <c r="BN74" s="324">
        <f t="shared" si="27"/>
        <v>0</v>
      </c>
      <c r="BO74" s="324">
        <f t="shared" si="28"/>
        <v>0</v>
      </c>
      <c r="BP74" s="324">
        <f t="shared" si="29"/>
        <v>0</v>
      </c>
      <c r="BQ74" s="324">
        <f t="shared" si="30"/>
        <v>0</v>
      </c>
      <c r="BR74" s="324">
        <f t="shared" si="31"/>
        <v>0</v>
      </c>
      <c r="BS74" s="324">
        <f t="shared" si="32"/>
        <v>0</v>
      </c>
      <c r="BT74" s="332">
        <f t="shared" si="33"/>
        <v>0</v>
      </c>
    </row>
    <row r="75" spans="1:72" ht="14.25">
      <c r="A75" s="297"/>
      <c r="B75" s="323"/>
      <c r="C75" s="323"/>
      <c r="D75" s="2215"/>
      <c r="E75" s="324">
        <f t="shared" si="5"/>
        <v>0</v>
      </c>
      <c r="F75" s="325"/>
      <c r="G75" s="326">
        <f t="shared" si="6"/>
        <v>0</v>
      </c>
      <c r="H75" s="327">
        <f t="shared" si="7"/>
        <v>0</v>
      </c>
      <c r="I75" s="328"/>
      <c r="J75" s="328"/>
      <c r="K75" s="328"/>
      <c r="L75" s="328"/>
      <c r="M75" s="328"/>
      <c r="N75" s="328"/>
      <c r="O75" s="328"/>
      <c r="P75" s="328"/>
      <c r="Q75" s="328"/>
      <c r="R75" s="328"/>
      <c r="S75" s="328"/>
      <c r="T75" s="328"/>
      <c r="U75" s="328"/>
      <c r="V75" s="328"/>
      <c r="W75" s="328"/>
      <c r="X75" s="328"/>
      <c r="Y75" s="328"/>
      <c r="Z75" s="328"/>
      <c r="AA75" s="328"/>
      <c r="AB75" s="328"/>
      <c r="AC75" s="324">
        <f t="shared" si="8"/>
        <v>0</v>
      </c>
      <c r="AD75" s="329"/>
      <c r="AE75" s="329"/>
      <c r="AF75" s="329"/>
      <c r="AG75" s="329"/>
      <c r="AH75" s="329"/>
      <c r="AI75" s="329"/>
      <c r="AJ75" s="329"/>
      <c r="AK75" s="329"/>
      <c r="AL75" s="329"/>
      <c r="AM75" s="329"/>
      <c r="AN75" s="329"/>
      <c r="AO75" s="329"/>
      <c r="AP75" s="329"/>
      <c r="AQ75" s="329"/>
      <c r="AR75" s="329"/>
      <c r="AS75" s="329"/>
      <c r="AT75" s="330"/>
      <c r="AU75" s="8"/>
      <c r="AV75" s="2210">
        <f t="shared" si="9"/>
        <v>0</v>
      </c>
      <c r="AW75" s="2210">
        <f t="shared" si="10"/>
        <v>0</v>
      </c>
      <c r="AX75" s="2210">
        <f t="shared" si="11"/>
        <v>0</v>
      </c>
      <c r="AY75" s="331">
        <f t="shared" si="12"/>
        <v>0</v>
      </c>
      <c r="AZ75" s="324">
        <f t="shared" si="13"/>
        <v>0</v>
      </c>
      <c r="BA75" s="324">
        <f t="shared" si="14"/>
        <v>0</v>
      </c>
      <c r="BB75" s="324">
        <f t="shared" si="15"/>
        <v>0</v>
      </c>
      <c r="BC75" s="324">
        <f t="shared" si="16"/>
        <v>0</v>
      </c>
      <c r="BD75" s="324">
        <f t="shared" si="17"/>
        <v>0</v>
      </c>
      <c r="BE75" s="324">
        <f t="shared" si="18"/>
        <v>0</v>
      </c>
      <c r="BF75" s="324">
        <f t="shared" si="19"/>
        <v>0</v>
      </c>
      <c r="BG75" s="324">
        <f t="shared" si="20"/>
        <v>0</v>
      </c>
      <c r="BH75" s="324">
        <f t="shared" si="21"/>
        <v>0</v>
      </c>
      <c r="BI75" s="324">
        <f t="shared" si="22"/>
        <v>0</v>
      </c>
      <c r="BJ75" s="324">
        <f t="shared" si="23"/>
        <v>0</v>
      </c>
      <c r="BK75" s="324">
        <f t="shared" si="24"/>
        <v>0</v>
      </c>
      <c r="BL75" s="324">
        <f t="shared" si="25"/>
        <v>0</v>
      </c>
      <c r="BM75" s="324">
        <f t="shared" si="26"/>
        <v>0</v>
      </c>
      <c r="BN75" s="324">
        <f t="shared" si="27"/>
        <v>0</v>
      </c>
      <c r="BO75" s="324">
        <f t="shared" si="28"/>
        <v>0</v>
      </c>
      <c r="BP75" s="324">
        <f t="shared" si="29"/>
        <v>0</v>
      </c>
      <c r="BQ75" s="324">
        <f t="shared" si="30"/>
        <v>0</v>
      </c>
      <c r="BR75" s="324">
        <f t="shared" si="31"/>
        <v>0</v>
      </c>
      <c r="BS75" s="324">
        <f t="shared" si="32"/>
        <v>0</v>
      </c>
      <c r="BT75" s="332">
        <f t="shared" si="33"/>
        <v>0</v>
      </c>
    </row>
    <row r="76" spans="1:72" ht="14.25">
      <c r="A76" s="297"/>
      <c r="B76" s="323"/>
      <c r="C76" s="323"/>
      <c r="D76" s="2215"/>
      <c r="E76" s="324">
        <f t="shared" si="5"/>
        <v>0</v>
      </c>
      <c r="F76" s="325"/>
      <c r="G76" s="326">
        <f t="shared" si="6"/>
        <v>0</v>
      </c>
      <c r="H76" s="327">
        <f t="shared" si="7"/>
        <v>0</v>
      </c>
      <c r="I76" s="328"/>
      <c r="J76" s="328"/>
      <c r="K76" s="328"/>
      <c r="L76" s="328"/>
      <c r="M76" s="328"/>
      <c r="N76" s="328"/>
      <c r="O76" s="328"/>
      <c r="P76" s="328"/>
      <c r="Q76" s="328"/>
      <c r="R76" s="328"/>
      <c r="S76" s="328"/>
      <c r="T76" s="328"/>
      <c r="U76" s="328"/>
      <c r="V76" s="328"/>
      <c r="W76" s="328"/>
      <c r="X76" s="328"/>
      <c r="Y76" s="328"/>
      <c r="Z76" s="328"/>
      <c r="AA76" s="328"/>
      <c r="AB76" s="328"/>
      <c r="AC76" s="324">
        <f t="shared" si="8"/>
        <v>0</v>
      </c>
      <c r="AD76" s="329"/>
      <c r="AE76" s="329"/>
      <c r="AF76" s="329"/>
      <c r="AG76" s="329"/>
      <c r="AH76" s="329"/>
      <c r="AI76" s="329"/>
      <c r="AJ76" s="329"/>
      <c r="AK76" s="329"/>
      <c r="AL76" s="329"/>
      <c r="AM76" s="329"/>
      <c r="AN76" s="329"/>
      <c r="AO76" s="329"/>
      <c r="AP76" s="329"/>
      <c r="AQ76" s="329"/>
      <c r="AR76" s="329"/>
      <c r="AS76" s="329"/>
      <c r="AT76" s="330"/>
      <c r="AU76" s="8"/>
      <c r="AV76" s="2210">
        <f t="shared" si="9"/>
        <v>0</v>
      </c>
      <c r="AW76" s="2210">
        <f t="shared" si="10"/>
        <v>0</v>
      </c>
      <c r="AX76" s="2210">
        <f t="shared" si="11"/>
        <v>0</v>
      </c>
      <c r="AY76" s="331">
        <f t="shared" si="12"/>
        <v>0</v>
      </c>
      <c r="AZ76" s="324">
        <f t="shared" si="13"/>
        <v>0</v>
      </c>
      <c r="BA76" s="324">
        <f t="shared" si="14"/>
        <v>0</v>
      </c>
      <c r="BB76" s="324">
        <f t="shared" si="15"/>
        <v>0</v>
      </c>
      <c r="BC76" s="324">
        <f t="shared" si="16"/>
        <v>0</v>
      </c>
      <c r="BD76" s="324">
        <f t="shared" si="17"/>
        <v>0</v>
      </c>
      <c r="BE76" s="324">
        <f t="shared" si="18"/>
        <v>0</v>
      </c>
      <c r="BF76" s="324">
        <f t="shared" si="19"/>
        <v>0</v>
      </c>
      <c r="BG76" s="324">
        <f t="shared" si="20"/>
        <v>0</v>
      </c>
      <c r="BH76" s="324">
        <f t="shared" si="21"/>
        <v>0</v>
      </c>
      <c r="BI76" s="324">
        <f t="shared" si="22"/>
        <v>0</v>
      </c>
      <c r="BJ76" s="324">
        <f t="shared" si="23"/>
        <v>0</v>
      </c>
      <c r="BK76" s="324">
        <f t="shared" si="24"/>
        <v>0</v>
      </c>
      <c r="BL76" s="324">
        <f t="shared" si="25"/>
        <v>0</v>
      </c>
      <c r="BM76" s="324">
        <f t="shared" si="26"/>
        <v>0</v>
      </c>
      <c r="BN76" s="324">
        <f t="shared" si="27"/>
        <v>0</v>
      </c>
      <c r="BO76" s="324">
        <f t="shared" si="28"/>
        <v>0</v>
      </c>
      <c r="BP76" s="324">
        <f t="shared" si="29"/>
        <v>0</v>
      </c>
      <c r="BQ76" s="324">
        <f t="shared" si="30"/>
        <v>0</v>
      </c>
      <c r="BR76" s="324">
        <f t="shared" si="31"/>
        <v>0</v>
      </c>
      <c r="BS76" s="324">
        <f t="shared" si="32"/>
        <v>0</v>
      </c>
      <c r="BT76" s="332">
        <f t="shared" si="33"/>
        <v>0</v>
      </c>
    </row>
    <row r="77" spans="1:72" ht="14.25">
      <c r="A77" s="297"/>
      <c r="B77" s="323"/>
      <c r="C77" s="323"/>
      <c r="D77" s="2215"/>
      <c r="E77" s="324">
        <f t="shared" ref="E77:E140" si="34">IF($C$3="是",ROUND($A$3*G77/$B$3,2),ROUND($A$3*(G77-AT77)/$B$3,2))</f>
        <v>0</v>
      </c>
      <c r="F77" s="325"/>
      <c r="G77" s="326">
        <f t="shared" ref="G77:G140" si="35">H77+AC77+AT77</f>
        <v>0</v>
      </c>
      <c r="H77" s="327">
        <f t="shared" ref="H77:H140" si="36">SUMIF(I$12:AB$12,"总值",I77:AB77)</f>
        <v>0</v>
      </c>
      <c r="I77" s="328"/>
      <c r="J77" s="328"/>
      <c r="K77" s="328"/>
      <c r="L77" s="328"/>
      <c r="M77" s="328"/>
      <c r="N77" s="328"/>
      <c r="O77" s="328"/>
      <c r="P77" s="328"/>
      <c r="Q77" s="328"/>
      <c r="R77" s="328"/>
      <c r="S77" s="328"/>
      <c r="T77" s="328"/>
      <c r="U77" s="328"/>
      <c r="V77" s="328"/>
      <c r="W77" s="328"/>
      <c r="X77" s="328"/>
      <c r="Y77" s="328"/>
      <c r="Z77" s="328"/>
      <c r="AA77" s="328"/>
      <c r="AB77" s="328"/>
      <c r="AC77" s="324">
        <f t="shared" ref="AC77:AC140" si="37">SUMIF(AD$12:AS$12,"总值",AD77:AS77)</f>
        <v>0</v>
      </c>
      <c r="AD77" s="329"/>
      <c r="AE77" s="329"/>
      <c r="AF77" s="329"/>
      <c r="AG77" s="329"/>
      <c r="AH77" s="329"/>
      <c r="AI77" s="329"/>
      <c r="AJ77" s="329"/>
      <c r="AK77" s="329"/>
      <c r="AL77" s="329"/>
      <c r="AM77" s="329"/>
      <c r="AN77" s="329"/>
      <c r="AO77" s="329"/>
      <c r="AP77" s="329"/>
      <c r="AQ77" s="329"/>
      <c r="AR77" s="329"/>
      <c r="AS77" s="329"/>
      <c r="AT77" s="330"/>
      <c r="AU77" s="8"/>
      <c r="AV77" s="2210">
        <f t="shared" ref="AV77:AV140" si="38">A77</f>
        <v>0</v>
      </c>
      <c r="AW77" s="2210">
        <f t="shared" ref="AW77:AW140" si="39">B77</f>
        <v>0</v>
      </c>
      <c r="AX77" s="2210">
        <f t="shared" ref="AX77:AX140" si="40">C77</f>
        <v>0</v>
      </c>
      <c r="AY77" s="331">
        <f t="shared" ref="AY77:AY140" si="41">ROUND($AY$6*AZ77/$AZ$5,2)</f>
        <v>0</v>
      </c>
      <c r="AZ77" s="324">
        <f t="shared" ref="AZ77:AZ140" si="42">BA77+BL77</f>
        <v>0</v>
      </c>
      <c r="BA77" s="324">
        <f t="shared" ref="BA77:BA140" si="43">SUM(BB77:BK77)</f>
        <v>0</v>
      </c>
      <c r="BB77" s="324">
        <f t="shared" ref="BB77:BB140" si="44">IF($D77="是",I77-J77,0)</f>
        <v>0</v>
      </c>
      <c r="BC77" s="324">
        <f t="shared" ref="BC77:BC140" si="45">IF($D77="是",K77-L77,0)</f>
        <v>0</v>
      </c>
      <c r="BD77" s="324">
        <f t="shared" ref="BD77:BD140" si="46">IF($D77="是",M77-N77,0)</f>
        <v>0</v>
      </c>
      <c r="BE77" s="324">
        <f t="shared" ref="BE77:BE140" si="47">IF($D77="是",O77-P77,0)</f>
        <v>0</v>
      </c>
      <c r="BF77" s="324">
        <f t="shared" ref="BF77:BF140" si="48">IF($D77="是",Q77-R77,0)</f>
        <v>0</v>
      </c>
      <c r="BG77" s="324">
        <f t="shared" ref="BG77:BG140" si="49">IF($D77="是",S77-T77,0)</f>
        <v>0</v>
      </c>
      <c r="BH77" s="324">
        <f t="shared" ref="BH77:BH140" si="50">IF($D77="是",U77-V77,0)</f>
        <v>0</v>
      </c>
      <c r="BI77" s="324">
        <f t="shared" ref="BI77:BI140" si="51">IF($D77="是",W77-X77,0)</f>
        <v>0</v>
      </c>
      <c r="BJ77" s="324">
        <f t="shared" ref="BJ77:BJ140" si="52">IF($D77="是",Y77-Z77,0)</f>
        <v>0</v>
      </c>
      <c r="BK77" s="324">
        <f t="shared" ref="BK77:BK140" si="53">IF($D77="是",AA77-AB77,0)</f>
        <v>0</v>
      </c>
      <c r="BL77" s="324">
        <f t="shared" ref="BL77:BL140" si="54">SUM(BM77:BT77)</f>
        <v>0</v>
      </c>
      <c r="BM77" s="324">
        <f t="shared" ref="BM77:BM140" si="55">IF($D77="是",AD77-AE77,0)</f>
        <v>0</v>
      </c>
      <c r="BN77" s="324">
        <f t="shared" ref="BN77:BN140" si="56">IF($D77="是",AF77-AG77,0)</f>
        <v>0</v>
      </c>
      <c r="BO77" s="324">
        <f t="shared" ref="BO77:BO140" si="57">IF($D77="是",AH77-AI77,0)</f>
        <v>0</v>
      </c>
      <c r="BP77" s="324">
        <f t="shared" ref="BP77:BP140" si="58">IF($D77="是",AJ77-AK77,0)</f>
        <v>0</v>
      </c>
      <c r="BQ77" s="324">
        <f t="shared" ref="BQ77:BQ140" si="59">IF($D77="是",AL77-AM77,0)</f>
        <v>0</v>
      </c>
      <c r="BR77" s="324">
        <f t="shared" ref="BR77:BR140" si="60">IF($D77="是",AN77-AO77,0)</f>
        <v>0</v>
      </c>
      <c r="BS77" s="324">
        <f t="shared" ref="BS77:BS140" si="61">IF($D77="是",AP77-AQ77,0)</f>
        <v>0</v>
      </c>
      <c r="BT77" s="332">
        <f t="shared" ref="BT77:BT140" si="62">IF($D77="是",AR77-AS77,0)</f>
        <v>0</v>
      </c>
    </row>
    <row r="78" spans="1:72" ht="14.25">
      <c r="A78" s="297"/>
      <c r="B78" s="323"/>
      <c r="C78" s="323"/>
      <c r="D78" s="2215"/>
      <c r="E78" s="324">
        <f t="shared" si="34"/>
        <v>0</v>
      </c>
      <c r="F78" s="325"/>
      <c r="G78" s="326">
        <f t="shared" si="35"/>
        <v>0</v>
      </c>
      <c r="H78" s="327">
        <f t="shared" si="36"/>
        <v>0</v>
      </c>
      <c r="I78" s="328"/>
      <c r="J78" s="328"/>
      <c r="K78" s="328"/>
      <c r="L78" s="328"/>
      <c r="M78" s="328"/>
      <c r="N78" s="328"/>
      <c r="O78" s="328"/>
      <c r="P78" s="328"/>
      <c r="Q78" s="328"/>
      <c r="R78" s="328"/>
      <c r="S78" s="328"/>
      <c r="T78" s="328"/>
      <c r="U78" s="328"/>
      <c r="V78" s="328"/>
      <c r="W78" s="328"/>
      <c r="X78" s="328"/>
      <c r="Y78" s="328"/>
      <c r="Z78" s="328"/>
      <c r="AA78" s="328"/>
      <c r="AB78" s="328"/>
      <c r="AC78" s="324">
        <f t="shared" si="37"/>
        <v>0</v>
      </c>
      <c r="AD78" s="329"/>
      <c r="AE78" s="329"/>
      <c r="AF78" s="329"/>
      <c r="AG78" s="329"/>
      <c r="AH78" s="329"/>
      <c r="AI78" s="329"/>
      <c r="AJ78" s="329"/>
      <c r="AK78" s="329"/>
      <c r="AL78" s="329"/>
      <c r="AM78" s="329"/>
      <c r="AN78" s="329"/>
      <c r="AO78" s="329"/>
      <c r="AP78" s="329"/>
      <c r="AQ78" s="329"/>
      <c r="AR78" s="329"/>
      <c r="AS78" s="329"/>
      <c r="AT78" s="330"/>
      <c r="AU78" s="8"/>
      <c r="AV78" s="2210">
        <f t="shared" si="38"/>
        <v>0</v>
      </c>
      <c r="AW78" s="2210">
        <f t="shared" si="39"/>
        <v>0</v>
      </c>
      <c r="AX78" s="2210">
        <f t="shared" si="40"/>
        <v>0</v>
      </c>
      <c r="AY78" s="331">
        <f t="shared" si="41"/>
        <v>0</v>
      </c>
      <c r="AZ78" s="324">
        <f t="shared" si="42"/>
        <v>0</v>
      </c>
      <c r="BA78" s="324">
        <f t="shared" si="43"/>
        <v>0</v>
      </c>
      <c r="BB78" s="324">
        <f t="shared" si="44"/>
        <v>0</v>
      </c>
      <c r="BC78" s="324">
        <f t="shared" si="45"/>
        <v>0</v>
      </c>
      <c r="BD78" s="324">
        <f t="shared" si="46"/>
        <v>0</v>
      </c>
      <c r="BE78" s="324">
        <f t="shared" si="47"/>
        <v>0</v>
      </c>
      <c r="BF78" s="324">
        <f t="shared" si="48"/>
        <v>0</v>
      </c>
      <c r="BG78" s="324">
        <f t="shared" si="49"/>
        <v>0</v>
      </c>
      <c r="BH78" s="324">
        <f t="shared" si="50"/>
        <v>0</v>
      </c>
      <c r="BI78" s="324">
        <f t="shared" si="51"/>
        <v>0</v>
      </c>
      <c r="BJ78" s="324">
        <f t="shared" si="52"/>
        <v>0</v>
      </c>
      <c r="BK78" s="324">
        <f t="shared" si="53"/>
        <v>0</v>
      </c>
      <c r="BL78" s="324">
        <f t="shared" si="54"/>
        <v>0</v>
      </c>
      <c r="BM78" s="324">
        <f t="shared" si="55"/>
        <v>0</v>
      </c>
      <c r="BN78" s="324">
        <f t="shared" si="56"/>
        <v>0</v>
      </c>
      <c r="BO78" s="324">
        <f t="shared" si="57"/>
        <v>0</v>
      </c>
      <c r="BP78" s="324">
        <f t="shared" si="58"/>
        <v>0</v>
      </c>
      <c r="BQ78" s="324">
        <f t="shared" si="59"/>
        <v>0</v>
      </c>
      <c r="BR78" s="324">
        <f t="shared" si="60"/>
        <v>0</v>
      </c>
      <c r="BS78" s="324">
        <f t="shared" si="61"/>
        <v>0</v>
      </c>
      <c r="BT78" s="332">
        <f t="shared" si="62"/>
        <v>0</v>
      </c>
    </row>
    <row r="79" spans="1:72" ht="14.25">
      <c r="A79" s="297"/>
      <c r="B79" s="323"/>
      <c r="C79" s="323"/>
      <c r="D79" s="2215"/>
      <c r="E79" s="324">
        <f t="shared" si="34"/>
        <v>0</v>
      </c>
      <c r="F79" s="325"/>
      <c r="G79" s="326">
        <f t="shared" si="35"/>
        <v>0</v>
      </c>
      <c r="H79" s="327">
        <f t="shared" si="36"/>
        <v>0</v>
      </c>
      <c r="I79" s="328"/>
      <c r="J79" s="328"/>
      <c r="K79" s="328"/>
      <c r="L79" s="328"/>
      <c r="M79" s="328"/>
      <c r="N79" s="328"/>
      <c r="O79" s="328"/>
      <c r="P79" s="328"/>
      <c r="Q79" s="328"/>
      <c r="R79" s="328"/>
      <c r="S79" s="328"/>
      <c r="T79" s="328"/>
      <c r="U79" s="328"/>
      <c r="V79" s="328"/>
      <c r="W79" s="328"/>
      <c r="X79" s="328"/>
      <c r="Y79" s="328"/>
      <c r="Z79" s="328"/>
      <c r="AA79" s="328"/>
      <c r="AB79" s="328"/>
      <c r="AC79" s="324">
        <f t="shared" si="37"/>
        <v>0</v>
      </c>
      <c r="AD79" s="329"/>
      <c r="AE79" s="329"/>
      <c r="AF79" s="329"/>
      <c r="AG79" s="329"/>
      <c r="AH79" s="329"/>
      <c r="AI79" s="329"/>
      <c r="AJ79" s="329"/>
      <c r="AK79" s="329"/>
      <c r="AL79" s="329"/>
      <c r="AM79" s="329"/>
      <c r="AN79" s="329"/>
      <c r="AO79" s="329"/>
      <c r="AP79" s="329"/>
      <c r="AQ79" s="329"/>
      <c r="AR79" s="329"/>
      <c r="AS79" s="329"/>
      <c r="AT79" s="330"/>
      <c r="AU79" s="8"/>
      <c r="AV79" s="2210">
        <f t="shared" si="38"/>
        <v>0</v>
      </c>
      <c r="AW79" s="2210">
        <f t="shared" si="39"/>
        <v>0</v>
      </c>
      <c r="AX79" s="2210">
        <f t="shared" si="40"/>
        <v>0</v>
      </c>
      <c r="AY79" s="331">
        <f t="shared" si="41"/>
        <v>0</v>
      </c>
      <c r="AZ79" s="324">
        <f t="shared" si="42"/>
        <v>0</v>
      </c>
      <c r="BA79" s="324">
        <f t="shared" si="43"/>
        <v>0</v>
      </c>
      <c r="BB79" s="324">
        <f t="shared" si="44"/>
        <v>0</v>
      </c>
      <c r="BC79" s="324">
        <f t="shared" si="45"/>
        <v>0</v>
      </c>
      <c r="BD79" s="324">
        <f t="shared" si="46"/>
        <v>0</v>
      </c>
      <c r="BE79" s="324">
        <f t="shared" si="47"/>
        <v>0</v>
      </c>
      <c r="BF79" s="324">
        <f t="shared" si="48"/>
        <v>0</v>
      </c>
      <c r="BG79" s="324">
        <f t="shared" si="49"/>
        <v>0</v>
      </c>
      <c r="BH79" s="324">
        <f t="shared" si="50"/>
        <v>0</v>
      </c>
      <c r="BI79" s="324">
        <f t="shared" si="51"/>
        <v>0</v>
      </c>
      <c r="BJ79" s="324">
        <f t="shared" si="52"/>
        <v>0</v>
      </c>
      <c r="BK79" s="324">
        <f t="shared" si="53"/>
        <v>0</v>
      </c>
      <c r="BL79" s="324">
        <f t="shared" si="54"/>
        <v>0</v>
      </c>
      <c r="BM79" s="324">
        <f t="shared" si="55"/>
        <v>0</v>
      </c>
      <c r="BN79" s="324">
        <f t="shared" si="56"/>
        <v>0</v>
      </c>
      <c r="BO79" s="324">
        <f t="shared" si="57"/>
        <v>0</v>
      </c>
      <c r="BP79" s="324">
        <f t="shared" si="58"/>
        <v>0</v>
      </c>
      <c r="BQ79" s="324">
        <f t="shared" si="59"/>
        <v>0</v>
      </c>
      <c r="BR79" s="324">
        <f t="shared" si="60"/>
        <v>0</v>
      </c>
      <c r="BS79" s="324">
        <f t="shared" si="61"/>
        <v>0</v>
      </c>
      <c r="BT79" s="332">
        <f t="shared" si="62"/>
        <v>0</v>
      </c>
    </row>
    <row r="80" spans="1:72" ht="14.25">
      <c r="A80" s="297"/>
      <c r="B80" s="323"/>
      <c r="C80" s="323"/>
      <c r="D80" s="2215"/>
      <c r="E80" s="324">
        <f t="shared" si="34"/>
        <v>0</v>
      </c>
      <c r="F80" s="325"/>
      <c r="G80" s="326">
        <f t="shared" si="35"/>
        <v>0</v>
      </c>
      <c r="H80" s="327">
        <f t="shared" si="36"/>
        <v>0</v>
      </c>
      <c r="I80" s="328"/>
      <c r="J80" s="328"/>
      <c r="K80" s="328"/>
      <c r="L80" s="328"/>
      <c r="M80" s="328"/>
      <c r="N80" s="328"/>
      <c r="O80" s="328"/>
      <c r="P80" s="328"/>
      <c r="Q80" s="328"/>
      <c r="R80" s="328"/>
      <c r="S80" s="328"/>
      <c r="T80" s="328"/>
      <c r="U80" s="328"/>
      <c r="V80" s="328"/>
      <c r="W80" s="328"/>
      <c r="X80" s="328"/>
      <c r="Y80" s="328"/>
      <c r="Z80" s="328"/>
      <c r="AA80" s="328"/>
      <c r="AB80" s="328"/>
      <c r="AC80" s="324">
        <f t="shared" si="37"/>
        <v>0</v>
      </c>
      <c r="AD80" s="329"/>
      <c r="AE80" s="329"/>
      <c r="AF80" s="329"/>
      <c r="AG80" s="329"/>
      <c r="AH80" s="329"/>
      <c r="AI80" s="329"/>
      <c r="AJ80" s="329"/>
      <c r="AK80" s="329"/>
      <c r="AL80" s="329"/>
      <c r="AM80" s="329"/>
      <c r="AN80" s="329"/>
      <c r="AO80" s="329"/>
      <c r="AP80" s="329"/>
      <c r="AQ80" s="329"/>
      <c r="AR80" s="329"/>
      <c r="AS80" s="329"/>
      <c r="AT80" s="330"/>
      <c r="AU80" s="8"/>
      <c r="AV80" s="2210">
        <f t="shared" si="38"/>
        <v>0</v>
      </c>
      <c r="AW80" s="2210">
        <f t="shared" si="39"/>
        <v>0</v>
      </c>
      <c r="AX80" s="2210">
        <f t="shared" si="40"/>
        <v>0</v>
      </c>
      <c r="AY80" s="331">
        <f t="shared" si="41"/>
        <v>0</v>
      </c>
      <c r="AZ80" s="324">
        <f t="shared" si="42"/>
        <v>0</v>
      </c>
      <c r="BA80" s="324">
        <f t="shared" si="43"/>
        <v>0</v>
      </c>
      <c r="BB80" s="324">
        <f t="shared" si="44"/>
        <v>0</v>
      </c>
      <c r="BC80" s="324">
        <f t="shared" si="45"/>
        <v>0</v>
      </c>
      <c r="BD80" s="324">
        <f t="shared" si="46"/>
        <v>0</v>
      </c>
      <c r="BE80" s="324">
        <f t="shared" si="47"/>
        <v>0</v>
      </c>
      <c r="BF80" s="324">
        <f t="shared" si="48"/>
        <v>0</v>
      </c>
      <c r="BG80" s="324">
        <f t="shared" si="49"/>
        <v>0</v>
      </c>
      <c r="BH80" s="324">
        <f t="shared" si="50"/>
        <v>0</v>
      </c>
      <c r="BI80" s="324">
        <f t="shared" si="51"/>
        <v>0</v>
      </c>
      <c r="BJ80" s="324">
        <f t="shared" si="52"/>
        <v>0</v>
      </c>
      <c r="BK80" s="324">
        <f t="shared" si="53"/>
        <v>0</v>
      </c>
      <c r="BL80" s="324">
        <f t="shared" si="54"/>
        <v>0</v>
      </c>
      <c r="BM80" s="324">
        <f t="shared" si="55"/>
        <v>0</v>
      </c>
      <c r="BN80" s="324">
        <f t="shared" si="56"/>
        <v>0</v>
      </c>
      <c r="BO80" s="324">
        <f t="shared" si="57"/>
        <v>0</v>
      </c>
      <c r="BP80" s="324">
        <f t="shared" si="58"/>
        <v>0</v>
      </c>
      <c r="BQ80" s="324">
        <f t="shared" si="59"/>
        <v>0</v>
      </c>
      <c r="BR80" s="324">
        <f t="shared" si="60"/>
        <v>0</v>
      </c>
      <c r="BS80" s="324">
        <f t="shared" si="61"/>
        <v>0</v>
      </c>
      <c r="BT80" s="332">
        <f t="shared" si="62"/>
        <v>0</v>
      </c>
    </row>
    <row r="81" spans="1:72" ht="14.25">
      <c r="A81" s="297"/>
      <c r="B81" s="323"/>
      <c r="C81" s="323"/>
      <c r="D81" s="2215"/>
      <c r="E81" s="324">
        <f t="shared" si="34"/>
        <v>0</v>
      </c>
      <c r="F81" s="325"/>
      <c r="G81" s="326">
        <f t="shared" si="35"/>
        <v>0</v>
      </c>
      <c r="H81" s="327">
        <f t="shared" si="36"/>
        <v>0</v>
      </c>
      <c r="I81" s="328"/>
      <c r="J81" s="328"/>
      <c r="K81" s="328"/>
      <c r="L81" s="328"/>
      <c r="M81" s="328"/>
      <c r="N81" s="328"/>
      <c r="O81" s="328"/>
      <c r="P81" s="328"/>
      <c r="Q81" s="328"/>
      <c r="R81" s="328"/>
      <c r="S81" s="328"/>
      <c r="T81" s="328"/>
      <c r="U81" s="328"/>
      <c r="V81" s="328"/>
      <c r="W81" s="328"/>
      <c r="X81" s="328"/>
      <c r="Y81" s="328"/>
      <c r="Z81" s="328"/>
      <c r="AA81" s="328"/>
      <c r="AB81" s="328"/>
      <c r="AC81" s="324">
        <f t="shared" si="37"/>
        <v>0</v>
      </c>
      <c r="AD81" s="329"/>
      <c r="AE81" s="329"/>
      <c r="AF81" s="329"/>
      <c r="AG81" s="329"/>
      <c r="AH81" s="329"/>
      <c r="AI81" s="329"/>
      <c r="AJ81" s="329"/>
      <c r="AK81" s="329"/>
      <c r="AL81" s="329"/>
      <c r="AM81" s="329"/>
      <c r="AN81" s="329"/>
      <c r="AO81" s="329"/>
      <c r="AP81" s="329"/>
      <c r="AQ81" s="329"/>
      <c r="AR81" s="329"/>
      <c r="AS81" s="329"/>
      <c r="AT81" s="330"/>
      <c r="AU81" s="8"/>
      <c r="AV81" s="2210">
        <f t="shared" si="38"/>
        <v>0</v>
      </c>
      <c r="AW81" s="2210">
        <f t="shared" si="39"/>
        <v>0</v>
      </c>
      <c r="AX81" s="2210">
        <f t="shared" si="40"/>
        <v>0</v>
      </c>
      <c r="AY81" s="331">
        <f t="shared" si="41"/>
        <v>0</v>
      </c>
      <c r="AZ81" s="324">
        <f t="shared" si="42"/>
        <v>0</v>
      </c>
      <c r="BA81" s="324">
        <f t="shared" si="43"/>
        <v>0</v>
      </c>
      <c r="BB81" s="324">
        <f t="shared" si="44"/>
        <v>0</v>
      </c>
      <c r="BC81" s="324">
        <f t="shared" si="45"/>
        <v>0</v>
      </c>
      <c r="BD81" s="324">
        <f t="shared" si="46"/>
        <v>0</v>
      </c>
      <c r="BE81" s="324">
        <f t="shared" si="47"/>
        <v>0</v>
      </c>
      <c r="BF81" s="324">
        <f t="shared" si="48"/>
        <v>0</v>
      </c>
      <c r="BG81" s="324">
        <f t="shared" si="49"/>
        <v>0</v>
      </c>
      <c r="BH81" s="324">
        <f t="shared" si="50"/>
        <v>0</v>
      </c>
      <c r="BI81" s="324">
        <f t="shared" si="51"/>
        <v>0</v>
      </c>
      <c r="BJ81" s="324">
        <f t="shared" si="52"/>
        <v>0</v>
      </c>
      <c r="BK81" s="324">
        <f t="shared" si="53"/>
        <v>0</v>
      </c>
      <c r="BL81" s="324">
        <f t="shared" si="54"/>
        <v>0</v>
      </c>
      <c r="BM81" s="324">
        <f t="shared" si="55"/>
        <v>0</v>
      </c>
      <c r="BN81" s="324">
        <f t="shared" si="56"/>
        <v>0</v>
      </c>
      <c r="BO81" s="324">
        <f t="shared" si="57"/>
        <v>0</v>
      </c>
      <c r="BP81" s="324">
        <f t="shared" si="58"/>
        <v>0</v>
      </c>
      <c r="BQ81" s="324">
        <f t="shared" si="59"/>
        <v>0</v>
      </c>
      <c r="BR81" s="324">
        <f t="shared" si="60"/>
        <v>0</v>
      </c>
      <c r="BS81" s="324">
        <f t="shared" si="61"/>
        <v>0</v>
      </c>
      <c r="BT81" s="332">
        <f t="shared" si="62"/>
        <v>0</v>
      </c>
    </row>
    <row r="82" spans="1:72" ht="14.25">
      <c r="A82" s="297"/>
      <c r="B82" s="323"/>
      <c r="C82" s="323"/>
      <c r="D82" s="2215"/>
      <c r="E82" s="324">
        <f t="shared" si="34"/>
        <v>0</v>
      </c>
      <c r="F82" s="325"/>
      <c r="G82" s="326">
        <f t="shared" si="35"/>
        <v>0</v>
      </c>
      <c r="H82" s="327">
        <f t="shared" si="36"/>
        <v>0</v>
      </c>
      <c r="I82" s="328"/>
      <c r="J82" s="328"/>
      <c r="K82" s="328"/>
      <c r="L82" s="328"/>
      <c r="M82" s="328"/>
      <c r="N82" s="328"/>
      <c r="O82" s="328"/>
      <c r="P82" s="328"/>
      <c r="Q82" s="328"/>
      <c r="R82" s="328"/>
      <c r="S82" s="328"/>
      <c r="T82" s="328"/>
      <c r="U82" s="328"/>
      <c r="V82" s="328"/>
      <c r="W82" s="328"/>
      <c r="X82" s="328"/>
      <c r="Y82" s="328"/>
      <c r="Z82" s="328"/>
      <c r="AA82" s="328"/>
      <c r="AB82" s="328"/>
      <c r="AC82" s="324">
        <f t="shared" si="37"/>
        <v>0</v>
      </c>
      <c r="AD82" s="329"/>
      <c r="AE82" s="329"/>
      <c r="AF82" s="329"/>
      <c r="AG82" s="329"/>
      <c r="AH82" s="329"/>
      <c r="AI82" s="329"/>
      <c r="AJ82" s="329"/>
      <c r="AK82" s="329"/>
      <c r="AL82" s="329"/>
      <c r="AM82" s="329"/>
      <c r="AN82" s="329"/>
      <c r="AO82" s="329"/>
      <c r="AP82" s="329"/>
      <c r="AQ82" s="329"/>
      <c r="AR82" s="329"/>
      <c r="AS82" s="329"/>
      <c r="AT82" s="330"/>
      <c r="AU82" s="8"/>
      <c r="AV82" s="2210">
        <f t="shared" si="38"/>
        <v>0</v>
      </c>
      <c r="AW82" s="2210">
        <f t="shared" si="39"/>
        <v>0</v>
      </c>
      <c r="AX82" s="2210">
        <f t="shared" si="40"/>
        <v>0</v>
      </c>
      <c r="AY82" s="331">
        <f t="shared" si="41"/>
        <v>0</v>
      </c>
      <c r="AZ82" s="324">
        <f t="shared" si="42"/>
        <v>0</v>
      </c>
      <c r="BA82" s="324">
        <f t="shared" si="43"/>
        <v>0</v>
      </c>
      <c r="BB82" s="324">
        <f t="shared" si="44"/>
        <v>0</v>
      </c>
      <c r="BC82" s="324">
        <f t="shared" si="45"/>
        <v>0</v>
      </c>
      <c r="BD82" s="324">
        <f t="shared" si="46"/>
        <v>0</v>
      </c>
      <c r="BE82" s="324">
        <f t="shared" si="47"/>
        <v>0</v>
      </c>
      <c r="BF82" s="324">
        <f t="shared" si="48"/>
        <v>0</v>
      </c>
      <c r="BG82" s="324">
        <f t="shared" si="49"/>
        <v>0</v>
      </c>
      <c r="BH82" s="324">
        <f t="shared" si="50"/>
        <v>0</v>
      </c>
      <c r="BI82" s="324">
        <f t="shared" si="51"/>
        <v>0</v>
      </c>
      <c r="BJ82" s="324">
        <f t="shared" si="52"/>
        <v>0</v>
      </c>
      <c r="BK82" s="324">
        <f t="shared" si="53"/>
        <v>0</v>
      </c>
      <c r="BL82" s="324">
        <f t="shared" si="54"/>
        <v>0</v>
      </c>
      <c r="BM82" s="324">
        <f t="shared" si="55"/>
        <v>0</v>
      </c>
      <c r="BN82" s="324">
        <f t="shared" si="56"/>
        <v>0</v>
      </c>
      <c r="BO82" s="324">
        <f t="shared" si="57"/>
        <v>0</v>
      </c>
      <c r="BP82" s="324">
        <f t="shared" si="58"/>
        <v>0</v>
      </c>
      <c r="BQ82" s="324">
        <f t="shared" si="59"/>
        <v>0</v>
      </c>
      <c r="BR82" s="324">
        <f t="shared" si="60"/>
        <v>0</v>
      </c>
      <c r="BS82" s="324">
        <f t="shared" si="61"/>
        <v>0</v>
      </c>
      <c r="BT82" s="332">
        <f t="shared" si="62"/>
        <v>0</v>
      </c>
    </row>
    <row r="83" spans="1:72" ht="14.25">
      <c r="A83" s="297"/>
      <c r="B83" s="323"/>
      <c r="C83" s="323"/>
      <c r="D83" s="2215"/>
      <c r="E83" s="324">
        <f t="shared" si="34"/>
        <v>0</v>
      </c>
      <c r="F83" s="325"/>
      <c r="G83" s="326">
        <f t="shared" si="35"/>
        <v>0</v>
      </c>
      <c r="H83" s="327">
        <f t="shared" si="36"/>
        <v>0</v>
      </c>
      <c r="I83" s="328"/>
      <c r="J83" s="328"/>
      <c r="K83" s="328"/>
      <c r="L83" s="328"/>
      <c r="M83" s="328"/>
      <c r="N83" s="328"/>
      <c r="O83" s="328"/>
      <c r="P83" s="328"/>
      <c r="Q83" s="328"/>
      <c r="R83" s="328"/>
      <c r="S83" s="328"/>
      <c r="T83" s="328"/>
      <c r="U83" s="328"/>
      <c r="V83" s="328"/>
      <c r="W83" s="328"/>
      <c r="X83" s="328"/>
      <c r="Y83" s="328"/>
      <c r="Z83" s="328"/>
      <c r="AA83" s="328"/>
      <c r="AB83" s="328"/>
      <c r="AC83" s="324">
        <f t="shared" si="37"/>
        <v>0</v>
      </c>
      <c r="AD83" s="329"/>
      <c r="AE83" s="329"/>
      <c r="AF83" s="329"/>
      <c r="AG83" s="329"/>
      <c r="AH83" s="329"/>
      <c r="AI83" s="329"/>
      <c r="AJ83" s="329"/>
      <c r="AK83" s="329"/>
      <c r="AL83" s="329"/>
      <c r="AM83" s="329"/>
      <c r="AN83" s="329"/>
      <c r="AO83" s="329"/>
      <c r="AP83" s="329"/>
      <c r="AQ83" s="329"/>
      <c r="AR83" s="329"/>
      <c r="AS83" s="329"/>
      <c r="AT83" s="330"/>
      <c r="AU83" s="8"/>
      <c r="AV83" s="2210">
        <f t="shared" si="38"/>
        <v>0</v>
      </c>
      <c r="AW83" s="2210">
        <f t="shared" si="39"/>
        <v>0</v>
      </c>
      <c r="AX83" s="2210">
        <f t="shared" si="40"/>
        <v>0</v>
      </c>
      <c r="AY83" s="331">
        <f t="shared" si="41"/>
        <v>0</v>
      </c>
      <c r="AZ83" s="324">
        <f t="shared" si="42"/>
        <v>0</v>
      </c>
      <c r="BA83" s="324">
        <f t="shared" si="43"/>
        <v>0</v>
      </c>
      <c r="BB83" s="324">
        <f t="shared" si="44"/>
        <v>0</v>
      </c>
      <c r="BC83" s="324">
        <f t="shared" si="45"/>
        <v>0</v>
      </c>
      <c r="BD83" s="324">
        <f t="shared" si="46"/>
        <v>0</v>
      </c>
      <c r="BE83" s="324">
        <f t="shared" si="47"/>
        <v>0</v>
      </c>
      <c r="BF83" s="324">
        <f t="shared" si="48"/>
        <v>0</v>
      </c>
      <c r="BG83" s="324">
        <f t="shared" si="49"/>
        <v>0</v>
      </c>
      <c r="BH83" s="324">
        <f t="shared" si="50"/>
        <v>0</v>
      </c>
      <c r="BI83" s="324">
        <f t="shared" si="51"/>
        <v>0</v>
      </c>
      <c r="BJ83" s="324">
        <f t="shared" si="52"/>
        <v>0</v>
      </c>
      <c r="BK83" s="324">
        <f t="shared" si="53"/>
        <v>0</v>
      </c>
      <c r="BL83" s="324">
        <f t="shared" si="54"/>
        <v>0</v>
      </c>
      <c r="BM83" s="324">
        <f t="shared" si="55"/>
        <v>0</v>
      </c>
      <c r="BN83" s="324">
        <f t="shared" si="56"/>
        <v>0</v>
      </c>
      <c r="BO83" s="324">
        <f t="shared" si="57"/>
        <v>0</v>
      </c>
      <c r="BP83" s="324">
        <f t="shared" si="58"/>
        <v>0</v>
      </c>
      <c r="BQ83" s="324">
        <f t="shared" si="59"/>
        <v>0</v>
      </c>
      <c r="BR83" s="324">
        <f t="shared" si="60"/>
        <v>0</v>
      </c>
      <c r="BS83" s="324">
        <f t="shared" si="61"/>
        <v>0</v>
      </c>
      <c r="BT83" s="332">
        <f t="shared" si="62"/>
        <v>0</v>
      </c>
    </row>
    <row r="84" spans="1:72" ht="14.25">
      <c r="A84" s="297"/>
      <c r="B84" s="323"/>
      <c r="C84" s="323"/>
      <c r="D84" s="2215"/>
      <c r="E84" s="324">
        <f t="shared" si="34"/>
        <v>0</v>
      </c>
      <c r="F84" s="325"/>
      <c r="G84" s="326">
        <f t="shared" si="35"/>
        <v>0</v>
      </c>
      <c r="H84" s="327">
        <f t="shared" si="36"/>
        <v>0</v>
      </c>
      <c r="I84" s="328"/>
      <c r="J84" s="328"/>
      <c r="K84" s="328"/>
      <c r="L84" s="328"/>
      <c r="M84" s="328"/>
      <c r="N84" s="328"/>
      <c r="O84" s="328"/>
      <c r="P84" s="328"/>
      <c r="Q84" s="328"/>
      <c r="R84" s="328"/>
      <c r="S84" s="328"/>
      <c r="T84" s="328"/>
      <c r="U84" s="328"/>
      <c r="V84" s="328"/>
      <c r="W84" s="328"/>
      <c r="X84" s="328"/>
      <c r="Y84" s="328"/>
      <c r="Z84" s="328"/>
      <c r="AA84" s="328"/>
      <c r="AB84" s="328"/>
      <c r="AC84" s="324">
        <f t="shared" si="37"/>
        <v>0</v>
      </c>
      <c r="AD84" s="329"/>
      <c r="AE84" s="329"/>
      <c r="AF84" s="329"/>
      <c r="AG84" s="329"/>
      <c r="AH84" s="329"/>
      <c r="AI84" s="329"/>
      <c r="AJ84" s="329"/>
      <c r="AK84" s="329"/>
      <c r="AL84" s="329"/>
      <c r="AM84" s="329"/>
      <c r="AN84" s="329"/>
      <c r="AO84" s="329"/>
      <c r="AP84" s="329"/>
      <c r="AQ84" s="329"/>
      <c r="AR84" s="329"/>
      <c r="AS84" s="329"/>
      <c r="AT84" s="330"/>
      <c r="AU84" s="8"/>
      <c r="AV84" s="2210">
        <f t="shared" si="38"/>
        <v>0</v>
      </c>
      <c r="AW84" s="2210">
        <f t="shared" si="39"/>
        <v>0</v>
      </c>
      <c r="AX84" s="2210">
        <f t="shared" si="40"/>
        <v>0</v>
      </c>
      <c r="AY84" s="331">
        <f t="shared" si="41"/>
        <v>0</v>
      </c>
      <c r="AZ84" s="324">
        <f t="shared" si="42"/>
        <v>0</v>
      </c>
      <c r="BA84" s="324">
        <f t="shared" si="43"/>
        <v>0</v>
      </c>
      <c r="BB84" s="324">
        <f t="shared" si="44"/>
        <v>0</v>
      </c>
      <c r="BC84" s="324">
        <f t="shared" si="45"/>
        <v>0</v>
      </c>
      <c r="BD84" s="324">
        <f t="shared" si="46"/>
        <v>0</v>
      </c>
      <c r="BE84" s="324">
        <f t="shared" si="47"/>
        <v>0</v>
      </c>
      <c r="BF84" s="324">
        <f t="shared" si="48"/>
        <v>0</v>
      </c>
      <c r="BG84" s="324">
        <f t="shared" si="49"/>
        <v>0</v>
      </c>
      <c r="BH84" s="324">
        <f t="shared" si="50"/>
        <v>0</v>
      </c>
      <c r="BI84" s="324">
        <f t="shared" si="51"/>
        <v>0</v>
      </c>
      <c r="BJ84" s="324">
        <f t="shared" si="52"/>
        <v>0</v>
      </c>
      <c r="BK84" s="324">
        <f t="shared" si="53"/>
        <v>0</v>
      </c>
      <c r="BL84" s="324">
        <f t="shared" si="54"/>
        <v>0</v>
      </c>
      <c r="BM84" s="324">
        <f t="shared" si="55"/>
        <v>0</v>
      </c>
      <c r="BN84" s="324">
        <f t="shared" si="56"/>
        <v>0</v>
      </c>
      <c r="BO84" s="324">
        <f t="shared" si="57"/>
        <v>0</v>
      </c>
      <c r="BP84" s="324">
        <f t="shared" si="58"/>
        <v>0</v>
      </c>
      <c r="BQ84" s="324">
        <f t="shared" si="59"/>
        <v>0</v>
      </c>
      <c r="BR84" s="324">
        <f t="shared" si="60"/>
        <v>0</v>
      </c>
      <c r="BS84" s="324">
        <f t="shared" si="61"/>
        <v>0</v>
      </c>
      <c r="BT84" s="332">
        <f t="shared" si="62"/>
        <v>0</v>
      </c>
    </row>
    <row r="85" spans="1:72" ht="14.25">
      <c r="A85" s="297"/>
      <c r="B85" s="323"/>
      <c r="C85" s="323"/>
      <c r="D85" s="2215"/>
      <c r="E85" s="324">
        <f t="shared" si="34"/>
        <v>0</v>
      </c>
      <c r="F85" s="325"/>
      <c r="G85" s="326">
        <f t="shared" si="35"/>
        <v>0</v>
      </c>
      <c r="H85" s="327">
        <f t="shared" si="36"/>
        <v>0</v>
      </c>
      <c r="I85" s="328"/>
      <c r="J85" s="328"/>
      <c r="K85" s="328"/>
      <c r="L85" s="328"/>
      <c r="M85" s="328"/>
      <c r="N85" s="328"/>
      <c r="O85" s="328"/>
      <c r="P85" s="328"/>
      <c r="Q85" s="328"/>
      <c r="R85" s="328"/>
      <c r="S85" s="328"/>
      <c r="T85" s="328"/>
      <c r="U85" s="328"/>
      <c r="V85" s="328"/>
      <c r="W85" s="328"/>
      <c r="X85" s="328"/>
      <c r="Y85" s="328"/>
      <c r="Z85" s="328"/>
      <c r="AA85" s="328"/>
      <c r="AB85" s="328"/>
      <c r="AC85" s="324">
        <f t="shared" si="37"/>
        <v>0</v>
      </c>
      <c r="AD85" s="329"/>
      <c r="AE85" s="329"/>
      <c r="AF85" s="329"/>
      <c r="AG85" s="329"/>
      <c r="AH85" s="329"/>
      <c r="AI85" s="329"/>
      <c r="AJ85" s="329"/>
      <c r="AK85" s="329"/>
      <c r="AL85" s="329"/>
      <c r="AM85" s="329"/>
      <c r="AN85" s="329"/>
      <c r="AO85" s="329"/>
      <c r="AP85" s="329"/>
      <c r="AQ85" s="329"/>
      <c r="AR85" s="329"/>
      <c r="AS85" s="329"/>
      <c r="AT85" s="330"/>
      <c r="AU85" s="8"/>
      <c r="AV85" s="2210">
        <f t="shared" si="38"/>
        <v>0</v>
      </c>
      <c r="AW85" s="2210">
        <f t="shared" si="39"/>
        <v>0</v>
      </c>
      <c r="AX85" s="2210">
        <f t="shared" si="40"/>
        <v>0</v>
      </c>
      <c r="AY85" s="331">
        <f t="shared" si="41"/>
        <v>0</v>
      </c>
      <c r="AZ85" s="324">
        <f t="shared" si="42"/>
        <v>0</v>
      </c>
      <c r="BA85" s="324">
        <f t="shared" si="43"/>
        <v>0</v>
      </c>
      <c r="BB85" s="324">
        <f t="shared" si="44"/>
        <v>0</v>
      </c>
      <c r="BC85" s="324">
        <f t="shared" si="45"/>
        <v>0</v>
      </c>
      <c r="BD85" s="324">
        <f t="shared" si="46"/>
        <v>0</v>
      </c>
      <c r="BE85" s="324">
        <f t="shared" si="47"/>
        <v>0</v>
      </c>
      <c r="BF85" s="324">
        <f t="shared" si="48"/>
        <v>0</v>
      </c>
      <c r="BG85" s="324">
        <f t="shared" si="49"/>
        <v>0</v>
      </c>
      <c r="BH85" s="324">
        <f t="shared" si="50"/>
        <v>0</v>
      </c>
      <c r="BI85" s="324">
        <f t="shared" si="51"/>
        <v>0</v>
      </c>
      <c r="BJ85" s="324">
        <f t="shared" si="52"/>
        <v>0</v>
      </c>
      <c r="BK85" s="324">
        <f t="shared" si="53"/>
        <v>0</v>
      </c>
      <c r="BL85" s="324">
        <f t="shared" si="54"/>
        <v>0</v>
      </c>
      <c r="BM85" s="324">
        <f t="shared" si="55"/>
        <v>0</v>
      </c>
      <c r="BN85" s="324">
        <f t="shared" si="56"/>
        <v>0</v>
      </c>
      <c r="BO85" s="324">
        <f t="shared" si="57"/>
        <v>0</v>
      </c>
      <c r="BP85" s="324">
        <f t="shared" si="58"/>
        <v>0</v>
      </c>
      <c r="BQ85" s="324">
        <f t="shared" si="59"/>
        <v>0</v>
      </c>
      <c r="BR85" s="324">
        <f t="shared" si="60"/>
        <v>0</v>
      </c>
      <c r="BS85" s="324">
        <f t="shared" si="61"/>
        <v>0</v>
      </c>
      <c r="BT85" s="332">
        <f t="shared" si="62"/>
        <v>0</v>
      </c>
    </row>
    <row r="86" spans="1:72" ht="14.25">
      <c r="A86" s="297"/>
      <c r="B86" s="323"/>
      <c r="C86" s="323"/>
      <c r="D86" s="2215"/>
      <c r="E86" s="324">
        <f t="shared" si="34"/>
        <v>0</v>
      </c>
      <c r="F86" s="325"/>
      <c r="G86" s="326">
        <f t="shared" si="35"/>
        <v>0</v>
      </c>
      <c r="H86" s="327">
        <f t="shared" si="36"/>
        <v>0</v>
      </c>
      <c r="I86" s="328"/>
      <c r="J86" s="328"/>
      <c r="K86" s="328"/>
      <c r="L86" s="328"/>
      <c r="M86" s="328"/>
      <c r="N86" s="328"/>
      <c r="O86" s="328"/>
      <c r="P86" s="328"/>
      <c r="Q86" s="328"/>
      <c r="R86" s="328"/>
      <c r="S86" s="328"/>
      <c r="T86" s="328"/>
      <c r="U86" s="328"/>
      <c r="V86" s="328"/>
      <c r="W86" s="328"/>
      <c r="X86" s="328"/>
      <c r="Y86" s="328"/>
      <c r="Z86" s="328"/>
      <c r="AA86" s="328"/>
      <c r="AB86" s="328"/>
      <c r="AC86" s="324">
        <f t="shared" si="37"/>
        <v>0</v>
      </c>
      <c r="AD86" s="329"/>
      <c r="AE86" s="329"/>
      <c r="AF86" s="329"/>
      <c r="AG86" s="329"/>
      <c r="AH86" s="329"/>
      <c r="AI86" s="329"/>
      <c r="AJ86" s="329"/>
      <c r="AK86" s="329"/>
      <c r="AL86" s="329"/>
      <c r="AM86" s="329"/>
      <c r="AN86" s="329"/>
      <c r="AO86" s="329"/>
      <c r="AP86" s="329"/>
      <c r="AQ86" s="329"/>
      <c r="AR86" s="329"/>
      <c r="AS86" s="329"/>
      <c r="AT86" s="330"/>
      <c r="AU86" s="8"/>
      <c r="AV86" s="2210">
        <f t="shared" si="38"/>
        <v>0</v>
      </c>
      <c r="AW86" s="2210">
        <f t="shared" si="39"/>
        <v>0</v>
      </c>
      <c r="AX86" s="2210">
        <f t="shared" si="40"/>
        <v>0</v>
      </c>
      <c r="AY86" s="331">
        <f t="shared" si="41"/>
        <v>0</v>
      </c>
      <c r="AZ86" s="324">
        <f t="shared" si="42"/>
        <v>0</v>
      </c>
      <c r="BA86" s="324">
        <f t="shared" si="43"/>
        <v>0</v>
      </c>
      <c r="BB86" s="324">
        <f t="shared" si="44"/>
        <v>0</v>
      </c>
      <c r="BC86" s="324">
        <f t="shared" si="45"/>
        <v>0</v>
      </c>
      <c r="BD86" s="324">
        <f t="shared" si="46"/>
        <v>0</v>
      </c>
      <c r="BE86" s="324">
        <f t="shared" si="47"/>
        <v>0</v>
      </c>
      <c r="BF86" s="324">
        <f t="shared" si="48"/>
        <v>0</v>
      </c>
      <c r="BG86" s="324">
        <f t="shared" si="49"/>
        <v>0</v>
      </c>
      <c r="BH86" s="324">
        <f t="shared" si="50"/>
        <v>0</v>
      </c>
      <c r="BI86" s="324">
        <f t="shared" si="51"/>
        <v>0</v>
      </c>
      <c r="BJ86" s="324">
        <f t="shared" si="52"/>
        <v>0</v>
      </c>
      <c r="BK86" s="324">
        <f t="shared" si="53"/>
        <v>0</v>
      </c>
      <c r="BL86" s="324">
        <f t="shared" si="54"/>
        <v>0</v>
      </c>
      <c r="BM86" s="324">
        <f t="shared" si="55"/>
        <v>0</v>
      </c>
      <c r="BN86" s="324">
        <f t="shared" si="56"/>
        <v>0</v>
      </c>
      <c r="BO86" s="324">
        <f t="shared" si="57"/>
        <v>0</v>
      </c>
      <c r="BP86" s="324">
        <f t="shared" si="58"/>
        <v>0</v>
      </c>
      <c r="BQ86" s="324">
        <f t="shared" si="59"/>
        <v>0</v>
      </c>
      <c r="BR86" s="324">
        <f t="shared" si="60"/>
        <v>0</v>
      </c>
      <c r="BS86" s="324">
        <f t="shared" si="61"/>
        <v>0</v>
      </c>
      <c r="BT86" s="332">
        <f t="shared" si="62"/>
        <v>0</v>
      </c>
    </row>
    <row r="87" spans="1:72" ht="14.25">
      <c r="A87" s="297"/>
      <c r="B87" s="323"/>
      <c r="C87" s="323"/>
      <c r="D87" s="2215"/>
      <c r="E87" s="324">
        <f t="shared" si="34"/>
        <v>0</v>
      </c>
      <c r="F87" s="325"/>
      <c r="G87" s="326">
        <f t="shared" si="35"/>
        <v>0</v>
      </c>
      <c r="H87" s="327">
        <f t="shared" si="36"/>
        <v>0</v>
      </c>
      <c r="I87" s="328"/>
      <c r="J87" s="328"/>
      <c r="K87" s="328"/>
      <c r="L87" s="328"/>
      <c r="M87" s="328"/>
      <c r="N87" s="328"/>
      <c r="O87" s="328"/>
      <c r="P87" s="328"/>
      <c r="Q87" s="328"/>
      <c r="R87" s="328"/>
      <c r="S87" s="328"/>
      <c r="T87" s="328"/>
      <c r="U87" s="328"/>
      <c r="V87" s="328"/>
      <c r="W87" s="328"/>
      <c r="X87" s="328"/>
      <c r="Y87" s="328"/>
      <c r="Z87" s="328"/>
      <c r="AA87" s="328"/>
      <c r="AB87" s="328"/>
      <c r="AC87" s="324">
        <f t="shared" si="37"/>
        <v>0</v>
      </c>
      <c r="AD87" s="329"/>
      <c r="AE87" s="329"/>
      <c r="AF87" s="329"/>
      <c r="AG87" s="329"/>
      <c r="AH87" s="329"/>
      <c r="AI87" s="329"/>
      <c r="AJ87" s="329"/>
      <c r="AK87" s="329"/>
      <c r="AL87" s="329"/>
      <c r="AM87" s="329"/>
      <c r="AN87" s="329"/>
      <c r="AO87" s="329"/>
      <c r="AP87" s="329"/>
      <c r="AQ87" s="329"/>
      <c r="AR87" s="329"/>
      <c r="AS87" s="329"/>
      <c r="AT87" s="330"/>
      <c r="AU87" s="8"/>
      <c r="AV87" s="2210">
        <f t="shared" si="38"/>
        <v>0</v>
      </c>
      <c r="AW87" s="2210">
        <f t="shared" si="39"/>
        <v>0</v>
      </c>
      <c r="AX87" s="2210">
        <f t="shared" si="40"/>
        <v>0</v>
      </c>
      <c r="AY87" s="331">
        <f t="shared" si="41"/>
        <v>0</v>
      </c>
      <c r="AZ87" s="324">
        <f t="shared" si="42"/>
        <v>0</v>
      </c>
      <c r="BA87" s="324">
        <f t="shared" si="43"/>
        <v>0</v>
      </c>
      <c r="BB87" s="324">
        <f t="shared" si="44"/>
        <v>0</v>
      </c>
      <c r="BC87" s="324">
        <f t="shared" si="45"/>
        <v>0</v>
      </c>
      <c r="BD87" s="324">
        <f t="shared" si="46"/>
        <v>0</v>
      </c>
      <c r="BE87" s="324">
        <f t="shared" si="47"/>
        <v>0</v>
      </c>
      <c r="BF87" s="324">
        <f t="shared" si="48"/>
        <v>0</v>
      </c>
      <c r="BG87" s="324">
        <f t="shared" si="49"/>
        <v>0</v>
      </c>
      <c r="BH87" s="324">
        <f t="shared" si="50"/>
        <v>0</v>
      </c>
      <c r="BI87" s="324">
        <f t="shared" si="51"/>
        <v>0</v>
      </c>
      <c r="BJ87" s="324">
        <f t="shared" si="52"/>
        <v>0</v>
      </c>
      <c r="BK87" s="324">
        <f t="shared" si="53"/>
        <v>0</v>
      </c>
      <c r="BL87" s="324">
        <f t="shared" si="54"/>
        <v>0</v>
      </c>
      <c r="BM87" s="324">
        <f t="shared" si="55"/>
        <v>0</v>
      </c>
      <c r="BN87" s="324">
        <f t="shared" si="56"/>
        <v>0</v>
      </c>
      <c r="BO87" s="324">
        <f t="shared" si="57"/>
        <v>0</v>
      </c>
      <c r="BP87" s="324">
        <f t="shared" si="58"/>
        <v>0</v>
      </c>
      <c r="BQ87" s="324">
        <f t="shared" si="59"/>
        <v>0</v>
      </c>
      <c r="BR87" s="324">
        <f t="shared" si="60"/>
        <v>0</v>
      </c>
      <c r="BS87" s="324">
        <f t="shared" si="61"/>
        <v>0</v>
      </c>
      <c r="BT87" s="332">
        <f t="shared" si="62"/>
        <v>0</v>
      </c>
    </row>
    <row r="88" spans="1:72" ht="14.25">
      <c r="A88" s="297"/>
      <c r="B88" s="323"/>
      <c r="C88" s="323"/>
      <c r="D88" s="2215"/>
      <c r="E88" s="324">
        <f t="shared" si="34"/>
        <v>0</v>
      </c>
      <c r="F88" s="325"/>
      <c r="G88" s="326">
        <f t="shared" si="35"/>
        <v>0</v>
      </c>
      <c r="H88" s="327">
        <f t="shared" si="36"/>
        <v>0</v>
      </c>
      <c r="I88" s="328"/>
      <c r="J88" s="328"/>
      <c r="K88" s="328"/>
      <c r="L88" s="328"/>
      <c r="M88" s="328"/>
      <c r="N88" s="328"/>
      <c r="O88" s="328"/>
      <c r="P88" s="328"/>
      <c r="Q88" s="328"/>
      <c r="R88" s="328"/>
      <c r="S88" s="328"/>
      <c r="T88" s="328"/>
      <c r="U88" s="328"/>
      <c r="V88" s="328"/>
      <c r="W88" s="328"/>
      <c r="X88" s="328"/>
      <c r="Y88" s="328"/>
      <c r="Z88" s="328"/>
      <c r="AA88" s="328"/>
      <c r="AB88" s="328"/>
      <c r="AC88" s="324">
        <f t="shared" si="37"/>
        <v>0</v>
      </c>
      <c r="AD88" s="329"/>
      <c r="AE88" s="329"/>
      <c r="AF88" s="329"/>
      <c r="AG88" s="329"/>
      <c r="AH88" s="329"/>
      <c r="AI88" s="329"/>
      <c r="AJ88" s="329"/>
      <c r="AK88" s="329"/>
      <c r="AL88" s="329"/>
      <c r="AM88" s="329"/>
      <c r="AN88" s="329"/>
      <c r="AO88" s="329"/>
      <c r="AP88" s="329"/>
      <c r="AQ88" s="329"/>
      <c r="AR88" s="329"/>
      <c r="AS88" s="329"/>
      <c r="AT88" s="330"/>
      <c r="AU88" s="8"/>
      <c r="AV88" s="2210">
        <f t="shared" si="38"/>
        <v>0</v>
      </c>
      <c r="AW88" s="2210">
        <f t="shared" si="39"/>
        <v>0</v>
      </c>
      <c r="AX88" s="2210">
        <f t="shared" si="40"/>
        <v>0</v>
      </c>
      <c r="AY88" s="331">
        <f t="shared" si="41"/>
        <v>0</v>
      </c>
      <c r="AZ88" s="324">
        <f t="shared" si="42"/>
        <v>0</v>
      </c>
      <c r="BA88" s="324">
        <f t="shared" si="43"/>
        <v>0</v>
      </c>
      <c r="BB88" s="324">
        <f t="shared" si="44"/>
        <v>0</v>
      </c>
      <c r="BC88" s="324">
        <f t="shared" si="45"/>
        <v>0</v>
      </c>
      <c r="BD88" s="324">
        <f t="shared" si="46"/>
        <v>0</v>
      </c>
      <c r="BE88" s="324">
        <f t="shared" si="47"/>
        <v>0</v>
      </c>
      <c r="BF88" s="324">
        <f t="shared" si="48"/>
        <v>0</v>
      </c>
      <c r="BG88" s="324">
        <f t="shared" si="49"/>
        <v>0</v>
      </c>
      <c r="BH88" s="324">
        <f t="shared" si="50"/>
        <v>0</v>
      </c>
      <c r="BI88" s="324">
        <f t="shared" si="51"/>
        <v>0</v>
      </c>
      <c r="BJ88" s="324">
        <f t="shared" si="52"/>
        <v>0</v>
      </c>
      <c r="BK88" s="324">
        <f t="shared" si="53"/>
        <v>0</v>
      </c>
      <c r="BL88" s="324">
        <f t="shared" si="54"/>
        <v>0</v>
      </c>
      <c r="BM88" s="324">
        <f t="shared" si="55"/>
        <v>0</v>
      </c>
      <c r="BN88" s="324">
        <f t="shared" si="56"/>
        <v>0</v>
      </c>
      <c r="BO88" s="324">
        <f t="shared" si="57"/>
        <v>0</v>
      </c>
      <c r="BP88" s="324">
        <f t="shared" si="58"/>
        <v>0</v>
      </c>
      <c r="BQ88" s="324">
        <f t="shared" si="59"/>
        <v>0</v>
      </c>
      <c r="BR88" s="324">
        <f t="shared" si="60"/>
        <v>0</v>
      </c>
      <c r="BS88" s="324">
        <f t="shared" si="61"/>
        <v>0</v>
      </c>
      <c r="BT88" s="332">
        <f t="shared" si="62"/>
        <v>0</v>
      </c>
    </row>
    <row r="89" spans="1:72" ht="14.25">
      <c r="A89" s="297"/>
      <c r="B89" s="323"/>
      <c r="C89" s="323"/>
      <c r="D89" s="2215"/>
      <c r="E89" s="324">
        <f t="shared" si="34"/>
        <v>0</v>
      </c>
      <c r="F89" s="325"/>
      <c r="G89" s="326">
        <f t="shared" si="35"/>
        <v>0</v>
      </c>
      <c r="H89" s="327">
        <f t="shared" si="36"/>
        <v>0</v>
      </c>
      <c r="I89" s="328"/>
      <c r="J89" s="328"/>
      <c r="K89" s="328"/>
      <c r="L89" s="328"/>
      <c r="M89" s="328"/>
      <c r="N89" s="328"/>
      <c r="O89" s="328"/>
      <c r="P89" s="328"/>
      <c r="Q89" s="328"/>
      <c r="R89" s="328"/>
      <c r="S89" s="328"/>
      <c r="T89" s="328"/>
      <c r="U89" s="328"/>
      <c r="V89" s="328"/>
      <c r="W89" s="328"/>
      <c r="X89" s="328"/>
      <c r="Y89" s="328"/>
      <c r="Z89" s="328"/>
      <c r="AA89" s="328"/>
      <c r="AB89" s="328"/>
      <c r="AC89" s="324">
        <f t="shared" si="37"/>
        <v>0</v>
      </c>
      <c r="AD89" s="329"/>
      <c r="AE89" s="329"/>
      <c r="AF89" s="329"/>
      <c r="AG89" s="329"/>
      <c r="AH89" s="329"/>
      <c r="AI89" s="329"/>
      <c r="AJ89" s="329"/>
      <c r="AK89" s="329"/>
      <c r="AL89" s="329"/>
      <c r="AM89" s="329"/>
      <c r="AN89" s="329"/>
      <c r="AO89" s="329"/>
      <c r="AP89" s="329"/>
      <c r="AQ89" s="329"/>
      <c r="AR89" s="329"/>
      <c r="AS89" s="329"/>
      <c r="AT89" s="330"/>
      <c r="AU89" s="8"/>
      <c r="AV89" s="2210">
        <f t="shared" si="38"/>
        <v>0</v>
      </c>
      <c r="AW89" s="2210">
        <f t="shared" si="39"/>
        <v>0</v>
      </c>
      <c r="AX89" s="2210">
        <f t="shared" si="40"/>
        <v>0</v>
      </c>
      <c r="AY89" s="331">
        <f t="shared" si="41"/>
        <v>0</v>
      </c>
      <c r="AZ89" s="324">
        <f t="shared" si="42"/>
        <v>0</v>
      </c>
      <c r="BA89" s="324">
        <f t="shared" si="43"/>
        <v>0</v>
      </c>
      <c r="BB89" s="324">
        <f t="shared" si="44"/>
        <v>0</v>
      </c>
      <c r="BC89" s="324">
        <f t="shared" si="45"/>
        <v>0</v>
      </c>
      <c r="BD89" s="324">
        <f t="shared" si="46"/>
        <v>0</v>
      </c>
      <c r="BE89" s="324">
        <f t="shared" si="47"/>
        <v>0</v>
      </c>
      <c r="BF89" s="324">
        <f t="shared" si="48"/>
        <v>0</v>
      </c>
      <c r="BG89" s="324">
        <f t="shared" si="49"/>
        <v>0</v>
      </c>
      <c r="BH89" s="324">
        <f t="shared" si="50"/>
        <v>0</v>
      </c>
      <c r="BI89" s="324">
        <f t="shared" si="51"/>
        <v>0</v>
      </c>
      <c r="BJ89" s="324">
        <f t="shared" si="52"/>
        <v>0</v>
      </c>
      <c r="BK89" s="324">
        <f t="shared" si="53"/>
        <v>0</v>
      </c>
      <c r="BL89" s="324">
        <f t="shared" si="54"/>
        <v>0</v>
      </c>
      <c r="BM89" s="324">
        <f t="shared" si="55"/>
        <v>0</v>
      </c>
      <c r="BN89" s="324">
        <f t="shared" si="56"/>
        <v>0</v>
      </c>
      <c r="BO89" s="324">
        <f t="shared" si="57"/>
        <v>0</v>
      </c>
      <c r="BP89" s="324">
        <f t="shared" si="58"/>
        <v>0</v>
      </c>
      <c r="BQ89" s="324">
        <f t="shared" si="59"/>
        <v>0</v>
      </c>
      <c r="BR89" s="324">
        <f t="shared" si="60"/>
        <v>0</v>
      </c>
      <c r="BS89" s="324">
        <f t="shared" si="61"/>
        <v>0</v>
      </c>
      <c r="BT89" s="332">
        <f t="shared" si="62"/>
        <v>0</v>
      </c>
    </row>
    <row r="90" spans="1:72" ht="14.25">
      <c r="A90" s="297"/>
      <c r="B90" s="323"/>
      <c r="C90" s="323"/>
      <c r="D90" s="2215"/>
      <c r="E90" s="324">
        <f t="shared" si="34"/>
        <v>0</v>
      </c>
      <c r="F90" s="325"/>
      <c r="G90" s="326">
        <f t="shared" si="35"/>
        <v>0</v>
      </c>
      <c r="H90" s="327">
        <f t="shared" si="36"/>
        <v>0</v>
      </c>
      <c r="I90" s="328"/>
      <c r="J90" s="328"/>
      <c r="K90" s="328"/>
      <c r="L90" s="328"/>
      <c r="M90" s="328"/>
      <c r="N90" s="328"/>
      <c r="O90" s="328"/>
      <c r="P90" s="328"/>
      <c r="Q90" s="328"/>
      <c r="R90" s="328"/>
      <c r="S90" s="328"/>
      <c r="T90" s="328"/>
      <c r="U90" s="328"/>
      <c r="V90" s="328"/>
      <c r="W90" s="328"/>
      <c r="X90" s="328"/>
      <c r="Y90" s="328"/>
      <c r="Z90" s="328"/>
      <c r="AA90" s="328"/>
      <c r="AB90" s="328"/>
      <c r="AC90" s="324">
        <f t="shared" si="37"/>
        <v>0</v>
      </c>
      <c r="AD90" s="329"/>
      <c r="AE90" s="329"/>
      <c r="AF90" s="329"/>
      <c r="AG90" s="329"/>
      <c r="AH90" s="329"/>
      <c r="AI90" s="329"/>
      <c r="AJ90" s="329"/>
      <c r="AK90" s="329"/>
      <c r="AL90" s="329"/>
      <c r="AM90" s="329"/>
      <c r="AN90" s="329"/>
      <c r="AO90" s="329"/>
      <c r="AP90" s="329"/>
      <c r="AQ90" s="329"/>
      <c r="AR90" s="329"/>
      <c r="AS90" s="329"/>
      <c r="AT90" s="330"/>
      <c r="AU90" s="8"/>
      <c r="AV90" s="2210">
        <f t="shared" si="38"/>
        <v>0</v>
      </c>
      <c r="AW90" s="2210">
        <f t="shared" si="39"/>
        <v>0</v>
      </c>
      <c r="AX90" s="2210">
        <f t="shared" si="40"/>
        <v>0</v>
      </c>
      <c r="AY90" s="331">
        <f t="shared" si="41"/>
        <v>0</v>
      </c>
      <c r="AZ90" s="324">
        <f t="shared" si="42"/>
        <v>0</v>
      </c>
      <c r="BA90" s="324">
        <f t="shared" si="43"/>
        <v>0</v>
      </c>
      <c r="BB90" s="324">
        <f t="shared" si="44"/>
        <v>0</v>
      </c>
      <c r="BC90" s="324">
        <f t="shared" si="45"/>
        <v>0</v>
      </c>
      <c r="BD90" s="324">
        <f t="shared" si="46"/>
        <v>0</v>
      </c>
      <c r="BE90" s="324">
        <f t="shared" si="47"/>
        <v>0</v>
      </c>
      <c r="BF90" s="324">
        <f t="shared" si="48"/>
        <v>0</v>
      </c>
      <c r="BG90" s="324">
        <f t="shared" si="49"/>
        <v>0</v>
      </c>
      <c r="BH90" s="324">
        <f t="shared" si="50"/>
        <v>0</v>
      </c>
      <c r="BI90" s="324">
        <f t="shared" si="51"/>
        <v>0</v>
      </c>
      <c r="BJ90" s="324">
        <f t="shared" si="52"/>
        <v>0</v>
      </c>
      <c r="BK90" s="324">
        <f t="shared" si="53"/>
        <v>0</v>
      </c>
      <c r="BL90" s="324">
        <f t="shared" si="54"/>
        <v>0</v>
      </c>
      <c r="BM90" s="324">
        <f t="shared" si="55"/>
        <v>0</v>
      </c>
      <c r="BN90" s="324">
        <f t="shared" si="56"/>
        <v>0</v>
      </c>
      <c r="BO90" s="324">
        <f t="shared" si="57"/>
        <v>0</v>
      </c>
      <c r="BP90" s="324">
        <f t="shared" si="58"/>
        <v>0</v>
      </c>
      <c r="BQ90" s="324">
        <f t="shared" si="59"/>
        <v>0</v>
      </c>
      <c r="BR90" s="324">
        <f t="shared" si="60"/>
        <v>0</v>
      </c>
      <c r="BS90" s="324">
        <f t="shared" si="61"/>
        <v>0</v>
      </c>
      <c r="BT90" s="332">
        <f t="shared" si="62"/>
        <v>0</v>
      </c>
    </row>
    <row r="91" spans="1:72" ht="14.25">
      <c r="A91" s="297"/>
      <c r="B91" s="323"/>
      <c r="C91" s="323"/>
      <c r="D91" s="2215"/>
      <c r="E91" s="324">
        <f t="shared" si="34"/>
        <v>0</v>
      </c>
      <c r="F91" s="325"/>
      <c r="G91" s="326">
        <f t="shared" si="35"/>
        <v>0</v>
      </c>
      <c r="H91" s="327">
        <f t="shared" si="36"/>
        <v>0</v>
      </c>
      <c r="I91" s="328"/>
      <c r="J91" s="328"/>
      <c r="K91" s="328"/>
      <c r="L91" s="328"/>
      <c r="M91" s="328"/>
      <c r="N91" s="328"/>
      <c r="O91" s="328"/>
      <c r="P91" s="328"/>
      <c r="Q91" s="328"/>
      <c r="R91" s="328"/>
      <c r="S91" s="328"/>
      <c r="T91" s="328"/>
      <c r="U91" s="328"/>
      <c r="V91" s="328"/>
      <c r="W91" s="328"/>
      <c r="X91" s="328"/>
      <c r="Y91" s="328"/>
      <c r="Z91" s="328"/>
      <c r="AA91" s="328"/>
      <c r="AB91" s="328"/>
      <c r="AC91" s="324">
        <f t="shared" si="37"/>
        <v>0</v>
      </c>
      <c r="AD91" s="329"/>
      <c r="AE91" s="329"/>
      <c r="AF91" s="329"/>
      <c r="AG91" s="329"/>
      <c r="AH91" s="329"/>
      <c r="AI91" s="329"/>
      <c r="AJ91" s="329"/>
      <c r="AK91" s="329"/>
      <c r="AL91" s="329"/>
      <c r="AM91" s="329"/>
      <c r="AN91" s="329"/>
      <c r="AO91" s="329"/>
      <c r="AP91" s="329"/>
      <c r="AQ91" s="329"/>
      <c r="AR91" s="329"/>
      <c r="AS91" s="329"/>
      <c r="AT91" s="330"/>
      <c r="AU91" s="8"/>
      <c r="AV91" s="2210">
        <f t="shared" si="38"/>
        <v>0</v>
      </c>
      <c r="AW91" s="2210">
        <f t="shared" si="39"/>
        <v>0</v>
      </c>
      <c r="AX91" s="2210">
        <f t="shared" si="40"/>
        <v>0</v>
      </c>
      <c r="AY91" s="331">
        <f t="shared" si="41"/>
        <v>0</v>
      </c>
      <c r="AZ91" s="324">
        <f t="shared" si="42"/>
        <v>0</v>
      </c>
      <c r="BA91" s="324">
        <f t="shared" si="43"/>
        <v>0</v>
      </c>
      <c r="BB91" s="324">
        <f t="shared" si="44"/>
        <v>0</v>
      </c>
      <c r="BC91" s="324">
        <f t="shared" si="45"/>
        <v>0</v>
      </c>
      <c r="BD91" s="324">
        <f t="shared" si="46"/>
        <v>0</v>
      </c>
      <c r="BE91" s="324">
        <f t="shared" si="47"/>
        <v>0</v>
      </c>
      <c r="BF91" s="324">
        <f t="shared" si="48"/>
        <v>0</v>
      </c>
      <c r="BG91" s="324">
        <f t="shared" si="49"/>
        <v>0</v>
      </c>
      <c r="BH91" s="324">
        <f t="shared" si="50"/>
        <v>0</v>
      </c>
      <c r="BI91" s="324">
        <f t="shared" si="51"/>
        <v>0</v>
      </c>
      <c r="BJ91" s="324">
        <f t="shared" si="52"/>
        <v>0</v>
      </c>
      <c r="BK91" s="324">
        <f t="shared" si="53"/>
        <v>0</v>
      </c>
      <c r="BL91" s="324">
        <f t="shared" si="54"/>
        <v>0</v>
      </c>
      <c r="BM91" s="324">
        <f t="shared" si="55"/>
        <v>0</v>
      </c>
      <c r="BN91" s="324">
        <f t="shared" si="56"/>
        <v>0</v>
      </c>
      <c r="BO91" s="324">
        <f t="shared" si="57"/>
        <v>0</v>
      </c>
      <c r="BP91" s="324">
        <f t="shared" si="58"/>
        <v>0</v>
      </c>
      <c r="BQ91" s="324">
        <f t="shared" si="59"/>
        <v>0</v>
      </c>
      <c r="BR91" s="324">
        <f t="shared" si="60"/>
        <v>0</v>
      </c>
      <c r="BS91" s="324">
        <f t="shared" si="61"/>
        <v>0</v>
      </c>
      <c r="BT91" s="332">
        <f t="shared" si="62"/>
        <v>0</v>
      </c>
    </row>
    <row r="92" spans="1:72" ht="14.25">
      <c r="A92" s="297"/>
      <c r="B92" s="323"/>
      <c r="C92" s="323"/>
      <c r="D92" s="2215"/>
      <c r="E92" s="324">
        <f t="shared" si="34"/>
        <v>0</v>
      </c>
      <c r="F92" s="325"/>
      <c r="G92" s="326">
        <f t="shared" si="35"/>
        <v>0</v>
      </c>
      <c r="H92" s="327">
        <f t="shared" si="36"/>
        <v>0</v>
      </c>
      <c r="I92" s="328"/>
      <c r="J92" s="328"/>
      <c r="K92" s="328"/>
      <c r="L92" s="328"/>
      <c r="M92" s="328"/>
      <c r="N92" s="328"/>
      <c r="O92" s="328"/>
      <c r="P92" s="328"/>
      <c r="Q92" s="328"/>
      <c r="R92" s="328"/>
      <c r="S92" s="328"/>
      <c r="T92" s="328"/>
      <c r="U92" s="328"/>
      <c r="V92" s="328"/>
      <c r="W92" s="328"/>
      <c r="X92" s="328"/>
      <c r="Y92" s="328"/>
      <c r="Z92" s="328"/>
      <c r="AA92" s="328"/>
      <c r="AB92" s="328"/>
      <c r="AC92" s="324">
        <f t="shared" si="37"/>
        <v>0</v>
      </c>
      <c r="AD92" s="329"/>
      <c r="AE92" s="329"/>
      <c r="AF92" s="329"/>
      <c r="AG92" s="329"/>
      <c r="AH92" s="329"/>
      <c r="AI92" s="329"/>
      <c r="AJ92" s="329"/>
      <c r="AK92" s="329"/>
      <c r="AL92" s="329"/>
      <c r="AM92" s="329"/>
      <c r="AN92" s="329"/>
      <c r="AO92" s="329"/>
      <c r="AP92" s="329"/>
      <c r="AQ92" s="329"/>
      <c r="AR92" s="329"/>
      <c r="AS92" s="329"/>
      <c r="AT92" s="330"/>
      <c r="AU92" s="8"/>
      <c r="AV92" s="2210">
        <f t="shared" si="38"/>
        <v>0</v>
      </c>
      <c r="AW92" s="2210">
        <f t="shared" si="39"/>
        <v>0</v>
      </c>
      <c r="AX92" s="2210">
        <f t="shared" si="40"/>
        <v>0</v>
      </c>
      <c r="AY92" s="331">
        <f t="shared" si="41"/>
        <v>0</v>
      </c>
      <c r="AZ92" s="324">
        <f t="shared" si="42"/>
        <v>0</v>
      </c>
      <c r="BA92" s="324">
        <f t="shared" si="43"/>
        <v>0</v>
      </c>
      <c r="BB92" s="324">
        <f t="shared" si="44"/>
        <v>0</v>
      </c>
      <c r="BC92" s="324">
        <f t="shared" si="45"/>
        <v>0</v>
      </c>
      <c r="BD92" s="324">
        <f t="shared" si="46"/>
        <v>0</v>
      </c>
      <c r="BE92" s="324">
        <f t="shared" si="47"/>
        <v>0</v>
      </c>
      <c r="BF92" s="324">
        <f t="shared" si="48"/>
        <v>0</v>
      </c>
      <c r="BG92" s="324">
        <f t="shared" si="49"/>
        <v>0</v>
      </c>
      <c r="BH92" s="324">
        <f t="shared" si="50"/>
        <v>0</v>
      </c>
      <c r="BI92" s="324">
        <f t="shared" si="51"/>
        <v>0</v>
      </c>
      <c r="BJ92" s="324">
        <f t="shared" si="52"/>
        <v>0</v>
      </c>
      <c r="BK92" s="324">
        <f t="shared" si="53"/>
        <v>0</v>
      </c>
      <c r="BL92" s="324">
        <f t="shared" si="54"/>
        <v>0</v>
      </c>
      <c r="BM92" s="324">
        <f t="shared" si="55"/>
        <v>0</v>
      </c>
      <c r="BN92" s="324">
        <f t="shared" si="56"/>
        <v>0</v>
      </c>
      <c r="BO92" s="324">
        <f t="shared" si="57"/>
        <v>0</v>
      </c>
      <c r="BP92" s="324">
        <f t="shared" si="58"/>
        <v>0</v>
      </c>
      <c r="BQ92" s="324">
        <f t="shared" si="59"/>
        <v>0</v>
      </c>
      <c r="BR92" s="324">
        <f t="shared" si="60"/>
        <v>0</v>
      </c>
      <c r="BS92" s="324">
        <f t="shared" si="61"/>
        <v>0</v>
      </c>
      <c r="BT92" s="332">
        <f t="shared" si="62"/>
        <v>0</v>
      </c>
    </row>
    <row r="93" spans="1:72" ht="14.25">
      <c r="A93" s="297"/>
      <c r="B93" s="323"/>
      <c r="C93" s="323"/>
      <c r="D93" s="2215"/>
      <c r="E93" s="324">
        <f t="shared" si="34"/>
        <v>0</v>
      </c>
      <c r="F93" s="325"/>
      <c r="G93" s="326">
        <f t="shared" si="35"/>
        <v>0</v>
      </c>
      <c r="H93" s="327">
        <f t="shared" si="36"/>
        <v>0</v>
      </c>
      <c r="I93" s="328"/>
      <c r="J93" s="328"/>
      <c r="K93" s="328"/>
      <c r="L93" s="328"/>
      <c r="M93" s="328"/>
      <c r="N93" s="328"/>
      <c r="O93" s="328"/>
      <c r="P93" s="328"/>
      <c r="Q93" s="328"/>
      <c r="R93" s="328"/>
      <c r="S93" s="328"/>
      <c r="T93" s="328"/>
      <c r="U93" s="328"/>
      <c r="V93" s="328"/>
      <c r="W93" s="328"/>
      <c r="X93" s="328"/>
      <c r="Y93" s="328"/>
      <c r="Z93" s="328"/>
      <c r="AA93" s="328"/>
      <c r="AB93" s="328"/>
      <c r="AC93" s="324">
        <f t="shared" si="37"/>
        <v>0</v>
      </c>
      <c r="AD93" s="329"/>
      <c r="AE93" s="329"/>
      <c r="AF93" s="329"/>
      <c r="AG93" s="329"/>
      <c r="AH93" s="329"/>
      <c r="AI93" s="329"/>
      <c r="AJ93" s="329"/>
      <c r="AK93" s="329"/>
      <c r="AL93" s="329"/>
      <c r="AM93" s="329"/>
      <c r="AN93" s="329"/>
      <c r="AO93" s="329"/>
      <c r="AP93" s="329"/>
      <c r="AQ93" s="329"/>
      <c r="AR93" s="329"/>
      <c r="AS93" s="329"/>
      <c r="AT93" s="330"/>
      <c r="AU93" s="8"/>
      <c r="AV93" s="2210">
        <f t="shared" si="38"/>
        <v>0</v>
      </c>
      <c r="AW93" s="2210">
        <f t="shared" si="39"/>
        <v>0</v>
      </c>
      <c r="AX93" s="2210">
        <f t="shared" si="40"/>
        <v>0</v>
      </c>
      <c r="AY93" s="331">
        <f t="shared" si="41"/>
        <v>0</v>
      </c>
      <c r="AZ93" s="324">
        <f t="shared" si="42"/>
        <v>0</v>
      </c>
      <c r="BA93" s="324">
        <f t="shared" si="43"/>
        <v>0</v>
      </c>
      <c r="BB93" s="324">
        <f t="shared" si="44"/>
        <v>0</v>
      </c>
      <c r="BC93" s="324">
        <f t="shared" si="45"/>
        <v>0</v>
      </c>
      <c r="BD93" s="324">
        <f t="shared" si="46"/>
        <v>0</v>
      </c>
      <c r="BE93" s="324">
        <f t="shared" si="47"/>
        <v>0</v>
      </c>
      <c r="BF93" s="324">
        <f t="shared" si="48"/>
        <v>0</v>
      </c>
      <c r="BG93" s="324">
        <f t="shared" si="49"/>
        <v>0</v>
      </c>
      <c r="BH93" s="324">
        <f t="shared" si="50"/>
        <v>0</v>
      </c>
      <c r="BI93" s="324">
        <f t="shared" si="51"/>
        <v>0</v>
      </c>
      <c r="BJ93" s="324">
        <f t="shared" si="52"/>
        <v>0</v>
      </c>
      <c r="BK93" s="324">
        <f t="shared" si="53"/>
        <v>0</v>
      </c>
      <c r="BL93" s="324">
        <f t="shared" si="54"/>
        <v>0</v>
      </c>
      <c r="BM93" s="324">
        <f t="shared" si="55"/>
        <v>0</v>
      </c>
      <c r="BN93" s="324">
        <f t="shared" si="56"/>
        <v>0</v>
      </c>
      <c r="BO93" s="324">
        <f t="shared" si="57"/>
        <v>0</v>
      </c>
      <c r="BP93" s="324">
        <f t="shared" si="58"/>
        <v>0</v>
      </c>
      <c r="BQ93" s="324">
        <f t="shared" si="59"/>
        <v>0</v>
      </c>
      <c r="BR93" s="324">
        <f t="shared" si="60"/>
        <v>0</v>
      </c>
      <c r="BS93" s="324">
        <f t="shared" si="61"/>
        <v>0</v>
      </c>
      <c r="BT93" s="332">
        <f t="shared" si="62"/>
        <v>0</v>
      </c>
    </row>
    <row r="94" spans="1:72" ht="14.25">
      <c r="A94" s="297"/>
      <c r="B94" s="323"/>
      <c r="C94" s="323"/>
      <c r="D94" s="2215"/>
      <c r="E94" s="324">
        <f t="shared" si="34"/>
        <v>0</v>
      </c>
      <c r="F94" s="325"/>
      <c r="G94" s="326">
        <f t="shared" si="35"/>
        <v>0</v>
      </c>
      <c r="H94" s="327">
        <f t="shared" si="36"/>
        <v>0</v>
      </c>
      <c r="I94" s="328"/>
      <c r="J94" s="328"/>
      <c r="K94" s="328"/>
      <c r="L94" s="328"/>
      <c r="M94" s="328"/>
      <c r="N94" s="328"/>
      <c r="O94" s="328"/>
      <c r="P94" s="328"/>
      <c r="Q94" s="328"/>
      <c r="R94" s="328"/>
      <c r="S94" s="328"/>
      <c r="T94" s="328"/>
      <c r="U94" s="328"/>
      <c r="V94" s="328"/>
      <c r="W94" s="328"/>
      <c r="X94" s="328"/>
      <c r="Y94" s="328"/>
      <c r="Z94" s="328"/>
      <c r="AA94" s="328"/>
      <c r="AB94" s="328"/>
      <c r="AC94" s="324">
        <f t="shared" si="37"/>
        <v>0</v>
      </c>
      <c r="AD94" s="329"/>
      <c r="AE94" s="329"/>
      <c r="AF94" s="329"/>
      <c r="AG94" s="329"/>
      <c r="AH94" s="329"/>
      <c r="AI94" s="329"/>
      <c r="AJ94" s="329"/>
      <c r="AK94" s="329"/>
      <c r="AL94" s="329"/>
      <c r="AM94" s="329"/>
      <c r="AN94" s="329"/>
      <c r="AO94" s="329"/>
      <c r="AP94" s="329"/>
      <c r="AQ94" s="329"/>
      <c r="AR94" s="329"/>
      <c r="AS94" s="329"/>
      <c r="AT94" s="330"/>
      <c r="AU94" s="8"/>
      <c r="AV94" s="2210">
        <f t="shared" si="38"/>
        <v>0</v>
      </c>
      <c r="AW94" s="2210">
        <f t="shared" si="39"/>
        <v>0</v>
      </c>
      <c r="AX94" s="2210">
        <f t="shared" si="40"/>
        <v>0</v>
      </c>
      <c r="AY94" s="331">
        <f t="shared" si="41"/>
        <v>0</v>
      </c>
      <c r="AZ94" s="324">
        <f t="shared" si="42"/>
        <v>0</v>
      </c>
      <c r="BA94" s="324">
        <f t="shared" si="43"/>
        <v>0</v>
      </c>
      <c r="BB94" s="324">
        <f t="shared" si="44"/>
        <v>0</v>
      </c>
      <c r="BC94" s="324">
        <f t="shared" si="45"/>
        <v>0</v>
      </c>
      <c r="BD94" s="324">
        <f t="shared" si="46"/>
        <v>0</v>
      </c>
      <c r="BE94" s="324">
        <f t="shared" si="47"/>
        <v>0</v>
      </c>
      <c r="BF94" s="324">
        <f t="shared" si="48"/>
        <v>0</v>
      </c>
      <c r="BG94" s="324">
        <f t="shared" si="49"/>
        <v>0</v>
      </c>
      <c r="BH94" s="324">
        <f t="shared" si="50"/>
        <v>0</v>
      </c>
      <c r="BI94" s="324">
        <f t="shared" si="51"/>
        <v>0</v>
      </c>
      <c r="BJ94" s="324">
        <f t="shared" si="52"/>
        <v>0</v>
      </c>
      <c r="BK94" s="324">
        <f t="shared" si="53"/>
        <v>0</v>
      </c>
      <c r="BL94" s="324">
        <f t="shared" si="54"/>
        <v>0</v>
      </c>
      <c r="BM94" s="324">
        <f t="shared" si="55"/>
        <v>0</v>
      </c>
      <c r="BN94" s="324">
        <f t="shared" si="56"/>
        <v>0</v>
      </c>
      <c r="BO94" s="324">
        <f t="shared" si="57"/>
        <v>0</v>
      </c>
      <c r="BP94" s="324">
        <f t="shared" si="58"/>
        <v>0</v>
      </c>
      <c r="BQ94" s="324">
        <f t="shared" si="59"/>
        <v>0</v>
      </c>
      <c r="BR94" s="324">
        <f t="shared" si="60"/>
        <v>0</v>
      </c>
      <c r="BS94" s="324">
        <f t="shared" si="61"/>
        <v>0</v>
      </c>
      <c r="BT94" s="332">
        <f t="shared" si="62"/>
        <v>0</v>
      </c>
    </row>
    <row r="95" spans="1:72" ht="14.25">
      <c r="A95" s="297"/>
      <c r="B95" s="323"/>
      <c r="C95" s="323"/>
      <c r="D95" s="2215"/>
      <c r="E95" s="324">
        <f t="shared" si="34"/>
        <v>0</v>
      </c>
      <c r="F95" s="325"/>
      <c r="G95" s="326">
        <f t="shared" si="35"/>
        <v>0</v>
      </c>
      <c r="H95" s="327">
        <f t="shared" si="36"/>
        <v>0</v>
      </c>
      <c r="I95" s="328"/>
      <c r="J95" s="328"/>
      <c r="K95" s="328"/>
      <c r="L95" s="328"/>
      <c r="M95" s="328"/>
      <c r="N95" s="328"/>
      <c r="O95" s="328"/>
      <c r="P95" s="328"/>
      <c r="Q95" s="328"/>
      <c r="R95" s="328"/>
      <c r="S95" s="328"/>
      <c r="T95" s="328"/>
      <c r="U95" s="328"/>
      <c r="V95" s="328"/>
      <c r="W95" s="328"/>
      <c r="X95" s="328"/>
      <c r="Y95" s="328"/>
      <c r="Z95" s="328"/>
      <c r="AA95" s="328"/>
      <c r="AB95" s="328"/>
      <c r="AC95" s="324">
        <f t="shared" si="37"/>
        <v>0</v>
      </c>
      <c r="AD95" s="329"/>
      <c r="AE95" s="329"/>
      <c r="AF95" s="329"/>
      <c r="AG95" s="329"/>
      <c r="AH95" s="329"/>
      <c r="AI95" s="329"/>
      <c r="AJ95" s="329"/>
      <c r="AK95" s="329"/>
      <c r="AL95" s="329"/>
      <c r="AM95" s="329"/>
      <c r="AN95" s="329"/>
      <c r="AO95" s="329"/>
      <c r="AP95" s="329"/>
      <c r="AQ95" s="329"/>
      <c r="AR95" s="329"/>
      <c r="AS95" s="329"/>
      <c r="AT95" s="330"/>
      <c r="AU95" s="8"/>
      <c r="AV95" s="2210">
        <f t="shared" si="38"/>
        <v>0</v>
      </c>
      <c r="AW95" s="2210">
        <f t="shared" si="39"/>
        <v>0</v>
      </c>
      <c r="AX95" s="2210">
        <f t="shared" si="40"/>
        <v>0</v>
      </c>
      <c r="AY95" s="331">
        <f t="shared" si="41"/>
        <v>0</v>
      </c>
      <c r="AZ95" s="324">
        <f t="shared" si="42"/>
        <v>0</v>
      </c>
      <c r="BA95" s="324">
        <f t="shared" si="43"/>
        <v>0</v>
      </c>
      <c r="BB95" s="324">
        <f t="shared" si="44"/>
        <v>0</v>
      </c>
      <c r="BC95" s="324">
        <f t="shared" si="45"/>
        <v>0</v>
      </c>
      <c r="BD95" s="324">
        <f t="shared" si="46"/>
        <v>0</v>
      </c>
      <c r="BE95" s="324">
        <f t="shared" si="47"/>
        <v>0</v>
      </c>
      <c r="BF95" s="324">
        <f t="shared" si="48"/>
        <v>0</v>
      </c>
      <c r="BG95" s="324">
        <f t="shared" si="49"/>
        <v>0</v>
      </c>
      <c r="BH95" s="324">
        <f t="shared" si="50"/>
        <v>0</v>
      </c>
      <c r="BI95" s="324">
        <f t="shared" si="51"/>
        <v>0</v>
      </c>
      <c r="BJ95" s="324">
        <f t="shared" si="52"/>
        <v>0</v>
      </c>
      <c r="BK95" s="324">
        <f t="shared" si="53"/>
        <v>0</v>
      </c>
      <c r="BL95" s="324">
        <f t="shared" si="54"/>
        <v>0</v>
      </c>
      <c r="BM95" s="324">
        <f t="shared" si="55"/>
        <v>0</v>
      </c>
      <c r="BN95" s="324">
        <f t="shared" si="56"/>
        <v>0</v>
      </c>
      <c r="BO95" s="324">
        <f t="shared" si="57"/>
        <v>0</v>
      </c>
      <c r="BP95" s="324">
        <f t="shared" si="58"/>
        <v>0</v>
      </c>
      <c r="BQ95" s="324">
        <f t="shared" si="59"/>
        <v>0</v>
      </c>
      <c r="BR95" s="324">
        <f t="shared" si="60"/>
        <v>0</v>
      </c>
      <c r="BS95" s="324">
        <f t="shared" si="61"/>
        <v>0</v>
      </c>
      <c r="BT95" s="332">
        <f t="shared" si="62"/>
        <v>0</v>
      </c>
    </row>
    <row r="96" spans="1:72" ht="14.25">
      <c r="A96" s="297"/>
      <c r="B96" s="323"/>
      <c r="C96" s="323"/>
      <c r="D96" s="2215"/>
      <c r="E96" s="324">
        <f t="shared" si="34"/>
        <v>0</v>
      </c>
      <c r="F96" s="325"/>
      <c r="G96" s="326">
        <f t="shared" si="35"/>
        <v>0</v>
      </c>
      <c r="H96" s="327">
        <f t="shared" si="36"/>
        <v>0</v>
      </c>
      <c r="I96" s="328"/>
      <c r="J96" s="328"/>
      <c r="K96" s="328"/>
      <c r="L96" s="328"/>
      <c r="M96" s="328"/>
      <c r="N96" s="328"/>
      <c r="O96" s="328"/>
      <c r="P96" s="328"/>
      <c r="Q96" s="328"/>
      <c r="R96" s="328"/>
      <c r="S96" s="328"/>
      <c r="T96" s="328"/>
      <c r="U96" s="328"/>
      <c r="V96" s="328"/>
      <c r="W96" s="328"/>
      <c r="X96" s="328"/>
      <c r="Y96" s="328"/>
      <c r="Z96" s="328"/>
      <c r="AA96" s="328"/>
      <c r="AB96" s="328"/>
      <c r="AC96" s="324">
        <f t="shared" si="37"/>
        <v>0</v>
      </c>
      <c r="AD96" s="329"/>
      <c r="AE96" s="329"/>
      <c r="AF96" s="329"/>
      <c r="AG96" s="329"/>
      <c r="AH96" s="329"/>
      <c r="AI96" s="329"/>
      <c r="AJ96" s="329"/>
      <c r="AK96" s="329"/>
      <c r="AL96" s="329"/>
      <c r="AM96" s="329"/>
      <c r="AN96" s="329"/>
      <c r="AO96" s="329"/>
      <c r="AP96" s="329"/>
      <c r="AQ96" s="329"/>
      <c r="AR96" s="329"/>
      <c r="AS96" s="329"/>
      <c r="AT96" s="330"/>
      <c r="AU96" s="8"/>
      <c r="AV96" s="2210">
        <f t="shared" si="38"/>
        <v>0</v>
      </c>
      <c r="AW96" s="2210">
        <f t="shared" si="39"/>
        <v>0</v>
      </c>
      <c r="AX96" s="2210">
        <f t="shared" si="40"/>
        <v>0</v>
      </c>
      <c r="AY96" s="331">
        <f t="shared" si="41"/>
        <v>0</v>
      </c>
      <c r="AZ96" s="324">
        <f t="shared" si="42"/>
        <v>0</v>
      </c>
      <c r="BA96" s="324">
        <f t="shared" si="43"/>
        <v>0</v>
      </c>
      <c r="BB96" s="324">
        <f t="shared" si="44"/>
        <v>0</v>
      </c>
      <c r="BC96" s="324">
        <f t="shared" si="45"/>
        <v>0</v>
      </c>
      <c r="BD96" s="324">
        <f t="shared" si="46"/>
        <v>0</v>
      </c>
      <c r="BE96" s="324">
        <f t="shared" si="47"/>
        <v>0</v>
      </c>
      <c r="BF96" s="324">
        <f t="shared" si="48"/>
        <v>0</v>
      </c>
      <c r="BG96" s="324">
        <f t="shared" si="49"/>
        <v>0</v>
      </c>
      <c r="BH96" s="324">
        <f t="shared" si="50"/>
        <v>0</v>
      </c>
      <c r="BI96" s="324">
        <f t="shared" si="51"/>
        <v>0</v>
      </c>
      <c r="BJ96" s="324">
        <f t="shared" si="52"/>
        <v>0</v>
      </c>
      <c r="BK96" s="324">
        <f t="shared" si="53"/>
        <v>0</v>
      </c>
      <c r="BL96" s="324">
        <f t="shared" si="54"/>
        <v>0</v>
      </c>
      <c r="BM96" s="324">
        <f t="shared" si="55"/>
        <v>0</v>
      </c>
      <c r="BN96" s="324">
        <f t="shared" si="56"/>
        <v>0</v>
      </c>
      <c r="BO96" s="324">
        <f t="shared" si="57"/>
        <v>0</v>
      </c>
      <c r="BP96" s="324">
        <f t="shared" si="58"/>
        <v>0</v>
      </c>
      <c r="BQ96" s="324">
        <f t="shared" si="59"/>
        <v>0</v>
      </c>
      <c r="BR96" s="324">
        <f t="shared" si="60"/>
        <v>0</v>
      </c>
      <c r="BS96" s="324">
        <f t="shared" si="61"/>
        <v>0</v>
      </c>
      <c r="BT96" s="332">
        <f t="shared" si="62"/>
        <v>0</v>
      </c>
    </row>
    <row r="97" spans="1:72" ht="14.25">
      <c r="A97" s="297"/>
      <c r="B97" s="323"/>
      <c r="C97" s="323"/>
      <c r="D97" s="2215"/>
      <c r="E97" s="324">
        <f t="shared" si="34"/>
        <v>0</v>
      </c>
      <c r="F97" s="325"/>
      <c r="G97" s="326">
        <f t="shared" si="35"/>
        <v>0</v>
      </c>
      <c r="H97" s="327">
        <f t="shared" si="36"/>
        <v>0</v>
      </c>
      <c r="I97" s="328"/>
      <c r="J97" s="328"/>
      <c r="K97" s="328"/>
      <c r="L97" s="328"/>
      <c r="M97" s="328"/>
      <c r="N97" s="328"/>
      <c r="O97" s="328"/>
      <c r="P97" s="328"/>
      <c r="Q97" s="328"/>
      <c r="R97" s="328"/>
      <c r="S97" s="328"/>
      <c r="T97" s="328"/>
      <c r="U97" s="328"/>
      <c r="V97" s="328"/>
      <c r="W97" s="328"/>
      <c r="X97" s="328"/>
      <c r="Y97" s="328"/>
      <c r="Z97" s="328"/>
      <c r="AA97" s="328"/>
      <c r="AB97" s="328"/>
      <c r="AC97" s="324">
        <f t="shared" si="37"/>
        <v>0</v>
      </c>
      <c r="AD97" s="329"/>
      <c r="AE97" s="329"/>
      <c r="AF97" s="329"/>
      <c r="AG97" s="329"/>
      <c r="AH97" s="329"/>
      <c r="AI97" s="329"/>
      <c r="AJ97" s="329"/>
      <c r="AK97" s="329"/>
      <c r="AL97" s="329"/>
      <c r="AM97" s="329"/>
      <c r="AN97" s="329"/>
      <c r="AO97" s="329"/>
      <c r="AP97" s="329"/>
      <c r="AQ97" s="329"/>
      <c r="AR97" s="329"/>
      <c r="AS97" s="329"/>
      <c r="AT97" s="330"/>
      <c r="AU97" s="8"/>
      <c r="AV97" s="2210">
        <f t="shared" si="38"/>
        <v>0</v>
      </c>
      <c r="AW97" s="2210">
        <f t="shared" si="39"/>
        <v>0</v>
      </c>
      <c r="AX97" s="2210">
        <f t="shared" si="40"/>
        <v>0</v>
      </c>
      <c r="AY97" s="331">
        <f t="shared" si="41"/>
        <v>0</v>
      </c>
      <c r="AZ97" s="324">
        <f t="shared" si="42"/>
        <v>0</v>
      </c>
      <c r="BA97" s="324">
        <f t="shared" si="43"/>
        <v>0</v>
      </c>
      <c r="BB97" s="324">
        <f t="shared" si="44"/>
        <v>0</v>
      </c>
      <c r="BC97" s="324">
        <f t="shared" si="45"/>
        <v>0</v>
      </c>
      <c r="BD97" s="324">
        <f t="shared" si="46"/>
        <v>0</v>
      </c>
      <c r="BE97" s="324">
        <f t="shared" si="47"/>
        <v>0</v>
      </c>
      <c r="BF97" s="324">
        <f t="shared" si="48"/>
        <v>0</v>
      </c>
      <c r="BG97" s="324">
        <f t="shared" si="49"/>
        <v>0</v>
      </c>
      <c r="BH97" s="324">
        <f t="shared" si="50"/>
        <v>0</v>
      </c>
      <c r="BI97" s="324">
        <f t="shared" si="51"/>
        <v>0</v>
      </c>
      <c r="BJ97" s="324">
        <f t="shared" si="52"/>
        <v>0</v>
      </c>
      <c r="BK97" s="324">
        <f t="shared" si="53"/>
        <v>0</v>
      </c>
      <c r="BL97" s="324">
        <f t="shared" si="54"/>
        <v>0</v>
      </c>
      <c r="BM97" s="324">
        <f t="shared" si="55"/>
        <v>0</v>
      </c>
      <c r="BN97" s="324">
        <f t="shared" si="56"/>
        <v>0</v>
      </c>
      <c r="BO97" s="324">
        <f t="shared" si="57"/>
        <v>0</v>
      </c>
      <c r="BP97" s="324">
        <f t="shared" si="58"/>
        <v>0</v>
      </c>
      <c r="BQ97" s="324">
        <f t="shared" si="59"/>
        <v>0</v>
      </c>
      <c r="BR97" s="324">
        <f t="shared" si="60"/>
        <v>0</v>
      </c>
      <c r="BS97" s="324">
        <f t="shared" si="61"/>
        <v>0</v>
      </c>
      <c r="BT97" s="332">
        <f t="shared" si="62"/>
        <v>0</v>
      </c>
    </row>
    <row r="98" spans="1:72" ht="14.25">
      <c r="A98" s="297"/>
      <c r="B98" s="323"/>
      <c r="C98" s="323"/>
      <c r="D98" s="2215"/>
      <c r="E98" s="324">
        <f t="shared" si="34"/>
        <v>0</v>
      </c>
      <c r="F98" s="325"/>
      <c r="G98" s="326">
        <f t="shared" si="35"/>
        <v>0</v>
      </c>
      <c r="H98" s="327">
        <f t="shared" si="36"/>
        <v>0</v>
      </c>
      <c r="I98" s="328"/>
      <c r="J98" s="328"/>
      <c r="K98" s="328"/>
      <c r="L98" s="328"/>
      <c r="M98" s="328"/>
      <c r="N98" s="328"/>
      <c r="O98" s="328"/>
      <c r="P98" s="328"/>
      <c r="Q98" s="328"/>
      <c r="R98" s="328"/>
      <c r="S98" s="328"/>
      <c r="T98" s="328"/>
      <c r="U98" s="328"/>
      <c r="V98" s="328"/>
      <c r="W98" s="328"/>
      <c r="X98" s="328"/>
      <c r="Y98" s="328"/>
      <c r="Z98" s="328"/>
      <c r="AA98" s="328"/>
      <c r="AB98" s="328"/>
      <c r="AC98" s="324">
        <f t="shared" si="37"/>
        <v>0</v>
      </c>
      <c r="AD98" s="329"/>
      <c r="AE98" s="329"/>
      <c r="AF98" s="329"/>
      <c r="AG98" s="329"/>
      <c r="AH98" s="329"/>
      <c r="AI98" s="329"/>
      <c r="AJ98" s="329"/>
      <c r="AK98" s="329"/>
      <c r="AL98" s="329"/>
      <c r="AM98" s="329"/>
      <c r="AN98" s="329"/>
      <c r="AO98" s="329"/>
      <c r="AP98" s="329"/>
      <c r="AQ98" s="329"/>
      <c r="AR98" s="329"/>
      <c r="AS98" s="329"/>
      <c r="AT98" s="330"/>
      <c r="AU98" s="8"/>
      <c r="AV98" s="2210">
        <f t="shared" si="38"/>
        <v>0</v>
      </c>
      <c r="AW98" s="2210">
        <f t="shared" si="39"/>
        <v>0</v>
      </c>
      <c r="AX98" s="2210">
        <f t="shared" si="40"/>
        <v>0</v>
      </c>
      <c r="AY98" s="331">
        <f t="shared" si="41"/>
        <v>0</v>
      </c>
      <c r="AZ98" s="324">
        <f t="shared" si="42"/>
        <v>0</v>
      </c>
      <c r="BA98" s="324">
        <f t="shared" si="43"/>
        <v>0</v>
      </c>
      <c r="BB98" s="324">
        <f t="shared" si="44"/>
        <v>0</v>
      </c>
      <c r="BC98" s="324">
        <f t="shared" si="45"/>
        <v>0</v>
      </c>
      <c r="BD98" s="324">
        <f t="shared" si="46"/>
        <v>0</v>
      </c>
      <c r="BE98" s="324">
        <f t="shared" si="47"/>
        <v>0</v>
      </c>
      <c r="BF98" s="324">
        <f t="shared" si="48"/>
        <v>0</v>
      </c>
      <c r="BG98" s="324">
        <f t="shared" si="49"/>
        <v>0</v>
      </c>
      <c r="BH98" s="324">
        <f t="shared" si="50"/>
        <v>0</v>
      </c>
      <c r="BI98" s="324">
        <f t="shared" si="51"/>
        <v>0</v>
      </c>
      <c r="BJ98" s="324">
        <f t="shared" si="52"/>
        <v>0</v>
      </c>
      <c r="BK98" s="324">
        <f t="shared" si="53"/>
        <v>0</v>
      </c>
      <c r="BL98" s="324">
        <f t="shared" si="54"/>
        <v>0</v>
      </c>
      <c r="BM98" s="324">
        <f t="shared" si="55"/>
        <v>0</v>
      </c>
      <c r="BN98" s="324">
        <f t="shared" si="56"/>
        <v>0</v>
      </c>
      <c r="BO98" s="324">
        <f t="shared" si="57"/>
        <v>0</v>
      </c>
      <c r="BP98" s="324">
        <f t="shared" si="58"/>
        <v>0</v>
      </c>
      <c r="BQ98" s="324">
        <f t="shared" si="59"/>
        <v>0</v>
      </c>
      <c r="BR98" s="324">
        <f t="shared" si="60"/>
        <v>0</v>
      </c>
      <c r="BS98" s="324">
        <f t="shared" si="61"/>
        <v>0</v>
      </c>
      <c r="BT98" s="332">
        <f t="shared" si="62"/>
        <v>0</v>
      </c>
    </row>
    <row r="99" spans="1:72" ht="14.25">
      <c r="A99" s="297"/>
      <c r="B99" s="323"/>
      <c r="C99" s="323"/>
      <c r="D99" s="2215"/>
      <c r="E99" s="324">
        <f t="shared" si="34"/>
        <v>0</v>
      </c>
      <c r="F99" s="325"/>
      <c r="G99" s="326">
        <f t="shared" si="35"/>
        <v>0</v>
      </c>
      <c r="H99" s="327">
        <f t="shared" si="36"/>
        <v>0</v>
      </c>
      <c r="I99" s="328"/>
      <c r="J99" s="328"/>
      <c r="K99" s="328"/>
      <c r="L99" s="328"/>
      <c r="M99" s="328"/>
      <c r="N99" s="328"/>
      <c r="O99" s="328"/>
      <c r="P99" s="328"/>
      <c r="Q99" s="328"/>
      <c r="R99" s="328"/>
      <c r="S99" s="328"/>
      <c r="T99" s="328"/>
      <c r="U99" s="328"/>
      <c r="V99" s="328"/>
      <c r="W99" s="328"/>
      <c r="X99" s="328"/>
      <c r="Y99" s="328"/>
      <c r="Z99" s="328"/>
      <c r="AA99" s="328"/>
      <c r="AB99" s="328"/>
      <c r="AC99" s="324">
        <f t="shared" si="37"/>
        <v>0</v>
      </c>
      <c r="AD99" s="329"/>
      <c r="AE99" s="329"/>
      <c r="AF99" s="329"/>
      <c r="AG99" s="329"/>
      <c r="AH99" s="329"/>
      <c r="AI99" s="329"/>
      <c r="AJ99" s="329"/>
      <c r="AK99" s="329"/>
      <c r="AL99" s="329"/>
      <c r="AM99" s="329"/>
      <c r="AN99" s="329"/>
      <c r="AO99" s="329"/>
      <c r="AP99" s="329"/>
      <c r="AQ99" s="329"/>
      <c r="AR99" s="329"/>
      <c r="AS99" s="329"/>
      <c r="AT99" s="330"/>
      <c r="AU99" s="8"/>
      <c r="AV99" s="2210">
        <f t="shared" si="38"/>
        <v>0</v>
      </c>
      <c r="AW99" s="2210">
        <f t="shared" si="39"/>
        <v>0</v>
      </c>
      <c r="AX99" s="2210">
        <f t="shared" si="40"/>
        <v>0</v>
      </c>
      <c r="AY99" s="331">
        <f t="shared" si="41"/>
        <v>0</v>
      </c>
      <c r="AZ99" s="324">
        <f t="shared" si="42"/>
        <v>0</v>
      </c>
      <c r="BA99" s="324">
        <f t="shared" si="43"/>
        <v>0</v>
      </c>
      <c r="BB99" s="324">
        <f t="shared" si="44"/>
        <v>0</v>
      </c>
      <c r="BC99" s="324">
        <f t="shared" si="45"/>
        <v>0</v>
      </c>
      <c r="BD99" s="324">
        <f t="shared" si="46"/>
        <v>0</v>
      </c>
      <c r="BE99" s="324">
        <f t="shared" si="47"/>
        <v>0</v>
      </c>
      <c r="BF99" s="324">
        <f t="shared" si="48"/>
        <v>0</v>
      </c>
      <c r="BG99" s="324">
        <f t="shared" si="49"/>
        <v>0</v>
      </c>
      <c r="BH99" s="324">
        <f t="shared" si="50"/>
        <v>0</v>
      </c>
      <c r="BI99" s="324">
        <f t="shared" si="51"/>
        <v>0</v>
      </c>
      <c r="BJ99" s="324">
        <f t="shared" si="52"/>
        <v>0</v>
      </c>
      <c r="BK99" s="324">
        <f t="shared" si="53"/>
        <v>0</v>
      </c>
      <c r="BL99" s="324">
        <f t="shared" si="54"/>
        <v>0</v>
      </c>
      <c r="BM99" s="324">
        <f t="shared" si="55"/>
        <v>0</v>
      </c>
      <c r="BN99" s="324">
        <f t="shared" si="56"/>
        <v>0</v>
      </c>
      <c r="BO99" s="324">
        <f t="shared" si="57"/>
        <v>0</v>
      </c>
      <c r="BP99" s="324">
        <f t="shared" si="58"/>
        <v>0</v>
      </c>
      <c r="BQ99" s="324">
        <f t="shared" si="59"/>
        <v>0</v>
      </c>
      <c r="BR99" s="324">
        <f t="shared" si="60"/>
        <v>0</v>
      </c>
      <c r="BS99" s="324">
        <f t="shared" si="61"/>
        <v>0</v>
      </c>
      <c r="BT99" s="332">
        <f t="shared" si="62"/>
        <v>0</v>
      </c>
    </row>
    <row r="100" spans="1:72" ht="14.25">
      <c r="A100" s="297"/>
      <c r="B100" s="323"/>
      <c r="C100" s="323"/>
      <c r="D100" s="2215"/>
      <c r="E100" s="324">
        <f t="shared" si="34"/>
        <v>0</v>
      </c>
      <c r="F100" s="325"/>
      <c r="G100" s="326">
        <f t="shared" si="35"/>
        <v>0</v>
      </c>
      <c r="H100" s="327">
        <f t="shared" si="36"/>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37"/>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38"/>
        <v>0</v>
      </c>
      <c r="AW100" s="2210">
        <f t="shared" si="39"/>
        <v>0</v>
      </c>
      <c r="AX100" s="2210">
        <f t="shared" si="40"/>
        <v>0</v>
      </c>
      <c r="AY100" s="331">
        <f t="shared" si="41"/>
        <v>0</v>
      </c>
      <c r="AZ100" s="324">
        <f t="shared" si="42"/>
        <v>0</v>
      </c>
      <c r="BA100" s="324">
        <f t="shared" si="43"/>
        <v>0</v>
      </c>
      <c r="BB100" s="324">
        <f t="shared" si="44"/>
        <v>0</v>
      </c>
      <c r="BC100" s="324">
        <f t="shared" si="45"/>
        <v>0</v>
      </c>
      <c r="BD100" s="324">
        <f t="shared" si="46"/>
        <v>0</v>
      </c>
      <c r="BE100" s="324">
        <f t="shared" si="47"/>
        <v>0</v>
      </c>
      <c r="BF100" s="324">
        <f t="shared" si="48"/>
        <v>0</v>
      </c>
      <c r="BG100" s="324">
        <f t="shared" si="49"/>
        <v>0</v>
      </c>
      <c r="BH100" s="324">
        <f t="shared" si="50"/>
        <v>0</v>
      </c>
      <c r="BI100" s="324">
        <f t="shared" si="51"/>
        <v>0</v>
      </c>
      <c r="BJ100" s="324">
        <f t="shared" si="52"/>
        <v>0</v>
      </c>
      <c r="BK100" s="324">
        <f t="shared" si="53"/>
        <v>0</v>
      </c>
      <c r="BL100" s="324">
        <f t="shared" si="54"/>
        <v>0</v>
      </c>
      <c r="BM100" s="324">
        <f t="shared" si="55"/>
        <v>0</v>
      </c>
      <c r="BN100" s="324">
        <f t="shared" si="56"/>
        <v>0</v>
      </c>
      <c r="BO100" s="324">
        <f t="shared" si="57"/>
        <v>0</v>
      </c>
      <c r="BP100" s="324">
        <f t="shared" si="58"/>
        <v>0</v>
      </c>
      <c r="BQ100" s="324">
        <f t="shared" si="59"/>
        <v>0</v>
      </c>
      <c r="BR100" s="324">
        <f t="shared" si="60"/>
        <v>0</v>
      </c>
      <c r="BS100" s="324">
        <f t="shared" si="61"/>
        <v>0</v>
      </c>
      <c r="BT100" s="332">
        <f t="shared" si="62"/>
        <v>0</v>
      </c>
    </row>
    <row r="101" spans="1:72" ht="14.25">
      <c r="A101" s="297"/>
      <c r="B101" s="323"/>
      <c r="C101" s="323"/>
      <c r="D101" s="2215"/>
      <c r="E101" s="324">
        <f t="shared" si="34"/>
        <v>0</v>
      </c>
      <c r="F101" s="325"/>
      <c r="G101" s="326">
        <f t="shared" si="35"/>
        <v>0</v>
      </c>
      <c r="H101" s="327">
        <f t="shared" si="36"/>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37"/>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38"/>
        <v>0</v>
      </c>
      <c r="AW101" s="2210">
        <f t="shared" si="39"/>
        <v>0</v>
      </c>
      <c r="AX101" s="2210">
        <f t="shared" si="40"/>
        <v>0</v>
      </c>
      <c r="AY101" s="331">
        <f t="shared" si="41"/>
        <v>0</v>
      </c>
      <c r="AZ101" s="324">
        <f t="shared" si="42"/>
        <v>0</v>
      </c>
      <c r="BA101" s="324">
        <f t="shared" si="43"/>
        <v>0</v>
      </c>
      <c r="BB101" s="324">
        <f t="shared" si="44"/>
        <v>0</v>
      </c>
      <c r="BC101" s="324">
        <f t="shared" si="45"/>
        <v>0</v>
      </c>
      <c r="BD101" s="324">
        <f t="shared" si="46"/>
        <v>0</v>
      </c>
      <c r="BE101" s="324">
        <f t="shared" si="47"/>
        <v>0</v>
      </c>
      <c r="BF101" s="324">
        <f t="shared" si="48"/>
        <v>0</v>
      </c>
      <c r="BG101" s="324">
        <f t="shared" si="49"/>
        <v>0</v>
      </c>
      <c r="BH101" s="324">
        <f t="shared" si="50"/>
        <v>0</v>
      </c>
      <c r="BI101" s="324">
        <f t="shared" si="51"/>
        <v>0</v>
      </c>
      <c r="BJ101" s="324">
        <f t="shared" si="52"/>
        <v>0</v>
      </c>
      <c r="BK101" s="324">
        <f t="shared" si="53"/>
        <v>0</v>
      </c>
      <c r="BL101" s="324">
        <f t="shared" si="54"/>
        <v>0</v>
      </c>
      <c r="BM101" s="324">
        <f t="shared" si="55"/>
        <v>0</v>
      </c>
      <c r="BN101" s="324">
        <f t="shared" si="56"/>
        <v>0</v>
      </c>
      <c r="BO101" s="324">
        <f t="shared" si="57"/>
        <v>0</v>
      </c>
      <c r="BP101" s="324">
        <f t="shared" si="58"/>
        <v>0</v>
      </c>
      <c r="BQ101" s="324">
        <f t="shared" si="59"/>
        <v>0</v>
      </c>
      <c r="BR101" s="324">
        <f t="shared" si="60"/>
        <v>0</v>
      </c>
      <c r="BS101" s="324">
        <f t="shared" si="61"/>
        <v>0</v>
      </c>
      <c r="BT101" s="332">
        <f t="shared" si="62"/>
        <v>0</v>
      </c>
    </row>
    <row r="102" spans="1:72" ht="14.25">
      <c r="A102" s="297"/>
      <c r="B102" s="323"/>
      <c r="C102" s="323"/>
      <c r="D102" s="2215"/>
      <c r="E102" s="324">
        <f t="shared" si="34"/>
        <v>0</v>
      </c>
      <c r="F102" s="325"/>
      <c r="G102" s="326">
        <f t="shared" si="35"/>
        <v>0</v>
      </c>
      <c r="H102" s="327">
        <f t="shared" si="36"/>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37"/>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38"/>
        <v>0</v>
      </c>
      <c r="AW102" s="2210">
        <f t="shared" si="39"/>
        <v>0</v>
      </c>
      <c r="AX102" s="2210">
        <f t="shared" si="40"/>
        <v>0</v>
      </c>
      <c r="AY102" s="331">
        <f t="shared" si="41"/>
        <v>0</v>
      </c>
      <c r="AZ102" s="324">
        <f t="shared" si="42"/>
        <v>0</v>
      </c>
      <c r="BA102" s="324">
        <f t="shared" si="43"/>
        <v>0</v>
      </c>
      <c r="BB102" s="324">
        <f t="shared" si="44"/>
        <v>0</v>
      </c>
      <c r="BC102" s="324">
        <f t="shared" si="45"/>
        <v>0</v>
      </c>
      <c r="BD102" s="324">
        <f t="shared" si="46"/>
        <v>0</v>
      </c>
      <c r="BE102" s="324">
        <f t="shared" si="47"/>
        <v>0</v>
      </c>
      <c r="BF102" s="324">
        <f t="shared" si="48"/>
        <v>0</v>
      </c>
      <c r="BG102" s="324">
        <f t="shared" si="49"/>
        <v>0</v>
      </c>
      <c r="BH102" s="324">
        <f t="shared" si="50"/>
        <v>0</v>
      </c>
      <c r="BI102" s="324">
        <f t="shared" si="51"/>
        <v>0</v>
      </c>
      <c r="BJ102" s="324">
        <f t="shared" si="52"/>
        <v>0</v>
      </c>
      <c r="BK102" s="324">
        <f t="shared" si="53"/>
        <v>0</v>
      </c>
      <c r="BL102" s="324">
        <f t="shared" si="54"/>
        <v>0</v>
      </c>
      <c r="BM102" s="324">
        <f t="shared" si="55"/>
        <v>0</v>
      </c>
      <c r="BN102" s="324">
        <f t="shared" si="56"/>
        <v>0</v>
      </c>
      <c r="BO102" s="324">
        <f t="shared" si="57"/>
        <v>0</v>
      </c>
      <c r="BP102" s="324">
        <f t="shared" si="58"/>
        <v>0</v>
      </c>
      <c r="BQ102" s="324">
        <f t="shared" si="59"/>
        <v>0</v>
      </c>
      <c r="BR102" s="324">
        <f t="shared" si="60"/>
        <v>0</v>
      </c>
      <c r="BS102" s="324">
        <f t="shared" si="61"/>
        <v>0</v>
      </c>
      <c r="BT102" s="332">
        <f t="shared" si="62"/>
        <v>0</v>
      </c>
    </row>
    <row r="103" spans="1:72" ht="14.25">
      <c r="A103" s="297"/>
      <c r="B103" s="323"/>
      <c r="C103" s="323"/>
      <c r="D103" s="2215"/>
      <c r="E103" s="324">
        <f t="shared" si="34"/>
        <v>0</v>
      </c>
      <c r="F103" s="325"/>
      <c r="G103" s="326">
        <f t="shared" si="35"/>
        <v>0</v>
      </c>
      <c r="H103" s="327">
        <f t="shared" si="36"/>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37"/>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38"/>
        <v>0</v>
      </c>
      <c r="AW103" s="2210">
        <f t="shared" si="39"/>
        <v>0</v>
      </c>
      <c r="AX103" s="2210">
        <f t="shared" si="40"/>
        <v>0</v>
      </c>
      <c r="AY103" s="331">
        <f t="shared" si="41"/>
        <v>0</v>
      </c>
      <c r="AZ103" s="324">
        <f t="shared" si="42"/>
        <v>0</v>
      </c>
      <c r="BA103" s="324">
        <f t="shared" si="43"/>
        <v>0</v>
      </c>
      <c r="BB103" s="324">
        <f t="shared" si="44"/>
        <v>0</v>
      </c>
      <c r="BC103" s="324">
        <f t="shared" si="45"/>
        <v>0</v>
      </c>
      <c r="BD103" s="324">
        <f t="shared" si="46"/>
        <v>0</v>
      </c>
      <c r="BE103" s="324">
        <f t="shared" si="47"/>
        <v>0</v>
      </c>
      <c r="BF103" s="324">
        <f t="shared" si="48"/>
        <v>0</v>
      </c>
      <c r="BG103" s="324">
        <f t="shared" si="49"/>
        <v>0</v>
      </c>
      <c r="BH103" s="324">
        <f t="shared" si="50"/>
        <v>0</v>
      </c>
      <c r="BI103" s="324">
        <f t="shared" si="51"/>
        <v>0</v>
      </c>
      <c r="BJ103" s="324">
        <f t="shared" si="52"/>
        <v>0</v>
      </c>
      <c r="BK103" s="324">
        <f t="shared" si="53"/>
        <v>0</v>
      </c>
      <c r="BL103" s="324">
        <f t="shared" si="54"/>
        <v>0</v>
      </c>
      <c r="BM103" s="324">
        <f t="shared" si="55"/>
        <v>0</v>
      </c>
      <c r="BN103" s="324">
        <f t="shared" si="56"/>
        <v>0</v>
      </c>
      <c r="BO103" s="324">
        <f t="shared" si="57"/>
        <v>0</v>
      </c>
      <c r="BP103" s="324">
        <f t="shared" si="58"/>
        <v>0</v>
      </c>
      <c r="BQ103" s="324">
        <f t="shared" si="59"/>
        <v>0</v>
      </c>
      <c r="BR103" s="324">
        <f t="shared" si="60"/>
        <v>0</v>
      </c>
      <c r="BS103" s="324">
        <f t="shared" si="61"/>
        <v>0</v>
      </c>
      <c r="BT103" s="332">
        <f t="shared" si="62"/>
        <v>0</v>
      </c>
    </row>
    <row r="104" spans="1:72" ht="14.25">
      <c r="A104" s="297"/>
      <c r="B104" s="323"/>
      <c r="C104" s="323"/>
      <c r="D104" s="2215"/>
      <c r="E104" s="324">
        <f t="shared" si="34"/>
        <v>0</v>
      </c>
      <c r="F104" s="325"/>
      <c r="G104" s="326">
        <f t="shared" si="35"/>
        <v>0</v>
      </c>
      <c r="H104" s="327">
        <f t="shared" si="36"/>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37"/>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38"/>
        <v>0</v>
      </c>
      <c r="AW104" s="2210">
        <f t="shared" si="39"/>
        <v>0</v>
      </c>
      <c r="AX104" s="2210">
        <f t="shared" si="40"/>
        <v>0</v>
      </c>
      <c r="AY104" s="331">
        <f t="shared" si="41"/>
        <v>0</v>
      </c>
      <c r="AZ104" s="324">
        <f t="shared" si="42"/>
        <v>0</v>
      </c>
      <c r="BA104" s="324">
        <f t="shared" si="43"/>
        <v>0</v>
      </c>
      <c r="BB104" s="324">
        <f t="shared" si="44"/>
        <v>0</v>
      </c>
      <c r="BC104" s="324">
        <f t="shared" si="45"/>
        <v>0</v>
      </c>
      <c r="BD104" s="324">
        <f t="shared" si="46"/>
        <v>0</v>
      </c>
      <c r="BE104" s="324">
        <f t="shared" si="47"/>
        <v>0</v>
      </c>
      <c r="BF104" s="324">
        <f t="shared" si="48"/>
        <v>0</v>
      </c>
      <c r="BG104" s="324">
        <f t="shared" si="49"/>
        <v>0</v>
      </c>
      <c r="BH104" s="324">
        <f t="shared" si="50"/>
        <v>0</v>
      </c>
      <c r="BI104" s="324">
        <f t="shared" si="51"/>
        <v>0</v>
      </c>
      <c r="BJ104" s="324">
        <f t="shared" si="52"/>
        <v>0</v>
      </c>
      <c r="BK104" s="324">
        <f t="shared" si="53"/>
        <v>0</v>
      </c>
      <c r="BL104" s="324">
        <f t="shared" si="54"/>
        <v>0</v>
      </c>
      <c r="BM104" s="324">
        <f t="shared" si="55"/>
        <v>0</v>
      </c>
      <c r="BN104" s="324">
        <f t="shared" si="56"/>
        <v>0</v>
      </c>
      <c r="BO104" s="324">
        <f t="shared" si="57"/>
        <v>0</v>
      </c>
      <c r="BP104" s="324">
        <f t="shared" si="58"/>
        <v>0</v>
      </c>
      <c r="BQ104" s="324">
        <f t="shared" si="59"/>
        <v>0</v>
      </c>
      <c r="BR104" s="324">
        <f t="shared" si="60"/>
        <v>0</v>
      </c>
      <c r="BS104" s="324">
        <f t="shared" si="61"/>
        <v>0</v>
      </c>
      <c r="BT104" s="332">
        <f t="shared" si="62"/>
        <v>0</v>
      </c>
    </row>
    <row r="105" spans="1:72" ht="14.25">
      <c r="A105" s="297"/>
      <c r="B105" s="323"/>
      <c r="C105" s="323"/>
      <c r="D105" s="2215"/>
      <c r="E105" s="324">
        <f t="shared" si="34"/>
        <v>0</v>
      </c>
      <c r="F105" s="325"/>
      <c r="G105" s="326">
        <f t="shared" si="35"/>
        <v>0</v>
      </c>
      <c r="H105" s="327">
        <f t="shared" si="36"/>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37"/>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38"/>
        <v>0</v>
      </c>
      <c r="AW105" s="2210">
        <f t="shared" si="39"/>
        <v>0</v>
      </c>
      <c r="AX105" s="2210">
        <f t="shared" si="40"/>
        <v>0</v>
      </c>
      <c r="AY105" s="331">
        <f t="shared" si="41"/>
        <v>0</v>
      </c>
      <c r="AZ105" s="324">
        <f t="shared" si="42"/>
        <v>0</v>
      </c>
      <c r="BA105" s="324">
        <f t="shared" si="43"/>
        <v>0</v>
      </c>
      <c r="BB105" s="324">
        <f t="shared" si="44"/>
        <v>0</v>
      </c>
      <c r="BC105" s="324">
        <f t="shared" si="45"/>
        <v>0</v>
      </c>
      <c r="BD105" s="324">
        <f t="shared" si="46"/>
        <v>0</v>
      </c>
      <c r="BE105" s="324">
        <f t="shared" si="47"/>
        <v>0</v>
      </c>
      <c r="BF105" s="324">
        <f t="shared" si="48"/>
        <v>0</v>
      </c>
      <c r="BG105" s="324">
        <f t="shared" si="49"/>
        <v>0</v>
      </c>
      <c r="BH105" s="324">
        <f t="shared" si="50"/>
        <v>0</v>
      </c>
      <c r="BI105" s="324">
        <f t="shared" si="51"/>
        <v>0</v>
      </c>
      <c r="BJ105" s="324">
        <f t="shared" si="52"/>
        <v>0</v>
      </c>
      <c r="BK105" s="324">
        <f t="shared" si="53"/>
        <v>0</v>
      </c>
      <c r="BL105" s="324">
        <f t="shared" si="54"/>
        <v>0</v>
      </c>
      <c r="BM105" s="324">
        <f t="shared" si="55"/>
        <v>0</v>
      </c>
      <c r="BN105" s="324">
        <f t="shared" si="56"/>
        <v>0</v>
      </c>
      <c r="BO105" s="324">
        <f t="shared" si="57"/>
        <v>0</v>
      </c>
      <c r="BP105" s="324">
        <f t="shared" si="58"/>
        <v>0</v>
      </c>
      <c r="BQ105" s="324">
        <f t="shared" si="59"/>
        <v>0</v>
      </c>
      <c r="BR105" s="324">
        <f t="shared" si="60"/>
        <v>0</v>
      </c>
      <c r="BS105" s="324">
        <f t="shared" si="61"/>
        <v>0</v>
      </c>
      <c r="BT105" s="332">
        <f t="shared" si="62"/>
        <v>0</v>
      </c>
    </row>
    <row r="106" spans="1:72" ht="14.25">
      <c r="A106" s="297"/>
      <c r="B106" s="323"/>
      <c r="C106" s="323"/>
      <c r="D106" s="2215"/>
      <c r="E106" s="324">
        <f t="shared" si="34"/>
        <v>0</v>
      </c>
      <c r="F106" s="325"/>
      <c r="G106" s="326">
        <f t="shared" si="35"/>
        <v>0</v>
      </c>
      <c r="H106" s="327">
        <f t="shared" si="36"/>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37"/>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38"/>
        <v>0</v>
      </c>
      <c r="AW106" s="2210">
        <f t="shared" si="39"/>
        <v>0</v>
      </c>
      <c r="AX106" s="2210">
        <f t="shared" si="40"/>
        <v>0</v>
      </c>
      <c r="AY106" s="331">
        <f t="shared" si="41"/>
        <v>0</v>
      </c>
      <c r="AZ106" s="324">
        <f t="shared" si="42"/>
        <v>0</v>
      </c>
      <c r="BA106" s="324">
        <f t="shared" si="43"/>
        <v>0</v>
      </c>
      <c r="BB106" s="324">
        <f t="shared" si="44"/>
        <v>0</v>
      </c>
      <c r="BC106" s="324">
        <f t="shared" si="45"/>
        <v>0</v>
      </c>
      <c r="BD106" s="324">
        <f t="shared" si="46"/>
        <v>0</v>
      </c>
      <c r="BE106" s="324">
        <f t="shared" si="47"/>
        <v>0</v>
      </c>
      <c r="BF106" s="324">
        <f t="shared" si="48"/>
        <v>0</v>
      </c>
      <c r="BG106" s="324">
        <f t="shared" si="49"/>
        <v>0</v>
      </c>
      <c r="BH106" s="324">
        <f t="shared" si="50"/>
        <v>0</v>
      </c>
      <c r="BI106" s="324">
        <f t="shared" si="51"/>
        <v>0</v>
      </c>
      <c r="BJ106" s="324">
        <f t="shared" si="52"/>
        <v>0</v>
      </c>
      <c r="BK106" s="324">
        <f t="shared" si="53"/>
        <v>0</v>
      </c>
      <c r="BL106" s="324">
        <f t="shared" si="54"/>
        <v>0</v>
      </c>
      <c r="BM106" s="324">
        <f t="shared" si="55"/>
        <v>0</v>
      </c>
      <c r="BN106" s="324">
        <f t="shared" si="56"/>
        <v>0</v>
      </c>
      <c r="BO106" s="324">
        <f t="shared" si="57"/>
        <v>0</v>
      </c>
      <c r="BP106" s="324">
        <f t="shared" si="58"/>
        <v>0</v>
      </c>
      <c r="BQ106" s="324">
        <f t="shared" si="59"/>
        <v>0</v>
      </c>
      <c r="BR106" s="324">
        <f t="shared" si="60"/>
        <v>0</v>
      </c>
      <c r="BS106" s="324">
        <f t="shared" si="61"/>
        <v>0</v>
      </c>
      <c r="BT106" s="332">
        <f t="shared" si="62"/>
        <v>0</v>
      </c>
    </row>
    <row r="107" spans="1:72" ht="14.25">
      <c r="A107" s="297"/>
      <c r="B107" s="323"/>
      <c r="C107" s="323"/>
      <c r="D107" s="2215"/>
      <c r="E107" s="324">
        <f t="shared" si="34"/>
        <v>0</v>
      </c>
      <c r="F107" s="325"/>
      <c r="G107" s="326">
        <f t="shared" si="35"/>
        <v>0</v>
      </c>
      <c r="H107" s="327">
        <f t="shared" si="36"/>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37"/>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38"/>
        <v>0</v>
      </c>
      <c r="AW107" s="2210">
        <f t="shared" si="39"/>
        <v>0</v>
      </c>
      <c r="AX107" s="2210">
        <f t="shared" si="40"/>
        <v>0</v>
      </c>
      <c r="AY107" s="331">
        <f t="shared" si="41"/>
        <v>0</v>
      </c>
      <c r="AZ107" s="324">
        <f t="shared" si="42"/>
        <v>0</v>
      </c>
      <c r="BA107" s="324">
        <f t="shared" si="43"/>
        <v>0</v>
      </c>
      <c r="BB107" s="324">
        <f t="shared" si="44"/>
        <v>0</v>
      </c>
      <c r="BC107" s="324">
        <f t="shared" si="45"/>
        <v>0</v>
      </c>
      <c r="BD107" s="324">
        <f t="shared" si="46"/>
        <v>0</v>
      </c>
      <c r="BE107" s="324">
        <f t="shared" si="47"/>
        <v>0</v>
      </c>
      <c r="BF107" s="324">
        <f t="shared" si="48"/>
        <v>0</v>
      </c>
      <c r="BG107" s="324">
        <f t="shared" si="49"/>
        <v>0</v>
      </c>
      <c r="BH107" s="324">
        <f t="shared" si="50"/>
        <v>0</v>
      </c>
      <c r="BI107" s="324">
        <f t="shared" si="51"/>
        <v>0</v>
      </c>
      <c r="BJ107" s="324">
        <f t="shared" si="52"/>
        <v>0</v>
      </c>
      <c r="BK107" s="324">
        <f t="shared" si="53"/>
        <v>0</v>
      </c>
      <c r="BL107" s="324">
        <f t="shared" si="54"/>
        <v>0</v>
      </c>
      <c r="BM107" s="324">
        <f t="shared" si="55"/>
        <v>0</v>
      </c>
      <c r="BN107" s="324">
        <f t="shared" si="56"/>
        <v>0</v>
      </c>
      <c r="BO107" s="324">
        <f t="shared" si="57"/>
        <v>0</v>
      </c>
      <c r="BP107" s="324">
        <f t="shared" si="58"/>
        <v>0</v>
      </c>
      <c r="BQ107" s="324">
        <f t="shared" si="59"/>
        <v>0</v>
      </c>
      <c r="BR107" s="324">
        <f t="shared" si="60"/>
        <v>0</v>
      </c>
      <c r="BS107" s="324">
        <f t="shared" si="61"/>
        <v>0</v>
      </c>
      <c r="BT107" s="332">
        <f t="shared" si="62"/>
        <v>0</v>
      </c>
    </row>
    <row r="108" spans="1:72" ht="14.25">
      <c r="A108" s="297"/>
      <c r="B108" s="323"/>
      <c r="C108" s="323"/>
      <c r="D108" s="2215"/>
      <c r="E108" s="324">
        <f t="shared" si="34"/>
        <v>0</v>
      </c>
      <c r="F108" s="325"/>
      <c r="G108" s="326">
        <f t="shared" si="35"/>
        <v>0</v>
      </c>
      <c r="H108" s="327">
        <f t="shared" si="36"/>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37"/>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38"/>
        <v>0</v>
      </c>
      <c r="AW108" s="2210">
        <f t="shared" si="39"/>
        <v>0</v>
      </c>
      <c r="AX108" s="2210">
        <f t="shared" si="40"/>
        <v>0</v>
      </c>
      <c r="AY108" s="331">
        <f t="shared" si="41"/>
        <v>0</v>
      </c>
      <c r="AZ108" s="324">
        <f t="shared" si="42"/>
        <v>0</v>
      </c>
      <c r="BA108" s="324">
        <f t="shared" si="43"/>
        <v>0</v>
      </c>
      <c r="BB108" s="324">
        <f t="shared" si="44"/>
        <v>0</v>
      </c>
      <c r="BC108" s="324">
        <f t="shared" si="45"/>
        <v>0</v>
      </c>
      <c r="BD108" s="324">
        <f t="shared" si="46"/>
        <v>0</v>
      </c>
      <c r="BE108" s="324">
        <f t="shared" si="47"/>
        <v>0</v>
      </c>
      <c r="BF108" s="324">
        <f t="shared" si="48"/>
        <v>0</v>
      </c>
      <c r="BG108" s="324">
        <f t="shared" si="49"/>
        <v>0</v>
      </c>
      <c r="BH108" s="324">
        <f t="shared" si="50"/>
        <v>0</v>
      </c>
      <c r="BI108" s="324">
        <f t="shared" si="51"/>
        <v>0</v>
      </c>
      <c r="BJ108" s="324">
        <f t="shared" si="52"/>
        <v>0</v>
      </c>
      <c r="BK108" s="324">
        <f t="shared" si="53"/>
        <v>0</v>
      </c>
      <c r="BL108" s="324">
        <f t="shared" si="54"/>
        <v>0</v>
      </c>
      <c r="BM108" s="324">
        <f t="shared" si="55"/>
        <v>0</v>
      </c>
      <c r="BN108" s="324">
        <f t="shared" si="56"/>
        <v>0</v>
      </c>
      <c r="BO108" s="324">
        <f t="shared" si="57"/>
        <v>0</v>
      </c>
      <c r="BP108" s="324">
        <f t="shared" si="58"/>
        <v>0</v>
      </c>
      <c r="BQ108" s="324">
        <f t="shared" si="59"/>
        <v>0</v>
      </c>
      <c r="BR108" s="324">
        <f t="shared" si="60"/>
        <v>0</v>
      </c>
      <c r="BS108" s="324">
        <f t="shared" si="61"/>
        <v>0</v>
      </c>
      <c r="BT108" s="332">
        <f t="shared" si="62"/>
        <v>0</v>
      </c>
    </row>
    <row r="109" spans="1:72" ht="14.25">
      <c r="A109" s="297"/>
      <c r="B109" s="323"/>
      <c r="C109" s="323"/>
      <c r="D109" s="2215"/>
      <c r="E109" s="324">
        <f t="shared" si="34"/>
        <v>0</v>
      </c>
      <c r="F109" s="325"/>
      <c r="G109" s="326">
        <f t="shared" si="35"/>
        <v>0</v>
      </c>
      <c r="H109" s="327">
        <f t="shared" si="36"/>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37"/>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38"/>
        <v>0</v>
      </c>
      <c r="AW109" s="2210">
        <f t="shared" si="39"/>
        <v>0</v>
      </c>
      <c r="AX109" s="2210">
        <f t="shared" si="40"/>
        <v>0</v>
      </c>
      <c r="AY109" s="331">
        <f t="shared" si="41"/>
        <v>0</v>
      </c>
      <c r="AZ109" s="324">
        <f t="shared" si="42"/>
        <v>0</v>
      </c>
      <c r="BA109" s="324">
        <f t="shared" si="43"/>
        <v>0</v>
      </c>
      <c r="BB109" s="324">
        <f t="shared" si="44"/>
        <v>0</v>
      </c>
      <c r="BC109" s="324">
        <f t="shared" si="45"/>
        <v>0</v>
      </c>
      <c r="BD109" s="324">
        <f t="shared" si="46"/>
        <v>0</v>
      </c>
      <c r="BE109" s="324">
        <f t="shared" si="47"/>
        <v>0</v>
      </c>
      <c r="BF109" s="324">
        <f t="shared" si="48"/>
        <v>0</v>
      </c>
      <c r="BG109" s="324">
        <f t="shared" si="49"/>
        <v>0</v>
      </c>
      <c r="BH109" s="324">
        <f t="shared" si="50"/>
        <v>0</v>
      </c>
      <c r="BI109" s="324">
        <f t="shared" si="51"/>
        <v>0</v>
      </c>
      <c r="BJ109" s="324">
        <f t="shared" si="52"/>
        <v>0</v>
      </c>
      <c r="BK109" s="324">
        <f t="shared" si="53"/>
        <v>0</v>
      </c>
      <c r="BL109" s="324">
        <f t="shared" si="54"/>
        <v>0</v>
      </c>
      <c r="BM109" s="324">
        <f t="shared" si="55"/>
        <v>0</v>
      </c>
      <c r="BN109" s="324">
        <f t="shared" si="56"/>
        <v>0</v>
      </c>
      <c r="BO109" s="324">
        <f t="shared" si="57"/>
        <v>0</v>
      </c>
      <c r="BP109" s="324">
        <f t="shared" si="58"/>
        <v>0</v>
      </c>
      <c r="BQ109" s="324">
        <f t="shared" si="59"/>
        <v>0</v>
      </c>
      <c r="BR109" s="324">
        <f t="shared" si="60"/>
        <v>0</v>
      </c>
      <c r="BS109" s="324">
        <f t="shared" si="61"/>
        <v>0</v>
      </c>
      <c r="BT109" s="332">
        <f t="shared" si="62"/>
        <v>0</v>
      </c>
    </row>
    <row r="110" spans="1:72" ht="14.25">
      <c r="A110" s="297"/>
      <c r="B110" s="297"/>
      <c r="C110" s="297"/>
      <c r="D110" s="2215"/>
      <c r="E110" s="324">
        <f t="shared" si="34"/>
        <v>0</v>
      </c>
      <c r="F110" s="333"/>
      <c r="G110" s="326">
        <f t="shared" si="35"/>
        <v>0</v>
      </c>
      <c r="H110" s="327">
        <f t="shared" si="36"/>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si="37"/>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38"/>
        <v>0</v>
      </c>
      <c r="AW110" s="2210">
        <f t="shared" si="39"/>
        <v>0</v>
      </c>
      <c r="AX110" s="2210">
        <f t="shared" si="40"/>
        <v>0</v>
      </c>
      <c r="AY110" s="331">
        <f t="shared" si="41"/>
        <v>0</v>
      </c>
      <c r="AZ110" s="324">
        <f t="shared" si="42"/>
        <v>0</v>
      </c>
      <c r="BA110" s="324">
        <f t="shared" si="43"/>
        <v>0</v>
      </c>
      <c r="BB110" s="324">
        <f t="shared" si="44"/>
        <v>0</v>
      </c>
      <c r="BC110" s="324">
        <f t="shared" si="45"/>
        <v>0</v>
      </c>
      <c r="BD110" s="324">
        <f t="shared" si="46"/>
        <v>0</v>
      </c>
      <c r="BE110" s="324">
        <f t="shared" si="47"/>
        <v>0</v>
      </c>
      <c r="BF110" s="324">
        <f t="shared" si="48"/>
        <v>0</v>
      </c>
      <c r="BG110" s="324">
        <f t="shared" si="49"/>
        <v>0</v>
      </c>
      <c r="BH110" s="324">
        <f t="shared" si="50"/>
        <v>0</v>
      </c>
      <c r="BI110" s="324">
        <f t="shared" si="51"/>
        <v>0</v>
      </c>
      <c r="BJ110" s="324">
        <f t="shared" si="52"/>
        <v>0</v>
      </c>
      <c r="BK110" s="324">
        <f t="shared" si="53"/>
        <v>0</v>
      </c>
      <c r="BL110" s="324">
        <f t="shared" si="54"/>
        <v>0</v>
      </c>
      <c r="BM110" s="324">
        <f t="shared" si="55"/>
        <v>0</v>
      </c>
      <c r="BN110" s="324">
        <f t="shared" si="56"/>
        <v>0</v>
      </c>
      <c r="BO110" s="324">
        <f t="shared" si="57"/>
        <v>0</v>
      </c>
      <c r="BP110" s="324">
        <f t="shared" si="58"/>
        <v>0</v>
      </c>
      <c r="BQ110" s="324">
        <f t="shared" si="59"/>
        <v>0</v>
      </c>
      <c r="BR110" s="324">
        <f t="shared" si="60"/>
        <v>0</v>
      </c>
      <c r="BS110" s="324">
        <f t="shared" si="61"/>
        <v>0</v>
      </c>
      <c r="BT110" s="332">
        <f t="shared" si="62"/>
        <v>0</v>
      </c>
    </row>
    <row r="111" spans="1:72" ht="14.25">
      <c r="A111" s="297"/>
      <c r="B111" s="297"/>
      <c r="C111" s="297"/>
      <c r="D111" s="2215"/>
      <c r="E111" s="324">
        <f t="shared" si="34"/>
        <v>0</v>
      </c>
      <c r="F111" s="333"/>
      <c r="G111" s="326">
        <f t="shared" si="35"/>
        <v>0</v>
      </c>
      <c r="H111" s="327">
        <f t="shared" si="36"/>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7"/>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38"/>
        <v>0</v>
      </c>
      <c r="AW111" s="2210">
        <f t="shared" si="39"/>
        <v>0</v>
      </c>
      <c r="AX111" s="2210">
        <f t="shared" si="40"/>
        <v>0</v>
      </c>
      <c r="AY111" s="331">
        <f t="shared" si="41"/>
        <v>0</v>
      </c>
      <c r="AZ111" s="324">
        <f t="shared" si="42"/>
        <v>0</v>
      </c>
      <c r="BA111" s="324">
        <f t="shared" si="43"/>
        <v>0</v>
      </c>
      <c r="BB111" s="324">
        <f t="shared" si="44"/>
        <v>0</v>
      </c>
      <c r="BC111" s="324">
        <f t="shared" si="45"/>
        <v>0</v>
      </c>
      <c r="BD111" s="324">
        <f t="shared" si="46"/>
        <v>0</v>
      </c>
      <c r="BE111" s="324">
        <f t="shared" si="47"/>
        <v>0</v>
      </c>
      <c r="BF111" s="324">
        <f t="shared" si="48"/>
        <v>0</v>
      </c>
      <c r="BG111" s="324">
        <f t="shared" si="49"/>
        <v>0</v>
      </c>
      <c r="BH111" s="324">
        <f t="shared" si="50"/>
        <v>0</v>
      </c>
      <c r="BI111" s="324">
        <f t="shared" si="51"/>
        <v>0</v>
      </c>
      <c r="BJ111" s="324">
        <f t="shared" si="52"/>
        <v>0</v>
      </c>
      <c r="BK111" s="324">
        <f t="shared" si="53"/>
        <v>0</v>
      </c>
      <c r="BL111" s="324">
        <f t="shared" si="54"/>
        <v>0</v>
      </c>
      <c r="BM111" s="324">
        <f t="shared" si="55"/>
        <v>0</v>
      </c>
      <c r="BN111" s="324">
        <f t="shared" si="56"/>
        <v>0</v>
      </c>
      <c r="BO111" s="324">
        <f t="shared" si="57"/>
        <v>0</v>
      </c>
      <c r="BP111" s="324">
        <f t="shared" si="58"/>
        <v>0</v>
      </c>
      <c r="BQ111" s="324">
        <f t="shared" si="59"/>
        <v>0</v>
      </c>
      <c r="BR111" s="324">
        <f t="shared" si="60"/>
        <v>0</v>
      </c>
      <c r="BS111" s="324">
        <f t="shared" si="61"/>
        <v>0</v>
      </c>
      <c r="BT111" s="332">
        <f t="shared" si="62"/>
        <v>0</v>
      </c>
    </row>
    <row r="112" spans="1:72" ht="14.25">
      <c r="A112" s="297"/>
      <c r="B112" s="297"/>
      <c r="C112" s="297"/>
      <c r="D112" s="2215"/>
      <c r="E112" s="324">
        <f t="shared" si="34"/>
        <v>0</v>
      </c>
      <c r="F112" s="333"/>
      <c r="G112" s="326">
        <f t="shared" si="35"/>
        <v>0</v>
      </c>
      <c r="H112" s="327">
        <f t="shared" si="36"/>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7"/>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38"/>
        <v>0</v>
      </c>
      <c r="AW112" s="2210">
        <f t="shared" si="39"/>
        <v>0</v>
      </c>
      <c r="AX112" s="2210">
        <f t="shared" si="40"/>
        <v>0</v>
      </c>
      <c r="AY112" s="331">
        <f t="shared" si="41"/>
        <v>0</v>
      </c>
      <c r="AZ112" s="324">
        <f t="shared" si="42"/>
        <v>0</v>
      </c>
      <c r="BA112" s="324">
        <f t="shared" si="43"/>
        <v>0</v>
      </c>
      <c r="BB112" s="324">
        <f t="shared" si="44"/>
        <v>0</v>
      </c>
      <c r="BC112" s="324">
        <f t="shared" si="45"/>
        <v>0</v>
      </c>
      <c r="BD112" s="324">
        <f t="shared" si="46"/>
        <v>0</v>
      </c>
      <c r="BE112" s="324">
        <f t="shared" si="47"/>
        <v>0</v>
      </c>
      <c r="BF112" s="324">
        <f t="shared" si="48"/>
        <v>0</v>
      </c>
      <c r="BG112" s="324">
        <f t="shared" si="49"/>
        <v>0</v>
      </c>
      <c r="BH112" s="324">
        <f t="shared" si="50"/>
        <v>0</v>
      </c>
      <c r="BI112" s="324">
        <f t="shared" si="51"/>
        <v>0</v>
      </c>
      <c r="BJ112" s="324">
        <f t="shared" si="52"/>
        <v>0</v>
      </c>
      <c r="BK112" s="324">
        <f t="shared" si="53"/>
        <v>0</v>
      </c>
      <c r="BL112" s="324">
        <f t="shared" si="54"/>
        <v>0</v>
      </c>
      <c r="BM112" s="324">
        <f t="shared" si="55"/>
        <v>0</v>
      </c>
      <c r="BN112" s="324">
        <f t="shared" si="56"/>
        <v>0</v>
      </c>
      <c r="BO112" s="324">
        <f t="shared" si="57"/>
        <v>0</v>
      </c>
      <c r="BP112" s="324">
        <f t="shared" si="58"/>
        <v>0</v>
      </c>
      <c r="BQ112" s="324">
        <f t="shared" si="59"/>
        <v>0</v>
      </c>
      <c r="BR112" s="324">
        <f t="shared" si="60"/>
        <v>0</v>
      </c>
      <c r="BS112" s="324">
        <f t="shared" si="61"/>
        <v>0</v>
      </c>
      <c r="BT112" s="332">
        <f t="shared" si="62"/>
        <v>0</v>
      </c>
    </row>
    <row r="113" spans="1:72" ht="14.25">
      <c r="A113" s="297"/>
      <c r="B113" s="323"/>
      <c r="C113" s="323"/>
      <c r="D113" s="2215"/>
      <c r="E113" s="324">
        <f t="shared" si="34"/>
        <v>0</v>
      </c>
      <c r="F113" s="325"/>
      <c r="G113" s="326">
        <f t="shared" si="35"/>
        <v>0</v>
      </c>
      <c r="H113" s="327">
        <f t="shared" si="36"/>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7"/>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si="38"/>
        <v>0</v>
      </c>
      <c r="AW113" s="2210">
        <f t="shared" si="39"/>
        <v>0</v>
      </c>
      <c r="AX113" s="2210">
        <f t="shared" si="40"/>
        <v>0</v>
      </c>
      <c r="AY113" s="331">
        <f t="shared" si="41"/>
        <v>0</v>
      </c>
      <c r="AZ113" s="324">
        <f t="shared" si="42"/>
        <v>0</v>
      </c>
      <c r="BA113" s="324">
        <f t="shared" si="43"/>
        <v>0</v>
      </c>
      <c r="BB113" s="324">
        <f t="shared" si="44"/>
        <v>0</v>
      </c>
      <c r="BC113" s="324">
        <f t="shared" si="45"/>
        <v>0</v>
      </c>
      <c r="BD113" s="324">
        <f t="shared" si="46"/>
        <v>0</v>
      </c>
      <c r="BE113" s="324">
        <f t="shared" si="47"/>
        <v>0</v>
      </c>
      <c r="BF113" s="324">
        <f t="shared" si="48"/>
        <v>0</v>
      </c>
      <c r="BG113" s="324">
        <f t="shared" si="49"/>
        <v>0</v>
      </c>
      <c r="BH113" s="324">
        <f t="shared" si="50"/>
        <v>0</v>
      </c>
      <c r="BI113" s="324">
        <f t="shared" si="51"/>
        <v>0</v>
      </c>
      <c r="BJ113" s="324">
        <f t="shared" si="52"/>
        <v>0</v>
      </c>
      <c r="BK113" s="324">
        <f t="shared" si="53"/>
        <v>0</v>
      </c>
      <c r="BL113" s="324">
        <f t="shared" si="54"/>
        <v>0</v>
      </c>
      <c r="BM113" s="324">
        <f t="shared" si="55"/>
        <v>0</v>
      </c>
      <c r="BN113" s="324">
        <f t="shared" si="56"/>
        <v>0</v>
      </c>
      <c r="BO113" s="324">
        <f t="shared" si="57"/>
        <v>0</v>
      </c>
      <c r="BP113" s="324">
        <f t="shared" si="58"/>
        <v>0</v>
      </c>
      <c r="BQ113" s="324">
        <f t="shared" si="59"/>
        <v>0</v>
      </c>
      <c r="BR113" s="324">
        <f t="shared" si="60"/>
        <v>0</v>
      </c>
      <c r="BS113" s="324">
        <f t="shared" si="61"/>
        <v>0</v>
      </c>
      <c r="BT113" s="332">
        <f t="shared" si="62"/>
        <v>0</v>
      </c>
    </row>
    <row r="114" spans="1:72" ht="14.25">
      <c r="A114" s="297"/>
      <c r="B114" s="323"/>
      <c r="C114" s="323"/>
      <c r="D114" s="2215"/>
      <c r="E114" s="324">
        <f t="shared" si="34"/>
        <v>0</v>
      </c>
      <c r="F114" s="325"/>
      <c r="G114" s="326">
        <f t="shared" si="35"/>
        <v>0</v>
      </c>
      <c r="H114" s="327">
        <f t="shared" si="36"/>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7"/>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38"/>
        <v>0</v>
      </c>
      <c r="AW114" s="2210">
        <f t="shared" si="39"/>
        <v>0</v>
      </c>
      <c r="AX114" s="2210">
        <f t="shared" si="40"/>
        <v>0</v>
      </c>
      <c r="AY114" s="331">
        <f t="shared" si="41"/>
        <v>0</v>
      </c>
      <c r="AZ114" s="324">
        <f t="shared" si="42"/>
        <v>0</v>
      </c>
      <c r="BA114" s="324">
        <f t="shared" si="43"/>
        <v>0</v>
      </c>
      <c r="BB114" s="324">
        <f t="shared" si="44"/>
        <v>0</v>
      </c>
      <c r="BC114" s="324">
        <f t="shared" si="45"/>
        <v>0</v>
      </c>
      <c r="BD114" s="324">
        <f t="shared" si="46"/>
        <v>0</v>
      </c>
      <c r="BE114" s="324">
        <f t="shared" si="47"/>
        <v>0</v>
      </c>
      <c r="BF114" s="324">
        <f t="shared" si="48"/>
        <v>0</v>
      </c>
      <c r="BG114" s="324">
        <f t="shared" si="49"/>
        <v>0</v>
      </c>
      <c r="BH114" s="324">
        <f t="shared" si="50"/>
        <v>0</v>
      </c>
      <c r="BI114" s="324">
        <f t="shared" si="51"/>
        <v>0</v>
      </c>
      <c r="BJ114" s="324">
        <f t="shared" si="52"/>
        <v>0</v>
      </c>
      <c r="BK114" s="324">
        <f t="shared" si="53"/>
        <v>0</v>
      </c>
      <c r="BL114" s="324">
        <f t="shared" si="54"/>
        <v>0</v>
      </c>
      <c r="BM114" s="324">
        <f t="shared" si="55"/>
        <v>0</v>
      </c>
      <c r="BN114" s="324">
        <f t="shared" si="56"/>
        <v>0</v>
      </c>
      <c r="BO114" s="324">
        <f t="shared" si="57"/>
        <v>0</v>
      </c>
      <c r="BP114" s="324">
        <f t="shared" si="58"/>
        <v>0</v>
      </c>
      <c r="BQ114" s="324">
        <f t="shared" si="59"/>
        <v>0</v>
      </c>
      <c r="BR114" s="324">
        <f t="shared" si="60"/>
        <v>0</v>
      </c>
      <c r="BS114" s="324">
        <f t="shared" si="61"/>
        <v>0</v>
      </c>
      <c r="BT114" s="332">
        <f t="shared" si="62"/>
        <v>0</v>
      </c>
    </row>
    <row r="115" spans="1:72" ht="14.25">
      <c r="A115" s="297"/>
      <c r="B115" s="323"/>
      <c r="C115" s="323"/>
      <c r="D115" s="2215"/>
      <c r="E115" s="324">
        <f t="shared" si="34"/>
        <v>0</v>
      </c>
      <c r="F115" s="325"/>
      <c r="G115" s="326">
        <f t="shared" si="35"/>
        <v>0</v>
      </c>
      <c r="H115" s="327">
        <f t="shared" si="36"/>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7"/>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38"/>
        <v>0</v>
      </c>
      <c r="AW115" s="2210">
        <f t="shared" si="39"/>
        <v>0</v>
      </c>
      <c r="AX115" s="2210">
        <f t="shared" si="40"/>
        <v>0</v>
      </c>
      <c r="AY115" s="331">
        <f t="shared" si="41"/>
        <v>0</v>
      </c>
      <c r="AZ115" s="324">
        <f t="shared" si="42"/>
        <v>0</v>
      </c>
      <c r="BA115" s="324">
        <f t="shared" si="43"/>
        <v>0</v>
      </c>
      <c r="BB115" s="324">
        <f t="shared" si="44"/>
        <v>0</v>
      </c>
      <c r="BC115" s="324">
        <f t="shared" si="45"/>
        <v>0</v>
      </c>
      <c r="BD115" s="324">
        <f t="shared" si="46"/>
        <v>0</v>
      </c>
      <c r="BE115" s="324">
        <f t="shared" si="47"/>
        <v>0</v>
      </c>
      <c r="BF115" s="324">
        <f t="shared" si="48"/>
        <v>0</v>
      </c>
      <c r="BG115" s="324">
        <f t="shared" si="49"/>
        <v>0</v>
      </c>
      <c r="BH115" s="324">
        <f t="shared" si="50"/>
        <v>0</v>
      </c>
      <c r="BI115" s="324">
        <f t="shared" si="51"/>
        <v>0</v>
      </c>
      <c r="BJ115" s="324">
        <f t="shared" si="52"/>
        <v>0</v>
      </c>
      <c r="BK115" s="324">
        <f t="shared" si="53"/>
        <v>0</v>
      </c>
      <c r="BL115" s="324">
        <f t="shared" si="54"/>
        <v>0</v>
      </c>
      <c r="BM115" s="324">
        <f t="shared" si="55"/>
        <v>0</v>
      </c>
      <c r="BN115" s="324">
        <f t="shared" si="56"/>
        <v>0</v>
      </c>
      <c r="BO115" s="324">
        <f t="shared" si="57"/>
        <v>0</v>
      </c>
      <c r="BP115" s="324">
        <f t="shared" si="58"/>
        <v>0</v>
      </c>
      <c r="BQ115" s="324">
        <f t="shared" si="59"/>
        <v>0</v>
      </c>
      <c r="BR115" s="324">
        <f t="shared" si="60"/>
        <v>0</v>
      </c>
      <c r="BS115" s="324">
        <f t="shared" si="61"/>
        <v>0</v>
      </c>
      <c r="BT115" s="332">
        <f t="shared" si="62"/>
        <v>0</v>
      </c>
    </row>
    <row r="116" spans="1:72" ht="14.25">
      <c r="A116" s="297"/>
      <c r="B116" s="323"/>
      <c r="C116" s="323"/>
      <c r="D116" s="2215"/>
      <c r="E116" s="324">
        <f t="shared" si="34"/>
        <v>0</v>
      </c>
      <c r="F116" s="325"/>
      <c r="G116" s="326">
        <f t="shared" si="35"/>
        <v>0</v>
      </c>
      <c r="H116" s="327">
        <f t="shared" si="36"/>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7"/>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38"/>
        <v>0</v>
      </c>
      <c r="AW116" s="2210">
        <f t="shared" si="39"/>
        <v>0</v>
      </c>
      <c r="AX116" s="2210">
        <f t="shared" si="40"/>
        <v>0</v>
      </c>
      <c r="AY116" s="331">
        <f t="shared" si="41"/>
        <v>0</v>
      </c>
      <c r="AZ116" s="324">
        <f t="shared" si="42"/>
        <v>0</v>
      </c>
      <c r="BA116" s="324">
        <f t="shared" si="43"/>
        <v>0</v>
      </c>
      <c r="BB116" s="324">
        <f t="shared" si="44"/>
        <v>0</v>
      </c>
      <c r="BC116" s="324">
        <f t="shared" si="45"/>
        <v>0</v>
      </c>
      <c r="BD116" s="324">
        <f t="shared" si="46"/>
        <v>0</v>
      </c>
      <c r="BE116" s="324">
        <f t="shared" si="47"/>
        <v>0</v>
      </c>
      <c r="BF116" s="324">
        <f t="shared" si="48"/>
        <v>0</v>
      </c>
      <c r="BG116" s="324">
        <f t="shared" si="49"/>
        <v>0</v>
      </c>
      <c r="BH116" s="324">
        <f t="shared" si="50"/>
        <v>0</v>
      </c>
      <c r="BI116" s="324">
        <f t="shared" si="51"/>
        <v>0</v>
      </c>
      <c r="BJ116" s="324">
        <f t="shared" si="52"/>
        <v>0</v>
      </c>
      <c r="BK116" s="324">
        <f t="shared" si="53"/>
        <v>0</v>
      </c>
      <c r="BL116" s="324">
        <f t="shared" si="54"/>
        <v>0</v>
      </c>
      <c r="BM116" s="324">
        <f t="shared" si="55"/>
        <v>0</v>
      </c>
      <c r="BN116" s="324">
        <f t="shared" si="56"/>
        <v>0</v>
      </c>
      <c r="BO116" s="324">
        <f t="shared" si="57"/>
        <v>0</v>
      </c>
      <c r="BP116" s="324">
        <f t="shared" si="58"/>
        <v>0</v>
      </c>
      <c r="BQ116" s="324">
        <f t="shared" si="59"/>
        <v>0</v>
      </c>
      <c r="BR116" s="324">
        <f t="shared" si="60"/>
        <v>0</v>
      </c>
      <c r="BS116" s="324">
        <f t="shared" si="61"/>
        <v>0</v>
      </c>
      <c r="BT116" s="332">
        <f t="shared" si="62"/>
        <v>0</v>
      </c>
    </row>
    <row r="117" spans="1:72" ht="14.25">
      <c r="A117" s="297"/>
      <c r="B117" s="323"/>
      <c r="C117" s="323"/>
      <c r="D117" s="2215"/>
      <c r="E117" s="324">
        <f t="shared" si="34"/>
        <v>0</v>
      </c>
      <c r="F117" s="325"/>
      <c r="G117" s="326">
        <f t="shared" si="35"/>
        <v>0</v>
      </c>
      <c r="H117" s="327">
        <f t="shared" si="36"/>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7"/>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38"/>
        <v>0</v>
      </c>
      <c r="AW117" s="2210">
        <f t="shared" si="39"/>
        <v>0</v>
      </c>
      <c r="AX117" s="2210">
        <f t="shared" si="40"/>
        <v>0</v>
      </c>
      <c r="AY117" s="331">
        <f t="shared" si="41"/>
        <v>0</v>
      </c>
      <c r="AZ117" s="324">
        <f t="shared" si="42"/>
        <v>0</v>
      </c>
      <c r="BA117" s="324">
        <f t="shared" si="43"/>
        <v>0</v>
      </c>
      <c r="BB117" s="324">
        <f t="shared" si="44"/>
        <v>0</v>
      </c>
      <c r="BC117" s="324">
        <f t="shared" si="45"/>
        <v>0</v>
      </c>
      <c r="BD117" s="324">
        <f t="shared" si="46"/>
        <v>0</v>
      </c>
      <c r="BE117" s="324">
        <f t="shared" si="47"/>
        <v>0</v>
      </c>
      <c r="BF117" s="324">
        <f t="shared" si="48"/>
        <v>0</v>
      </c>
      <c r="BG117" s="324">
        <f t="shared" si="49"/>
        <v>0</v>
      </c>
      <c r="BH117" s="324">
        <f t="shared" si="50"/>
        <v>0</v>
      </c>
      <c r="BI117" s="324">
        <f t="shared" si="51"/>
        <v>0</v>
      </c>
      <c r="BJ117" s="324">
        <f t="shared" si="52"/>
        <v>0</v>
      </c>
      <c r="BK117" s="324">
        <f t="shared" si="53"/>
        <v>0</v>
      </c>
      <c r="BL117" s="324">
        <f t="shared" si="54"/>
        <v>0</v>
      </c>
      <c r="BM117" s="324">
        <f t="shared" si="55"/>
        <v>0</v>
      </c>
      <c r="BN117" s="324">
        <f t="shared" si="56"/>
        <v>0</v>
      </c>
      <c r="BO117" s="324">
        <f t="shared" si="57"/>
        <v>0</v>
      </c>
      <c r="BP117" s="324">
        <f t="shared" si="58"/>
        <v>0</v>
      </c>
      <c r="BQ117" s="324">
        <f t="shared" si="59"/>
        <v>0</v>
      </c>
      <c r="BR117" s="324">
        <f t="shared" si="60"/>
        <v>0</v>
      </c>
      <c r="BS117" s="324">
        <f t="shared" si="61"/>
        <v>0</v>
      </c>
      <c r="BT117" s="332">
        <f t="shared" si="62"/>
        <v>0</v>
      </c>
    </row>
    <row r="118" spans="1:72" ht="14.25">
      <c r="A118" s="297"/>
      <c r="B118" s="323"/>
      <c r="C118" s="323"/>
      <c r="D118" s="2215"/>
      <c r="E118" s="324">
        <f t="shared" si="34"/>
        <v>0</v>
      </c>
      <c r="F118" s="325"/>
      <c r="G118" s="326">
        <f t="shared" si="35"/>
        <v>0</v>
      </c>
      <c r="H118" s="327">
        <f t="shared" si="36"/>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7"/>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38"/>
        <v>0</v>
      </c>
      <c r="AW118" s="2210">
        <f t="shared" si="39"/>
        <v>0</v>
      </c>
      <c r="AX118" s="2210">
        <f t="shared" si="40"/>
        <v>0</v>
      </c>
      <c r="AY118" s="331">
        <f t="shared" si="41"/>
        <v>0</v>
      </c>
      <c r="AZ118" s="324">
        <f t="shared" si="42"/>
        <v>0</v>
      </c>
      <c r="BA118" s="324">
        <f t="shared" si="43"/>
        <v>0</v>
      </c>
      <c r="BB118" s="324">
        <f t="shared" si="44"/>
        <v>0</v>
      </c>
      <c r="BC118" s="324">
        <f t="shared" si="45"/>
        <v>0</v>
      </c>
      <c r="BD118" s="324">
        <f t="shared" si="46"/>
        <v>0</v>
      </c>
      <c r="BE118" s="324">
        <f t="shared" si="47"/>
        <v>0</v>
      </c>
      <c r="BF118" s="324">
        <f t="shared" si="48"/>
        <v>0</v>
      </c>
      <c r="BG118" s="324">
        <f t="shared" si="49"/>
        <v>0</v>
      </c>
      <c r="BH118" s="324">
        <f t="shared" si="50"/>
        <v>0</v>
      </c>
      <c r="BI118" s="324">
        <f t="shared" si="51"/>
        <v>0</v>
      </c>
      <c r="BJ118" s="324">
        <f t="shared" si="52"/>
        <v>0</v>
      </c>
      <c r="BK118" s="324">
        <f t="shared" si="53"/>
        <v>0</v>
      </c>
      <c r="BL118" s="324">
        <f t="shared" si="54"/>
        <v>0</v>
      </c>
      <c r="BM118" s="324">
        <f t="shared" si="55"/>
        <v>0</v>
      </c>
      <c r="BN118" s="324">
        <f t="shared" si="56"/>
        <v>0</v>
      </c>
      <c r="BO118" s="324">
        <f t="shared" si="57"/>
        <v>0</v>
      </c>
      <c r="BP118" s="324">
        <f t="shared" si="58"/>
        <v>0</v>
      </c>
      <c r="BQ118" s="324">
        <f t="shared" si="59"/>
        <v>0</v>
      </c>
      <c r="BR118" s="324">
        <f t="shared" si="60"/>
        <v>0</v>
      </c>
      <c r="BS118" s="324">
        <f t="shared" si="61"/>
        <v>0</v>
      </c>
      <c r="BT118" s="332">
        <f t="shared" si="62"/>
        <v>0</v>
      </c>
    </row>
    <row r="119" spans="1:72" ht="14.25">
      <c r="A119" s="297"/>
      <c r="B119" s="323"/>
      <c r="C119" s="323"/>
      <c r="D119" s="2215"/>
      <c r="E119" s="324">
        <f t="shared" si="34"/>
        <v>0</v>
      </c>
      <c r="F119" s="325"/>
      <c r="G119" s="326">
        <f t="shared" si="35"/>
        <v>0</v>
      </c>
      <c r="H119" s="327">
        <f t="shared" si="36"/>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7"/>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38"/>
        <v>0</v>
      </c>
      <c r="AW119" s="2210">
        <f t="shared" si="39"/>
        <v>0</v>
      </c>
      <c r="AX119" s="2210">
        <f t="shared" si="40"/>
        <v>0</v>
      </c>
      <c r="AY119" s="331">
        <f t="shared" si="41"/>
        <v>0</v>
      </c>
      <c r="AZ119" s="324">
        <f t="shared" si="42"/>
        <v>0</v>
      </c>
      <c r="BA119" s="324">
        <f t="shared" si="43"/>
        <v>0</v>
      </c>
      <c r="BB119" s="324">
        <f t="shared" si="44"/>
        <v>0</v>
      </c>
      <c r="BC119" s="324">
        <f t="shared" si="45"/>
        <v>0</v>
      </c>
      <c r="BD119" s="324">
        <f t="shared" si="46"/>
        <v>0</v>
      </c>
      <c r="BE119" s="324">
        <f t="shared" si="47"/>
        <v>0</v>
      </c>
      <c r="BF119" s="324">
        <f t="shared" si="48"/>
        <v>0</v>
      </c>
      <c r="BG119" s="324">
        <f t="shared" si="49"/>
        <v>0</v>
      </c>
      <c r="BH119" s="324">
        <f t="shared" si="50"/>
        <v>0</v>
      </c>
      <c r="BI119" s="324">
        <f t="shared" si="51"/>
        <v>0</v>
      </c>
      <c r="BJ119" s="324">
        <f t="shared" si="52"/>
        <v>0</v>
      </c>
      <c r="BK119" s="324">
        <f t="shared" si="53"/>
        <v>0</v>
      </c>
      <c r="BL119" s="324">
        <f t="shared" si="54"/>
        <v>0</v>
      </c>
      <c r="BM119" s="324">
        <f t="shared" si="55"/>
        <v>0</v>
      </c>
      <c r="BN119" s="324">
        <f t="shared" si="56"/>
        <v>0</v>
      </c>
      <c r="BO119" s="324">
        <f t="shared" si="57"/>
        <v>0</v>
      </c>
      <c r="BP119" s="324">
        <f t="shared" si="58"/>
        <v>0</v>
      </c>
      <c r="BQ119" s="324">
        <f t="shared" si="59"/>
        <v>0</v>
      </c>
      <c r="BR119" s="324">
        <f t="shared" si="60"/>
        <v>0</v>
      </c>
      <c r="BS119" s="324">
        <f t="shared" si="61"/>
        <v>0</v>
      </c>
      <c r="BT119" s="332">
        <f t="shared" si="62"/>
        <v>0</v>
      </c>
    </row>
    <row r="120" spans="1:72" ht="14.25">
      <c r="A120" s="297"/>
      <c r="B120" s="323"/>
      <c r="C120" s="323"/>
      <c r="D120" s="2215"/>
      <c r="E120" s="324">
        <f t="shared" si="34"/>
        <v>0</v>
      </c>
      <c r="F120" s="325"/>
      <c r="G120" s="326">
        <f t="shared" si="35"/>
        <v>0</v>
      </c>
      <c r="H120" s="327">
        <f t="shared" si="36"/>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7"/>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38"/>
        <v>0</v>
      </c>
      <c r="AW120" s="2210">
        <f t="shared" si="39"/>
        <v>0</v>
      </c>
      <c r="AX120" s="2210">
        <f t="shared" si="40"/>
        <v>0</v>
      </c>
      <c r="AY120" s="331">
        <f t="shared" si="41"/>
        <v>0</v>
      </c>
      <c r="AZ120" s="324">
        <f t="shared" si="42"/>
        <v>0</v>
      </c>
      <c r="BA120" s="324">
        <f t="shared" si="43"/>
        <v>0</v>
      </c>
      <c r="BB120" s="324">
        <f t="shared" si="44"/>
        <v>0</v>
      </c>
      <c r="BC120" s="324">
        <f t="shared" si="45"/>
        <v>0</v>
      </c>
      <c r="BD120" s="324">
        <f t="shared" si="46"/>
        <v>0</v>
      </c>
      <c r="BE120" s="324">
        <f t="shared" si="47"/>
        <v>0</v>
      </c>
      <c r="BF120" s="324">
        <f t="shared" si="48"/>
        <v>0</v>
      </c>
      <c r="BG120" s="324">
        <f t="shared" si="49"/>
        <v>0</v>
      </c>
      <c r="BH120" s="324">
        <f t="shared" si="50"/>
        <v>0</v>
      </c>
      <c r="BI120" s="324">
        <f t="shared" si="51"/>
        <v>0</v>
      </c>
      <c r="BJ120" s="324">
        <f t="shared" si="52"/>
        <v>0</v>
      </c>
      <c r="BK120" s="324">
        <f t="shared" si="53"/>
        <v>0</v>
      </c>
      <c r="BL120" s="324">
        <f t="shared" si="54"/>
        <v>0</v>
      </c>
      <c r="BM120" s="324">
        <f t="shared" si="55"/>
        <v>0</v>
      </c>
      <c r="BN120" s="324">
        <f t="shared" si="56"/>
        <v>0</v>
      </c>
      <c r="BO120" s="324">
        <f t="shared" si="57"/>
        <v>0</v>
      </c>
      <c r="BP120" s="324">
        <f t="shared" si="58"/>
        <v>0</v>
      </c>
      <c r="BQ120" s="324">
        <f t="shared" si="59"/>
        <v>0</v>
      </c>
      <c r="BR120" s="324">
        <f t="shared" si="60"/>
        <v>0</v>
      </c>
      <c r="BS120" s="324">
        <f t="shared" si="61"/>
        <v>0</v>
      </c>
      <c r="BT120" s="332">
        <f t="shared" si="62"/>
        <v>0</v>
      </c>
    </row>
    <row r="121" spans="1:72" ht="14.25">
      <c r="A121" s="297"/>
      <c r="B121" s="323"/>
      <c r="C121" s="323"/>
      <c r="D121" s="2215"/>
      <c r="E121" s="324">
        <f t="shared" si="34"/>
        <v>0</v>
      </c>
      <c r="F121" s="325"/>
      <c r="G121" s="326">
        <f t="shared" si="35"/>
        <v>0</v>
      </c>
      <c r="H121" s="327">
        <f t="shared" si="36"/>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7"/>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38"/>
        <v>0</v>
      </c>
      <c r="AW121" s="2210">
        <f t="shared" si="39"/>
        <v>0</v>
      </c>
      <c r="AX121" s="2210">
        <f t="shared" si="40"/>
        <v>0</v>
      </c>
      <c r="AY121" s="331">
        <f t="shared" si="41"/>
        <v>0</v>
      </c>
      <c r="AZ121" s="324">
        <f t="shared" si="42"/>
        <v>0</v>
      </c>
      <c r="BA121" s="324">
        <f t="shared" si="43"/>
        <v>0</v>
      </c>
      <c r="BB121" s="324">
        <f t="shared" si="44"/>
        <v>0</v>
      </c>
      <c r="BC121" s="324">
        <f t="shared" si="45"/>
        <v>0</v>
      </c>
      <c r="BD121" s="324">
        <f t="shared" si="46"/>
        <v>0</v>
      </c>
      <c r="BE121" s="324">
        <f t="shared" si="47"/>
        <v>0</v>
      </c>
      <c r="BF121" s="324">
        <f t="shared" si="48"/>
        <v>0</v>
      </c>
      <c r="BG121" s="324">
        <f t="shared" si="49"/>
        <v>0</v>
      </c>
      <c r="BH121" s="324">
        <f t="shared" si="50"/>
        <v>0</v>
      </c>
      <c r="BI121" s="324">
        <f t="shared" si="51"/>
        <v>0</v>
      </c>
      <c r="BJ121" s="324">
        <f t="shared" si="52"/>
        <v>0</v>
      </c>
      <c r="BK121" s="324">
        <f t="shared" si="53"/>
        <v>0</v>
      </c>
      <c r="BL121" s="324">
        <f t="shared" si="54"/>
        <v>0</v>
      </c>
      <c r="BM121" s="324">
        <f t="shared" si="55"/>
        <v>0</v>
      </c>
      <c r="BN121" s="324">
        <f t="shared" si="56"/>
        <v>0</v>
      </c>
      <c r="BO121" s="324">
        <f t="shared" si="57"/>
        <v>0</v>
      </c>
      <c r="BP121" s="324">
        <f t="shared" si="58"/>
        <v>0</v>
      </c>
      <c r="BQ121" s="324">
        <f t="shared" si="59"/>
        <v>0</v>
      </c>
      <c r="BR121" s="324">
        <f t="shared" si="60"/>
        <v>0</v>
      </c>
      <c r="BS121" s="324">
        <f t="shared" si="61"/>
        <v>0</v>
      </c>
      <c r="BT121" s="332">
        <f t="shared" si="62"/>
        <v>0</v>
      </c>
    </row>
    <row r="122" spans="1:72" ht="14.25">
      <c r="A122" s="297"/>
      <c r="B122" s="323"/>
      <c r="C122" s="323"/>
      <c r="D122" s="2215"/>
      <c r="E122" s="324">
        <f t="shared" si="34"/>
        <v>0</v>
      </c>
      <c r="F122" s="325"/>
      <c r="G122" s="326">
        <f t="shared" si="35"/>
        <v>0</v>
      </c>
      <c r="H122" s="327">
        <f t="shared" si="36"/>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7"/>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38"/>
        <v>0</v>
      </c>
      <c r="AW122" s="2210">
        <f t="shared" si="39"/>
        <v>0</v>
      </c>
      <c r="AX122" s="2210">
        <f t="shared" si="40"/>
        <v>0</v>
      </c>
      <c r="AY122" s="331">
        <f t="shared" si="41"/>
        <v>0</v>
      </c>
      <c r="AZ122" s="324">
        <f t="shared" si="42"/>
        <v>0</v>
      </c>
      <c r="BA122" s="324">
        <f t="shared" si="43"/>
        <v>0</v>
      </c>
      <c r="BB122" s="324">
        <f t="shared" si="44"/>
        <v>0</v>
      </c>
      <c r="BC122" s="324">
        <f t="shared" si="45"/>
        <v>0</v>
      </c>
      <c r="BD122" s="324">
        <f t="shared" si="46"/>
        <v>0</v>
      </c>
      <c r="BE122" s="324">
        <f t="shared" si="47"/>
        <v>0</v>
      </c>
      <c r="BF122" s="324">
        <f t="shared" si="48"/>
        <v>0</v>
      </c>
      <c r="BG122" s="324">
        <f t="shared" si="49"/>
        <v>0</v>
      </c>
      <c r="BH122" s="324">
        <f t="shared" si="50"/>
        <v>0</v>
      </c>
      <c r="BI122" s="324">
        <f t="shared" si="51"/>
        <v>0</v>
      </c>
      <c r="BJ122" s="324">
        <f t="shared" si="52"/>
        <v>0</v>
      </c>
      <c r="BK122" s="324">
        <f t="shared" si="53"/>
        <v>0</v>
      </c>
      <c r="BL122" s="324">
        <f t="shared" si="54"/>
        <v>0</v>
      </c>
      <c r="BM122" s="324">
        <f t="shared" si="55"/>
        <v>0</v>
      </c>
      <c r="BN122" s="324">
        <f t="shared" si="56"/>
        <v>0</v>
      </c>
      <c r="BO122" s="324">
        <f t="shared" si="57"/>
        <v>0</v>
      </c>
      <c r="BP122" s="324">
        <f t="shared" si="58"/>
        <v>0</v>
      </c>
      <c r="BQ122" s="324">
        <f t="shared" si="59"/>
        <v>0</v>
      </c>
      <c r="BR122" s="324">
        <f t="shared" si="60"/>
        <v>0</v>
      </c>
      <c r="BS122" s="324">
        <f t="shared" si="61"/>
        <v>0</v>
      </c>
      <c r="BT122" s="332">
        <f t="shared" si="62"/>
        <v>0</v>
      </c>
    </row>
    <row r="123" spans="1:72" ht="14.25">
      <c r="A123" s="297"/>
      <c r="B123" s="323"/>
      <c r="C123" s="323"/>
      <c r="D123" s="2215"/>
      <c r="E123" s="324">
        <f t="shared" si="34"/>
        <v>0</v>
      </c>
      <c r="F123" s="325"/>
      <c r="G123" s="326">
        <f t="shared" si="35"/>
        <v>0</v>
      </c>
      <c r="H123" s="327">
        <f t="shared" si="36"/>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7"/>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38"/>
        <v>0</v>
      </c>
      <c r="AW123" s="2210">
        <f t="shared" si="39"/>
        <v>0</v>
      </c>
      <c r="AX123" s="2210">
        <f t="shared" si="40"/>
        <v>0</v>
      </c>
      <c r="AY123" s="331">
        <f t="shared" si="41"/>
        <v>0</v>
      </c>
      <c r="AZ123" s="324">
        <f t="shared" si="42"/>
        <v>0</v>
      </c>
      <c r="BA123" s="324">
        <f t="shared" si="43"/>
        <v>0</v>
      </c>
      <c r="BB123" s="324">
        <f t="shared" si="44"/>
        <v>0</v>
      </c>
      <c r="BC123" s="324">
        <f t="shared" si="45"/>
        <v>0</v>
      </c>
      <c r="BD123" s="324">
        <f t="shared" si="46"/>
        <v>0</v>
      </c>
      <c r="BE123" s="324">
        <f t="shared" si="47"/>
        <v>0</v>
      </c>
      <c r="BF123" s="324">
        <f t="shared" si="48"/>
        <v>0</v>
      </c>
      <c r="BG123" s="324">
        <f t="shared" si="49"/>
        <v>0</v>
      </c>
      <c r="BH123" s="324">
        <f t="shared" si="50"/>
        <v>0</v>
      </c>
      <c r="BI123" s="324">
        <f t="shared" si="51"/>
        <v>0</v>
      </c>
      <c r="BJ123" s="324">
        <f t="shared" si="52"/>
        <v>0</v>
      </c>
      <c r="BK123" s="324">
        <f t="shared" si="53"/>
        <v>0</v>
      </c>
      <c r="BL123" s="324">
        <f t="shared" si="54"/>
        <v>0</v>
      </c>
      <c r="BM123" s="324">
        <f t="shared" si="55"/>
        <v>0</v>
      </c>
      <c r="BN123" s="324">
        <f t="shared" si="56"/>
        <v>0</v>
      </c>
      <c r="BO123" s="324">
        <f t="shared" si="57"/>
        <v>0</v>
      </c>
      <c r="BP123" s="324">
        <f t="shared" si="58"/>
        <v>0</v>
      </c>
      <c r="BQ123" s="324">
        <f t="shared" si="59"/>
        <v>0</v>
      </c>
      <c r="BR123" s="324">
        <f t="shared" si="60"/>
        <v>0</v>
      </c>
      <c r="BS123" s="324">
        <f t="shared" si="61"/>
        <v>0</v>
      </c>
      <c r="BT123" s="332">
        <f t="shared" si="62"/>
        <v>0</v>
      </c>
    </row>
    <row r="124" spans="1:72" ht="14.25">
      <c r="A124" s="297"/>
      <c r="B124" s="323"/>
      <c r="C124" s="323"/>
      <c r="D124" s="2215"/>
      <c r="E124" s="324">
        <f t="shared" si="34"/>
        <v>0</v>
      </c>
      <c r="F124" s="325"/>
      <c r="G124" s="326">
        <f t="shared" si="35"/>
        <v>0</v>
      </c>
      <c r="H124" s="327">
        <f t="shared" si="36"/>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7"/>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38"/>
        <v>0</v>
      </c>
      <c r="AW124" s="2210">
        <f t="shared" si="39"/>
        <v>0</v>
      </c>
      <c r="AX124" s="2210">
        <f t="shared" si="40"/>
        <v>0</v>
      </c>
      <c r="AY124" s="331">
        <f t="shared" si="41"/>
        <v>0</v>
      </c>
      <c r="AZ124" s="324">
        <f t="shared" si="42"/>
        <v>0</v>
      </c>
      <c r="BA124" s="324">
        <f t="shared" si="43"/>
        <v>0</v>
      </c>
      <c r="BB124" s="324">
        <f t="shared" si="44"/>
        <v>0</v>
      </c>
      <c r="BC124" s="324">
        <f t="shared" si="45"/>
        <v>0</v>
      </c>
      <c r="BD124" s="324">
        <f t="shared" si="46"/>
        <v>0</v>
      </c>
      <c r="BE124" s="324">
        <f t="shared" si="47"/>
        <v>0</v>
      </c>
      <c r="BF124" s="324">
        <f t="shared" si="48"/>
        <v>0</v>
      </c>
      <c r="BG124" s="324">
        <f t="shared" si="49"/>
        <v>0</v>
      </c>
      <c r="BH124" s="324">
        <f t="shared" si="50"/>
        <v>0</v>
      </c>
      <c r="BI124" s="324">
        <f t="shared" si="51"/>
        <v>0</v>
      </c>
      <c r="BJ124" s="324">
        <f t="shared" si="52"/>
        <v>0</v>
      </c>
      <c r="BK124" s="324">
        <f t="shared" si="53"/>
        <v>0</v>
      </c>
      <c r="BL124" s="324">
        <f t="shared" si="54"/>
        <v>0</v>
      </c>
      <c r="BM124" s="324">
        <f t="shared" si="55"/>
        <v>0</v>
      </c>
      <c r="BN124" s="324">
        <f t="shared" si="56"/>
        <v>0</v>
      </c>
      <c r="BO124" s="324">
        <f t="shared" si="57"/>
        <v>0</v>
      </c>
      <c r="BP124" s="324">
        <f t="shared" si="58"/>
        <v>0</v>
      </c>
      <c r="BQ124" s="324">
        <f t="shared" si="59"/>
        <v>0</v>
      </c>
      <c r="BR124" s="324">
        <f t="shared" si="60"/>
        <v>0</v>
      </c>
      <c r="BS124" s="324">
        <f t="shared" si="61"/>
        <v>0</v>
      </c>
      <c r="BT124" s="332">
        <f t="shared" si="62"/>
        <v>0</v>
      </c>
    </row>
    <row r="125" spans="1:72" ht="14.25">
      <c r="A125" s="297"/>
      <c r="B125" s="323"/>
      <c r="C125" s="323"/>
      <c r="D125" s="2215"/>
      <c r="E125" s="324">
        <f t="shared" si="34"/>
        <v>0</v>
      </c>
      <c r="F125" s="325"/>
      <c r="G125" s="326">
        <f t="shared" si="35"/>
        <v>0</v>
      </c>
      <c r="H125" s="327">
        <f t="shared" si="36"/>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7"/>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38"/>
        <v>0</v>
      </c>
      <c r="AW125" s="2210">
        <f t="shared" si="39"/>
        <v>0</v>
      </c>
      <c r="AX125" s="2210">
        <f t="shared" si="40"/>
        <v>0</v>
      </c>
      <c r="AY125" s="331">
        <f t="shared" si="41"/>
        <v>0</v>
      </c>
      <c r="AZ125" s="324">
        <f t="shared" si="42"/>
        <v>0</v>
      </c>
      <c r="BA125" s="324">
        <f t="shared" si="43"/>
        <v>0</v>
      </c>
      <c r="BB125" s="324">
        <f t="shared" si="44"/>
        <v>0</v>
      </c>
      <c r="BC125" s="324">
        <f t="shared" si="45"/>
        <v>0</v>
      </c>
      <c r="BD125" s="324">
        <f t="shared" si="46"/>
        <v>0</v>
      </c>
      <c r="BE125" s="324">
        <f t="shared" si="47"/>
        <v>0</v>
      </c>
      <c r="BF125" s="324">
        <f t="shared" si="48"/>
        <v>0</v>
      </c>
      <c r="BG125" s="324">
        <f t="shared" si="49"/>
        <v>0</v>
      </c>
      <c r="BH125" s="324">
        <f t="shared" si="50"/>
        <v>0</v>
      </c>
      <c r="BI125" s="324">
        <f t="shared" si="51"/>
        <v>0</v>
      </c>
      <c r="BJ125" s="324">
        <f t="shared" si="52"/>
        <v>0</v>
      </c>
      <c r="BK125" s="324">
        <f t="shared" si="53"/>
        <v>0</v>
      </c>
      <c r="BL125" s="324">
        <f t="shared" si="54"/>
        <v>0</v>
      </c>
      <c r="BM125" s="324">
        <f t="shared" si="55"/>
        <v>0</v>
      </c>
      <c r="BN125" s="324">
        <f t="shared" si="56"/>
        <v>0</v>
      </c>
      <c r="BO125" s="324">
        <f t="shared" si="57"/>
        <v>0</v>
      </c>
      <c r="BP125" s="324">
        <f t="shared" si="58"/>
        <v>0</v>
      </c>
      <c r="BQ125" s="324">
        <f t="shared" si="59"/>
        <v>0</v>
      </c>
      <c r="BR125" s="324">
        <f t="shared" si="60"/>
        <v>0</v>
      </c>
      <c r="BS125" s="324">
        <f t="shared" si="61"/>
        <v>0</v>
      </c>
      <c r="BT125" s="332">
        <f t="shared" si="62"/>
        <v>0</v>
      </c>
    </row>
    <row r="126" spans="1:72" ht="14.25">
      <c r="A126" s="297"/>
      <c r="B126" s="323"/>
      <c r="C126" s="323"/>
      <c r="D126" s="2215"/>
      <c r="E126" s="324">
        <f t="shared" si="34"/>
        <v>0</v>
      </c>
      <c r="F126" s="325"/>
      <c r="G126" s="326">
        <f t="shared" si="35"/>
        <v>0</v>
      </c>
      <c r="H126" s="327">
        <f t="shared" si="36"/>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7"/>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38"/>
        <v>0</v>
      </c>
      <c r="AW126" s="2210">
        <f t="shared" si="39"/>
        <v>0</v>
      </c>
      <c r="AX126" s="2210">
        <f t="shared" si="40"/>
        <v>0</v>
      </c>
      <c r="AY126" s="331">
        <f t="shared" si="41"/>
        <v>0</v>
      </c>
      <c r="AZ126" s="324">
        <f t="shared" si="42"/>
        <v>0</v>
      </c>
      <c r="BA126" s="324">
        <f t="shared" si="43"/>
        <v>0</v>
      </c>
      <c r="BB126" s="324">
        <f t="shared" si="44"/>
        <v>0</v>
      </c>
      <c r="BC126" s="324">
        <f t="shared" si="45"/>
        <v>0</v>
      </c>
      <c r="BD126" s="324">
        <f t="shared" si="46"/>
        <v>0</v>
      </c>
      <c r="BE126" s="324">
        <f t="shared" si="47"/>
        <v>0</v>
      </c>
      <c r="BF126" s="324">
        <f t="shared" si="48"/>
        <v>0</v>
      </c>
      <c r="BG126" s="324">
        <f t="shared" si="49"/>
        <v>0</v>
      </c>
      <c r="BH126" s="324">
        <f t="shared" si="50"/>
        <v>0</v>
      </c>
      <c r="BI126" s="324">
        <f t="shared" si="51"/>
        <v>0</v>
      </c>
      <c r="BJ126" s="324">
        <f t="shared" si="52"/>
        <v>0</v>
      </c>
      <c r="BK126" s="324">
        <f t="shared" si="53"/>
        <v>0</v>
      </c>
      <c r="BL126" s="324">
        <f t="shared" si="54"/>
        <v>0</v>
      </c>
      <c r="BM126" s="324">
        <f t="shared" si="55"/>
        <v>0</v>
      </c>
      <c r="BN126" s="324">
        <f t="shared" si="56"/>
        <v>0</v>
      </c>
      <c r="BO126" s="324">
        <f t="shared" si="57"/>
        <v>0</v>
      </c>
      <c r="BP126" s="324">
        <f t="shared" si="58"/>
        <v>0</v>
      </c>
      <c r="BQ126" s="324">
        <f t="shared" si="59"/>
        <v>0</v>
      </c>
      <c r="BR126" s="324">
        <f t="shared" si="60"/>
        <v>0</v>
      </c>
      <c r="BS126" s="324">
        <f t="shared" si="61"/>
        <v>0</v>
      </c>
      <c r="BT126" s="332">
        <f t="shared" si="62"/>
        <v>0</v>
      </c>
    </row>
    <row r="127" spans="1:72" ht="14.25">
      <c r="A127" s="297"/>
      <c r="B127" s="323"/>
      <c r="C127" s="323"/>
      <c r="D127" s="2215"/>
      <c r="E127" s="324">
        <f t="shared" si="34"/>
        <v>0</v>
      </c>
      <c r="F127" s="325"/>
      <c r="G127" s="326">
        <f t="shared" si="35"/>
        <v>0</v>
      </c>
      <c r="H127" s="327">
        <f t="shared" si="36"/>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7"/>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38"/>
        <v>0</v>
      </c>
      <c r="AW127" s="2210">
        <f t="shared" si="39"/>
        <v>0</v>
      </c>
      <c r="AX127" s="2210">
        <f t="shared" si="40"/>
        <v>0</v>
      </c>
      <c r="AY127" s="331">
        <f t="shared" si="41"/>
        <v>0</v>
      </c>
      <c r="AZ127" s="324">
        <f t="shared" si="42"/>
        <v>0</v>
      </c>
      <c r="BA127" s="324">
        <f t="shared" si="43"/>
        <v>0</v>
      </c>
      <c r="BB127" s="324">
        <f t="shared" si="44"/>
        <v>0</v>
      </c>
      <c r="BC127" s="324">
        <f t="shared" si="45"/>
        <v>0</v>
      </c>
      <c r="BD127" s="324">
        <f t="shared" si="46"/>
        <v>0</v>
      </c>
      <c r="BE127" s="324">
        <f t="shared" si="47"/>
        <v>0</v>
      </c>
      <c r="BF127" s="324">
        <f t="shared" si="48"/>
        <v>0</v>
      </c>
      <c r="BG127" s="324">
        <f t="shared" si="49"/>
        <v>0</v>
      </c>
      <c r="BH127" s="324">
        <f t="shared" si="50"/>
        <v>0</v>
      </c>
      <c r="BI127" s="324">
        <f t="shared" si="51"/>
        <v>0</v>
      </c>
      <c r="BJ127" s="324">
        <f t="shared" si="52"/>
        <v>0</v>
      </c>
      <c r="BK127" s="324">
        <f t="shared" si="53"/>
        <v>0</v>
      </c>
      <c r="BL127" s="324">
        <f t="shared" si="54"/>
        <v>0</v>
      </c>
      <c r="BM127" s="324">
        <f t="shared" si="55"/>
        <v>0</v>
      </c>
      <c r="BN127" s="324">
        <f t="shared" si="56"/>
        <v>0</v>
      </c>
      <c r="BO127" s="324">
        <f t="shared" si="57"/>
        <v>0</v>
      </c>
      <c r="BP127" s="324">
        <f t="shared" si="58"/>
        <v>0</v>
      </c>
      <c r="BQ127" s="324">
        <f t="shared" si="59"/>
        <v>0</v>
      </c>
      <c r="BR127" s="324">
        <f t="shared" si="60"/>
        <v>0</v>
      </c>
      <c r="BS127" s="324">
        <f t="shared" si="61"/>
        <v>0</v>
      </c>
      <c r="BT127" s="332">
        <f t="shared" si="62"/>
        <v>0</v>
      </c>
    </row>
    <row r="128" spans="1:72" ht="14.25">
      <c r="A128" s="297"/>
      <c r="B128" s="323"/>
      <c r="C128" s="323"/>
      <c r="D128" s="2215"/>
      <c r="E128" s="324">
        <f t="shared" si="34"/>
        <v>0</v>
      </c>
      <c r="F128" s="325"/>
      <c r="G128" s="326">
        <f t="shared" si="35"/>
        <v>0</v>
      </c>
      <c r="H128" s="327">
        <f t="shared" si="36"/>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7"/>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38"/>
        <v>0</v>
      </c>
      <c r="AW128" s="2210">
        <f t="shared" si="39"/>
        <v>0</v>
      </c>
      <c r="AX128" s="2210">
        <f t="shared" si="40"/>
        <v>0</v>
      </c>
      <c r="AY128" s="331">
        <f t="shared" si="41"/>
        <v>0</v>
      </c>
      <c r="AZ128" s="324">
        <f t="shared" si="42"/>
        <v>0</v>
      </c>
      <c r="BA128" s="324">
        <f t="shared" si="43"/>
        <v>0</v>
      </c>
      <c r="BB128" s="324">
        <f t="shared" si="44"/>
        <v>0</v>
      </c>
      <c r="BC128" s="324">
        <f t="shared" si="45"/>
        <v>0</v>
      </c>
      <c r="BD128" s="324">
        <f t="shared" si="46"/>
        <v>0</v>
      </c>
      <c r="BE128" s="324">
        <f t="shared" si="47"/>
        <v>0</v>
      </c>
      <c r="BF128" s="324">
        <f t="shared" si="48"/>
        <v>0</v>
      </c>
      <c r="BG128" s="324">
        <f t="shared" si="49"/>
        <v>0</v>
      </c>
      <c r="BH128" s="324">
        <f t="shared" si="50"/>
        <v>0</v>
      </c>
      <c r="BI128" s="324">
        <f t="shared" si="51"/>
        <v>0</v>
      </c>
      <c r="BJ128" s="324">
        <f t="shared" si="52"/>
        <v>0</v>
      </c>
      <c r="BK128" s="324">
        <f t="shared" si="53"/>
        <v>0</v>
      </c>
      <c r="BL128" s="324">
        <f t="shared" si="54"/>
        <v>0</v>
      </c>
      <c r="BM128" s="324">
        <f t="shared" si="55"/>
        <v>0</v>
      </c>
      <c r="BN128" s="324">
        <f t="shared" si="56"/>
        <v>0</v>
      </c>
      <c r="BO128" s="324">
        <f t="shared" si="57"/>
        <v>0</v>
      </c>
      <c r="BP128" s="324">
        <f t="shared" si="58"/>
        <v>0</v>
      </c>
      <c r="BQ128" s="324">
        <f t="shared" si="59"/>
        <v>0</v>
      </c>
      <c r="BR128" s="324">
        <f t="shared" si="60"/>
        <v>0</v>
      </c>
      <c r="BS128" s="324">
        <f t="shared" si="61"/>
        <v>0</v>
      </c>
      <c r="BT128" s="332">
        <f t="shared" si="62"/>
        <v>0</v>
      </c>
    </row>
    <row r="129" spans="1:72" ht="14.25">
      <c r="A129" s="297"/>
      <c r="B129" s="323"/>
      <c r="C129" s="323"/>
      <c r="D129" s="2215"/>
      <c r="E129" s="324">
        <f t="shared" si="34"/>
        <v>0</v>
      </c>
      <c r="F129" s="325"/>
      <c r="G129" s="326">
        <f t="shared" si="35"/>
        <v>0</v>
      </c>
      <c r="H129" s="327">
        <f t="shared" si="36"/>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7"/>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38"/>
        <v>0</v>
      </c>
      <c r="AW129" s="2210">
        <f t="shared" si="39"/>
        <v>0</v>
      </c>
      <c r="AX129" s="2210">
        <f t="shared" si="40"/>
        <v>0</v>
      </c>
      <c r="AY129" s="331">
        <f t="shared" si="41"/>
        <v>0</v>
      </c>
      <c r="AZ129" s="324">
        <f t="shared" si="42"/>
        <v>0</v>
      </c>
      <c r="BA129" s="324">
        <f t="shared" si="43"/>
        <v>0</v>
      </c>
      <c r="BB129" s="324">
        <f t="shared" si="44"/>
        <v>0</v>
      </c>
      <c r="BC129" s="324">
        <f t="shared" si="45"/>
        <v>0</v>
      </c>
      <c r="BD129" s="324">
        <f t="shared" si="46"/>
        <v>0</v>
      </c>
      <c r="BE129" s="324">
        <f t="shared" si="47"/>
        <v>0</v>
      </c>
      <c r="BF129" s="324">
        <f t="shared" si="48"/>
        <v>0</v>
      </c>
      <c r="BG129" s="324">
        <f t="shared" si="49"/>
        <v>0</v>
      </c>
      <c r="BH129" s="324">
        <f t="shared" si="50"/>
        <v>0</v>
      </c>
      <c r="BI129" s="324">
        <f t="shared" si="51"/>
        <v>0</v>
      </c>
      <c r="BJ129" s="324">
        <f t="shared" si="52"/>
        <v>0</v>
      </c>
      <c r="BK129" s="324">
        <f t="shared" si="53"/>
        <v>0</v>
      </c>
      <c r="BL129" s="324">
        <f t="shared" si="54"/>
        <v>0</v>
      </c>
      <c r="BM129" s="324">
        <f t="shared" si="55"/>
        <v>0</v>
      </c>
      <c r="BN129" s="324">
        <f t="shared" si="56"/>
        <v>0</v>
      </c>
      <c r="BO129" s="324">
        <f t="shared" si="57"/>
        <v>0</v>
      </c>
      <c r="BP129" s="324">
        <f t="shared" si="58"/>
        <v>0</v>
      </c>
      <c r="BQ129" s="324">
        <f t="shared" si="59"/>
        <v>0</v>
      </c>
      <c r="BR129" s="324">
        <f t="shared" si="60"/>
        <v>0</v>
      </c>
      <c r="BS129" s="324">
        <f t="shared" si="61"/>
        <v>0</v>
      </c>
      <c r="BT129" s="332">
        <f t="shared" si="62"/>
        <v>0</v>
      </c>
    </row>
    <row r="130" spans="1:72" ht="14.25">
      <c r="A130" s="297"/>
      <c r="B130" s="323"/>
      <c r="C130" s="323"/>
      <c r="D130" s="2215"/>
      <c r="E130" s="324">
        <f t="shared" si="34"/>
        <v>0</v>
      </c>
      <c r="F130" s="325"/>
      <c r="G130" s="326">
        <f t="shared" si="35"/>
        <v>0</v>
      </c>
      <c r="H130" s="327">
        <f t="shared" si="36"/>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7"/>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38"/>
        <v>0</v>
      </c>
      <c r="AW130" s="2210">
        <f t="shared" si="39"/>
        <v>0</v>
      </c>
      <c r="AX130" s="2210">
        <f t="shared" si="40"/>
        <v>0</v>
      </c>
      <c r="AY130" s="331">
        <f t="shared" si="41"/>
        <v>0</v>
      </c>
      <c r="AZ130" s="324">
        <f t="shared" si="42"/>
        <v>0</v>
      </c>
      <c r="BA130" s="324">
        <f t="shared" si="43"/>
        <v>0</v>
      </c>
      <c r="BB130" s="324">
        <f t="shared" si="44"/>
        <v>0</v>
      </c>
      <c r="BC130" s="324">
        <f t="shared" si="45"/>
        <v>0</v>
      </c>
      <c r="BD130" s="324">
        <f t="shared" si="46"/>
        <v>0</v>
      </c>
      <c r="BE130" s="324">
        <f t="shared" si="47"/>
        <v>0</v>
      </c>
      <c r="BF130" s="324">
        <f t="shared" si="48"/>
        <v>0</v>
      </c>
      <c r="BG130" s="324">
        <f t="shared" si="49"/>
        <v>0</v>
      </c>
      <c r="BH130" s="324">
        <f t="shared" si="50"/>
        <v>0</v>
      </c>
      <c r="BI130" s="324">
        <f t="shared" si="51"/>
        <v>0</v>
      </c>
      <c r="BJ130" s="324">
        <f t="shared" si="52"/>
        <v>0</v>
      </c>
      <c r="BK130" s="324">
        <f t="shared" si="53"/>
        <v>0</v>
      </c>
      <c r="BL130" s="324">
        <f t="shared" si="54"/>
        <v>0</v>
      </c>
      <c r="BM130" s="324">
        <f t="shared" si="55"/>
        <v>0</v>
      </c>
      <c r="BN130" s="324">
        <f t="shared" si="56"/>
        <v>0</v>
      </c>
      <c r="BO130" s="324">
        <f t="shared" si="57"/>
        <v>0</v>
      </c>
      <c r="BP130" s="324">
        <f t="shared" si="58"/>
        <v>0</v>
      </c>
      <c r="BQ130" s="324">
        <f t="shared" si="59"/>
        <v>0</v>
      </c>
      <c r="BR130" s="324">
        <f t="shared" si="60"/>
        <v>0</v>
      </c>
      <c r="BS130" s="324">
        <f t="shared" si="61"/>
        <v>0</v>
      </c>
      <c r="BT130" s="332">
        <f t="shared" si="62"/>
        <v>0</v>
      </c>
    </row>
    <row r="131" spans="1:72" ht="14.25">
      <c r="A131" s="297"/>
      <c r="B131" s="323"/>
      <c r="C131" s="323"/>
      <c r="D131" s="2215"/>
      <c r="E131" s="324">
        <f t="shared" si="34"/>
        <v>0</v>
      </c>
      <c r="F131" s="325"/>
      <c r="G131" s="326">
        <f t="shared" si="35"/>
        <v>0</v>
      </c>
      <c r="H131" s="327">
        <f t="shared" si="36"/>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7"/>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38"/>
        <v>0</v>
      </c>
      <c r="AW131" s="2210">
        <f t="shared" si="39"/>
        <v>0</v>
      </c>
      <c r="AX131" s="2210">
        <f t="shared" si="40"/>
        <v>0</v>
      </c>
      <c r="AY131" s="331">
        <f t="shared" si="41"/>
        <v>0</v>
      </c>
      <c r="AZ131" s="324">
        <f t="shared" si="42"/>
        <v>0</v>
      </c>
      <c r="BA131" s="324">
        <f t="shared" si="43"/>
        <v>0</v>
      </c>
      <c r="BB131" s="324">
        <f t="shared" si="44"/>
        <v>0</v>
      </c>
      <c r="BC131" s="324">
        <f t="shared" si="45"/>
        <v>0</v>
      </c>
      <c r="BD131" s="324">
        <f t="shared" si="46"/>
        <v>0</v>
      </c>
      <c r="BE131" s="324">
        <f t="shared" si="47"/>
        <v>0</v>
      </c>
      <c r="BF131" s="324">
        <f t="shared" si="48"/>
        <v>0</v>
      </c>
      <c r="BG131" s="324">
        <f t="shared" si="49"/>
        <v>0</v>
      </c>
      <c r="BH131" s="324">
        <f t="shared" si="50"/>
        <v>0</v>
      </c>
      <c r="BI131" s="324">
        <f t="shared" si="51"/>
        <v>0</v>
      </c>
      <c r="BJ131" s="324">
        <f t="shared" si="52"/>
        <v>0</v>
      </c>
      <c r="BK131" s="324">
        <f t="shared" si="53"/>
        <v>0</v>
      </c>
      <c r="BL131" s="324">
        <f t="shared" si="54"/>
        <v>0</v>
      </c>
      <c r="BM131" s="324">
        <f t="shared" si="55"/>
        <v>0</v>
      </c>
      <c r="BN131" s="324">
        <f t="shared" si="56"/>
        <v>0</v>
      </c>
      <c r="BO131" s="324">
        <f t="shared" si="57"/>
        <v>0</v>
      </c>
      <c r="BP131" s="324">
        <f t="shared" si="58"/>
        <v>0</v>
      </c>
      <c r="BQ131" s="324">
        <f t="shared" si="59"/>
        <v>0</v>
      </c>
      <c r="BR131" s="324">
        <f t="shared" si="60"/>
        <v>0</v>
      </c>
      <c r="BS131" s="324">
        <f t="shared" si="61"/>
        <v>0</v>
      </c>
      <c r="BT131" s="332">
        <f t="shared" si="62"/>
        <v>0</v>
      </c>
    </row>
    <row r="132" spans="1:72" ht="14.25">
      <c r="A132" s="297"/>
      <c r="B132" s="323"/>
      <c r="C132" s="323"/>
      <c r="D132" s="2215"/>
      <c r="E132" s="324">
        <f t="shared" si="34"/>
        <v>0</v>
      </c>
      <c r="F132" s="325"/>
      <c r="G132" s="326">
        <f t="shared" si="35"/>
        <v>0</v>
      </c>
      <c r="H132" s="327">
        <f t="shared" si="36"/>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7"/>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38"/>
        <v>0</v>
      </c>
      <c r="AW132" s="2210">
        <f t="shared" si="39"/>
        <v>0</v>
      </c>
      <c r="AX132" s="2210">
        <f t="shared" si="40"/>
        <v>0</v>
      </c>
      <c r="AY132" s="331">
        <f t="shared" si="41"/>
        <v>0</v>
      </c>
      <c r="AZ132" s="324">
        <f t="shared" si="42"/>
        <v>0</v>
      </c>
      <c r="BA132" s="324">
        <f t="shared" si="43"/>
        <v>0</v>
      </c>
      <c r="BB132" s="324">
        <f t="shared" si="44"/>
        <v>0</v>
      </c>
      <c r="BC132" s="324">
        <f t="shared" si="45"/>
        <v>0</v>
      </c>
      <c r="BD132" s="324">
        <f t="shared" si="46"/>
        <v>0</v>
      </c>
      <c r="BE132" s="324">
        <f t="shared" si="47"/>
        <v>0</v>
      </c>
      <c r="BF132" s="324">
        <f t="shared" si="48"/>
        <v>0</v>
      </c>
      <c r="BG132" s="324">
        <f t="shared" si="49"/>
        <v>0</v>
      </c>
      <c r="BH132" s="324">
        <f t="shared" si="50"/>
        <v>0</v>
      </c>
      <c r="BI132" s="324">
        <f t="shared" si="51"/>
        <v>0</v>
      </c>
      <c r="BJ132" s="324">
        <f t="shared" si="52"/>
        <v>0</v>
      </c>
      <c r="BK132" s="324">
        <f t="shared" si="53"/>
        <v>0</v>
      </c>
      <c r="BL132" s="324">
        <f t="shared" si="54"/>
        <v>0</v>
      </c>
      <c r="BM132" s="324">
        <f t="shared" si="55"/>
        <v>0</v>
      </c>
      <c r="BN132" s="324">
        <f t="shared" si="56"/>
        <v>0</v>
      </c>
      <c r="BO132" s="324">
        <f t="shared" si="57"/>
        <v>0</v>
      </c>
      <c r="BP132" s="324">
        <f t="shared" si="58"/>
        <v>0</v>
      </c>
      <c r="BQ132" s="324">
        <f t="shared" si="59"/>
        <v>0</v>
      </c>
      <c r="BR132" s="324">
        <f t="shared" si="60"/>
        <v>0</v>
      </c>
      <c r="BS132" s="324">
        <f t="shared" si="61"/>
        <v>0</v>
      </c>
      <c r="BT132" s="332">
        <f t="shared" si="62"/>
        <v>0</v>
      </c>
    </row>
    <row r="133" spans="1:72" ht="14.25">
      <c r="A133" s="297"/>
      <c r="B133" s="323"/>
      <c r="C133" s="323"/>
      <c r="D133" s="2215"/>
      <c r="E133" s="324">
        <f t="shared" si="34"/>
        <v>0</v>
      </c>
      <c r="F133" s="325"/>
      <c r="G133" s="326">
        <f t="shared" si="35"/>
        <v>0</v>
      </c>
      <c r="H133" s="327">
        <f t="shared" si="36"/>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7"/>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38"/>
        <v>0</v>
      </c>
      <c r="AW133" s="2210">
        <f t="shared" si="39"/>
        <v>0</v>
      </c>
      <c r="AX133" s="2210">
        <f t="shared" si="40"/>
        <v>0</v>
      </c>
      <c r="AY133" s="331">
        <f t="shared" si="41"/>
        <v>0</v>
      </c>
      <c r="AZ133" s="324">
        <f t="shared" si="42"/>
        <v>0</v>
      </c>
      <c r="BA133" s="324">
        <f t="shared" si="43"/>
        <v>0</v>
      </c>
      <c r="BB133" s="324">
        <f t="shared" si="44"/>
        <v>0</v>
      </c>
      <c r="BC133" s="324">
        <f t="shared" si="45"/>
        <v>0</v>
      </c>
      <c r="BD133" s="324">
        <f t="shared" si="46"/>
        <v>0</v>
      </c>
      <c r="BE133" s="324">
        <f t="shared" si="47"/>
        <v>0</v>
      </c>
      <c r="BF133" s="324">
        <f t="shared" si="48"/>
        <v>0</v>
      </c>
      <c r="BG133" s="324">
        <f t="shared" si="49"/>
        <v>0</v>
      </c>
      <c r="BH133" s="324">
        <f t="shared" si="50"/>
        <v>0</v>
      </c>
      <c r="BI133" s="324">
        <f t="shared" si="51"/>
        <v>0</v>
      </c>
      <c r="BJ133" s="324">
        <f t="shared" si="52"/>
        <v>0</v>
      </c>
      <c r="BK133" s="324">
        <f t="shared" si="53"/>
        <v>0</v>
      </c>
      <c r="BL133" s="324">
        <f t="shared" si="54"/>
        <v>0</v>
      </c>
      <c r="BM133" s="324">
        <f t="shared" si="55"/>
        <v>0</v>
      </c>
      <c r="BN133" s="324">
        <f t="shared" si="56"/>
        <v>0</v>
      </c>
      <c r="BO133" s="324">
        <f t="shared" si="57"/>
        <v>0</v>
      </c>
      <c r="BP133" s="324">
        <f t="shared" si="58"/>
        <v>0</v>
      </c>
      <c r="BQ133" s="324">
        <f t="shared" si="59"/>
        <v>0</v>
      </c>
      <c r="BR133" s="324">
        <f t="shared" si="60"/>
        <v>0</v>
      </c>
      <c r="BS133" s="324">
        <f t="shared" si="61"/>
        <v>0</v>
      </c>
      <c r="BT133" s="332">
        <f t="shared" si="62"/>
        <v>0</v>
      </c>
    </row>
    <row r="134" spans="1:72" ht="14.25">
      <c r="A134" s="297"/>
      <c r="B134" s="323"/>
      <c r="C134" s="323"/>
      <c r="D134" s="2215"/>
      <c r="E134" s="324">
        <f t="shared" si="34"/>
        <v>0</v>
      </c>
      <c r="F134" s="325"/>
      <c r="G134" s="326">
        <f t="shared" si="35"/>
        <v>0</v>
      </c>
      <c r="H134" s="327">
        <f t="shared" si="36"/>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7"/>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38"/>
        <v>0</v>
      </c>
      <c r="AW134" s="2210">
        <f t="shared" si="39"/>
        <v>0</v>
      </c>
      <c r="AX134" s="2210">
        <f t="shared" si="40"/>
        <v>0</v>
      </c>
      <c r="AY134" s="331">
        <f t="shared" si="41"/>
        <v>0</v>
      </c>
      <c r="AZ134" s="324">
        <f t="shared" si="42"/>
        <v>0</v>
      </c>
      <c r="BA134" s="324">
        <f t="shared" si="43"/>
        <v>0</v>
      </c>
      <c r="BB134" s="324">
        <f t="shared" si="44"/>
        <v>0</v>
      </c>
      <c r="BC134" s="324">
        <f t="shared" si="45"/>
        <v>0</v>
      </c>
      <c r="BD134" s="324">
        <f t="shared" si="46"/>
        <v>0</v>
      </c>
      <c r="BE134" s="324">
        <f t="shared" si="47"/>
        <v>0</v>
      </c>
      <c r="BF134" s="324">
        <f t="shared" si="48"/>
        <v>0</v>
      </c>
      <c r="BG134" s="324">
        <f t="shared" si="49"/>
        <v>0</v>
      </c>
      <c r="BH134" s="324">
        <f t="shared" si="50"/>
        <v>0</v>
      </c>
      <c r="BI134" s="324">
        <f t="shared" si="51"/>
        <v>0</v>
      </c>
      <c r="BJ134" s="324">
        <f t="shared" si="52"/>
        <v>0</v>
      </c>
      <c r="BK134" s="324">
        <f t="shared" si="53"/>
        <v>0</v>
      </c>
      <c r="BL134" s="324">
        <f t="shared" si="54"/>
        <v>0</v>
      </c>
      <c r="BM134" s="324">
        <f t="shared" si="55"/>
        <v>0</v>
      </c>
      <c r="BN134" s="324">
        <f t="shared" si="56"/>
        <v>0</v>
      </c>
      <c r="BO134" s="324">
        <f t="shared" si="57"/>
        <v>0</v>
      </c>
      <c r="BP134" s="324">
        <f t="shared" si="58"/>
        <v>0</v>
      </c>
      <c r="BQ134" s="324">
        <f t="shared" si="59"/>
        <v>0</v>
      </c>
      <c r="BR134" s="324">
        <f t="shared" si="60"/>
        <v>0</v>
      </c>
      <c r="BS134" s="324">
        <f t="shared" si="61"/>
        <v>0</v>
      </c>
      <c r="BT134" s="332">
        <f t="shared" si="62"/>
        <v>0</v>
      </c>
    </row>
    <row r="135" spans="1:72" ht="14.25">
      <c r="A135" s="297"/>
      <c r="B135" s="323"/>
      <c r="C135" s="323"/>
      <c r="D135" s="2215"/>
      <c r="E135" s="324">
        <f t="shared" si="34"/>
        <v>0</v>
      </c>
      <c r="F135" s="325"/>
      <c r="G135" s="326">
        <f t="shared" si="35"/>
        <v>0</v>
      </c>
      <c r="H135" s="327">
        <f t="shared" si="36"/>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7"/>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38"/>
        <v>0</v>
      </c>
      <c r="AW135" s="2210">
        <f t="shared" si="39"/>
        <v>0</v>
      </c>
      <c r="AX135" s="2210">
        <f t="shared" si="40"/>
        <v>0</v>
      </c>
      <c r="AY135" s="331">
        <f t="shared" si="41"/>
        <v>0</v>
      </c>
      <c r="AZ135" s="324">
        <f t="shared" si="42"/>
        <v>0</v>
      </c>
      <c r="BA135" s="324">
        <f t="shared" si="43"/>
        <v>0</v>
      </c>
      <c r="BB135" s="324">
        <f t="shared" si="44"/>
        <v>0</v>
      </c>
      <c r="BC135" s="324">
        <f t="shared" si="45"/>
        <v>0</v>
      </c>
      <c r="BD135" s="324">
        <f t="shared" si="46"/>
        <v>0</v>
      </c>
      <c r="BE135" s="324">
        <f t="shared" si="47"/>
        <v>0</v>
      </c>
      <c r="BF135" s="324">
        <f t="shared" si="48"/>
        <v>0</v>
      </c>
      <c r="BG135" s="324">
        <f t="shared" si="49"/>
        <v>0</v>
      </c>
      <c r="BH135" s="324">
        <f t="shared" si="50"/>
        <v>0</v>
      </c>
      <c r="BI135" s="324">
        <f t="shared" si="51"/>
        <v>0</v>
      </c>
      <c r="BJ135" s="324">
        <f t="shared" si="52"/>
        <v>0</v>
      </c>
      <c r="BK135" s="324">
        <f t="shared" si="53"/>
        <v>0</v>
      </c>
      <c r="BL135" s="324">
        <f t="shared" si="54"/>
        <v>0</v>
      </c>
      <c r="BM135" s="324">
        <f t="shared" si="55"/>
        <v>0</v>
      </c>
      <c r="BN135" s="324">
        <f t="shared" si="56"/>
        <v>0</v>
      </c>
      <c r="BO135" s="324">
        <f t="shared" si="57"/>
        <v>0</v>
      </c>
      <c r="BP135" s="324">
        <f t="shared" si="58"/>
        <v>0</v>
      </c>
      <c r="BQ135" s="324">
        <f t="shared" si="59"/>
        <v>0</v>
      </c>
      <c r="BR135" s="324">
        <f t="shared" si="60"/>
        <v>0</v>
      </c>
      <c r="BS135" s="324">
        <f t="shared" si="61"/>
        <v>0</v>
      </c>
      <c r="BT135" s="332">
        <f t="shared" si="62"/>
        <v>0</v>
      </c>
    </row>
    <row r="136" spans="1:72" ht="14.25">
      <c r="A136" s="297"/>
      <c r="B136" s="323"/>
      <c r="C136" s="323"/>
      <c r="D136" s="2215"/>
      <c r="E136" s="324">
        <f t="shared" si="34"/>
        <v>0</v>
      </c>
      <c r="F136" s="325"/>
      <c r="G136" s="326">
        <f t="shared" si="35"/>
        <v>0</v>
      </c>
      <c r="H136" s="327">
        <f t="shared" si="36"/>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7"/>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38"/>
        <v>0</v>
      </c>
      <c r="AW136" s="2210">
        <f t="shared" si="39"/>
        <v>0</v>
      </c>
      <c r="AX136" s="2210">
        <f t="shared" si="40"/>
        <v>0</v>
      </c>
      <c r="AY136" s="331">
        <f t="shared" si="41"/>
        <v>0</v>
      </c>
      <c r="AZ136" s="324">
        <f t="shared" si="42"/>
        <v>0</v>
      </c>
      <c r="BA136" s="324">
        <f t="shared" si="43"/>
        <v>0</v>
      </c>
      <c r="BB136" s="324">
        <f t="shared" si="44"/>
        <v>0</v>
      </c>
      <c r="BC136" s="324">
        <f t="shared" si="45"/>
        <v>0</v>
      </c>
      <c r="BD136" s="324">
        <f t="shared" si="46"/>
        <v>0</v>
      </c>
      <c r="BE136" s="324">
        <f t="shared" si="47"/>
        <v>0</v>
      </c>
      <c r="BF136" s="324">
        <f t="shared" si="48"/>
        <v>0</v>
      </c>
      <c r="BG136" s="324">
        <f t="shared" si="49"/>
        <v>0</v>
      </c>
      <c r="BH136" s="324">
        <f t="shared" si="50"/>
        <v>0</v>
      </c>
      <c r="BI136" s="324">
        <f t="shared" si="51"/>
        <v>0</v>
      </c>
      <c r="BJ136" s="324">
        <f t="shared" si="52"/>
        <v>0</v>
      </c>
      <c r="BK136" s="324">
        <f t="shared" si="53"/>
        <v>0</v>
      </c>
      <c r="BL136" s="324">
        <f t="shared" si="54"/>
        <v>0</v>
      </c>
      <c r="BM136" s="324">
        <f t="shared" si="55"/>
        <v>0</v>
      </c>
      <c r="BN136" s="324">
        <f t="shared" si="56"/>
        <v>0</v>
      </c>
      <c r="BO136" s="324">
        <f t="shared" si="57"/>
        <v>0</v>
      </c>
      <c r="BP136" s="324">
        <f t="shared" si="58"/>
        <v>0</v>
      </c>
      <c r="BQ136" s="324">
        <f t="shared" si="59"/>
        <v>0</v>
      </c>
      <c r="BR136" s="324">
        <f t="shared" si="60"/>
        <v>0</v>
      </c>
      <c r="BS136" s="324">
        <f t="shared" si="61"/>
        <v>0</v>
      </c>
      <c r="BT136" s="332">
        <f t="shared" si="62"/>
        <v>0</v>
      </c>
    </row>
    <row r="137" spans="1:72" ht="14.25">
      <c r="A137" s="297"/>
      <c r="B137" s="323"/>
      <c r="C137" s="323"/>
      <c r="D137" s="2215"/>
      <c r="E137" s="324">
        <f t="shared" si="34"/>
        <v>0</v>
      </c>
      <c r="F137" s="325"/>
      <c r="G137" s="326">
        <f t="shared" si="35"/>
        <v>0</v>
      </c>
      <c r="H137" s="327">
        <f t="shared" si="36"/>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7"/>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38"/>
        <v>0</v>
      </c>
      <c r="AW137" s="2210">
        <f t="shared" si="39"/>
        <v>0</v>
      </c>
      <c r="AX137" s="2210">
        <f t="shared" si="40"/>
        <v>0</v>
      </c>
      <c r="AY137" s="331">
        <f t="shared" si="41"/>
        <v>0</v>
      </c>
      <c r="AZ137" s="324">
        <f t="shared" si="42"/>
        <v>0</v>
      </c>
      <c r="BA137" s="324">
        <f t="shared" si="43"/>
        <v>0</v>
      </c>
      <c r="BB137" s="324">
        <f t="shared" si="44"/>
        <v>0</v>
      </c>
      <c r="BC137" s="324">
        <f t="shared" si="45"/>
        <v>0</v>
      </c>
      <c r="BD137" s="324">
        <f t="shared" si="46"/>
        <v>0</v>
      </c>
      <c r="BE137" s="324">
        <f t="shared" si="47"/>
        <v>0</v>
      </c>
      <c r="BF137" s="324">
        <f t="shared" si="48"/>
        <v>0</v>
      </c>
      <c r="BG137" s="324">
        <f t="shared" si="49"/>
        <v>0</v>
      </c>
      <c r="BH137" s="324">
        <f t="shared" si="50"/>
        <v>0</v>
      </c>
      <c r="BI137" s="324">
        <f t="shared" si="51"/>
        <v>0</v>
      </c>
      <c r="BJ137" s="324">
        <f t="shared" si="52"/>
        <v>0</v>
      </c>
      <c r="BK137" s="324">
        <f t="shared" si="53"/>
        <v>0</v>
      </c>
      <c r="BL137" s="324">
        <f t="shared" si="54"/>
        <v>0</v>
      </c>
      <c r="BM137" s="324">
        <f t="shared" si="55"/>
        <v>0</v>
      </c>
      <c r="BN137" s="324">
        <f t="shared" si="56"/>
        <v>0</v>
      </c>
      <c r="BO137" s="324">
        <f t="shared" si="57"/>
        <v>0</v>
      </c>
      <c r="BP137" s="324">
        <f t="shared" si="58"/>
        <v>0</v>
      </c>
      <c r="BQ137" s="324">
        <f t="shared" si="59"/>
        <v>0</v>
      </c>
      <c r="BR137" s="324">
        <f t="shared" si="60"/>
        <v>0</v>
      </c>
      <c r="BS137" s="324">
        <f t="shared" si="61"/>
        <v>0</v>
      </c>
      <c r="BT137" s="332">
        <f t="shared" si="62"/>
        <v>0</v>
      </c>
    </row>
    <row r="138" spans="1:72" ht="14.25">
      <c r="A138" s="297"/>
      <c r="B138" s="323"/>
      <c r="C138" s="323"/>
      <c r="D138" s="2215"/>
      <c r="E138" s="324">
        <f t="shared" si="34"/>
        <v>0</v>
      </c>
      <c r="F138" s="325"/>
      <c r="G138" s="326">
        <f t="shared" si="35"/>
        <v>0</v>
      </c>
      <c r="H138" s="327">
        <f t="shared" si="36"/>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7"/>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38"/>
        <v>0</v>
      </c>
      <c r="AW138" s="2210">
        <f t="shared" si="39"/>
        <v>0</v>
      </c>
      <c r="AX138" s="2210">
        <f t="shared" si="40"/>
        <v>0</v>
      </c>
      <c r="AY138" s="331">
        <f t="shared" si="41"/>
        <v>0</v>
      </c>
      <c r="AZ138" s="324">
        <f t="shared" si="42"/>
        <v>0</v>
      </c>
      <c r="BA138" s="324">
        <f t="shared" si="43"/>
        <v>0</v>
      </c>
      <c r="BB138" s="324">
        <f t="shared" si="44"/>
        <v>0</v>
      </c>
      <c r="BC138" s="324">
        <f t="shared" si="45"/>
        <v>0</v>
      </c>
      <c r="BD138" s="324">
        <f t="shared" si="46"/>
        <v>0</v>
      </c>
      <c r="BE138" s="324">
        <f t="shared" si="47"/>
        <v>0</v>
      </c>
      <c r="BF138" s="324">
        <f t="shared" si="48"/>
        <v>0</v>
      </c>
      <c r="BG138" s="324">
        <f t="shared" si="49"/>
        <v>0</v>
      </c>
      <c r="BH138" s="324">
        <f t="shared" si="50"/>
        <v>0</v>
      </c>
      <c r="BI138" s="324">
        <f t="shared" si="51"/>
        <v>0</v>
      </c>
      <c r="BJ138" s="324">
        <f t="shared" si="52"/>
        <v>0</v>
      </c>
      <c r="BK138" s="324">
        <f t="shared" si="53"/>
        <v>0</v>
      </c>
      <c r="BL138" s="324">
        <f t="shared" si="54"/>
        <v>0</v>
      </c>
      <c r="BM138" s="324">
        <f t="shared" si="55"/>
        <v>0</v>
      </c>
      <c r="BN138" s="324">
        <f t="shared" si="56"/>
        <v>0</v>
      </c>
      <c r="BO138" s="324">
        <f t="shared" si="57"/>
        <v>0</v>
      </c>
      <c r="BP138" s="324">
        <f t="shared" si="58"/>
        <v>0</v>
      </c>
      <c r="BQ138" s="324">
        <f t="shared" si="59"/>
        <v>0</v>
      </c>
      <c r="BR138" s="324">
        <f t="shared" si="60"/>
        <v>0</v>
      </c>
      <c r="BS138" s="324">
        <f t="shared" si="61"/>
        <v>0</v>
      </c>
      <c r="BT138" s="332">
        <f t="shared" si="62"/>
        <v>0</v>
      </c>
    </row>
    <row r="139" spans="1:72" ht="14.25">
      <c r="A139" s="297"/>
      <c r="B139" s="323"/>
      <c r="C139" s="323"/>
      <c r="D139" s="2215"/>
      <c r="E139" s="324">
        <f t="shared" si="34"/>
        <v>0</v>
      </c>
      <c r="F139" s="325"/>
      <c r="G139" s="326">
        <f t="shared" si="35"/>
        <v>0</v>
      </c>
      <c r="H139" s="327">
        <f t="shared" si="36"/>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7"/>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38"/>
        <v>0</v>
      </c>
      <c r="AW139" s="2210">
        <f t="shared" si="39"/>
        <v>0</v>
      </c>
      <c r="AX139" s="2210">
        <f t="shared" si="40"/>
        <v>0</v>
      </c>
      <c r="AY139" s="331">
        <f t="shared" si="41"/>
        <v>0</v>
      </c>
      <c r="AZ139" s="324">
        <f t="shared" si="42"/>
        <v>0</v>
      </c>
      <c r="BA139" s="324">
        <f t="shared" si="43"/>
        <v>0</v>
      </c>
      <c r="BB139" s="324">
        <f t="shared" si="44"/>
        <v>0</v>
      </c>
      <c r="BC139" s="324">
        <f t="shared" si="45"/>
        <v>0</v>
      </c>
      <c r="BD139" s="324">
        <f t="shared" si="46"/>
        <v>0</v>
      </c>
      <c r="BE139" s="324">
        <f t="shared" si="47"/>
        <v>0</v>
      </c>
      <c r="BF139" s="324">
        <f t="shared" si="48"/>
        <v>0</v>
      </c>
      <c r="BG139" s="324">
        <f t="shared" si="49"/>
        <v>0</v>
      </c>
      <c r="BH139" s="324">
        <f t="shared" si="50"/>
        <v>0</v>
      </c>
      <c r="BI139" s="324">
        <f t="shared" si="51"/>
        <v>0</v>
      </c>
      <c r="BJ139" s="324">
        <f t="shared" si="52"/>
        <v>0</v>
      </c>
      <c r="BK139" s="324">
        <f t="shared" si="53"/>
        <v>0</v>
      </c>
      <c r="BL139" s="324">
        <f t="shared" si="54"/>
        <v>0</v>
      </c>
      <c r="BM139" s="324">
        <f t="shared" si="55"/>
        <v>0</v>
      </c>
      <c r="BN139" s="324">
        <f t="shared" si="56"/>
        <v>0</v>
      </c>
      <c r="BO139" s="324">
        <f t="shared" si="57"/>
        <v>0</v>
      </c>
      <c r="BP139" s="324">
        <f t="shared" si="58"/>
        <v>0</v>
      </c>
      <c r="BQ139" s="324">
        <f t="shared" si="59"/>
        <v>0</v>
      </c>
      <c r="BR139" s="324">
        <f t="shared" si="60"/>
        <v>0</v>
      </c>
      <c r="BS139" s="324">
        <f t="shared" si="61"/>
        <v>0</v>
      </c>
      <c r="BT139" s="332">
        <f t="shared" si="62"/>
        <v>0</v>
      </c>
    </row>
    <row r="140" spans="1:72" ht="14.25">
      <c r="A140" s="297"/>
      <c r="B140" s="323"/>
      <c r="C140" s="323"/>
      <c r="D140" s="2215"/>
      <c r="E140" s="324">
        <f t="shared" si="34"/>
        <v>0</v>
      </c>
      <c r="F140" s="325"/>
      <c r="G140" s="326">
        <f t="shared" si="35"/>
        <v>0</v>
      </c>
      <c r="H140" s="327">
        <f t="shared" si="36"/>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7"/>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38"/>
        <v>0</v>
      </c>
      <c r="AW140" s="2210">
        <f t="shared" si="39"/>
        <v>0</v>
      </c>
      <c r="AX140" s="2210">
        <f t="shared" si="40"/>
        <v>0</v>
      </c>
      <c r="AY140" s="331">
        <f t="shared" si="41"/>
        <v>0</v>
      </c>
      <c r="AZ140" s="324">
        <f t="shared" si="42"/>
        <v>0</v>
      </c>
      <c r="BA140" s="324">
        <f t="shared" si="43"/>
        <v>0</v>
      </c>
      <c r="BB140" s="324">
        <f t="shared" si="44"/>
        <v>0</v>
      </c>
      <c r="BC140" s="324">
        <f t="shared" si="45"/>
        <v>0</v>
      </c>
      <c r="BD140" s="324">
        <f t="shared" si="46"/>
        <v>0</v>
      </c>
      <c r="BE140" s="324">
        <f t="shared" si="47"/>
        <v>0</v>
      </c>
      <c r="BF140" s="324">
        <f t="shared" si="48"/>
        <v>0</v>
      </c>
      <c r="BG140" s="324">
        <f t="shared" si="49"/>
        <v>0</v>
      </c>
      <c r="BH140" s="324">
        <f t="shared" si="50"/>
        <v>0</v>
      </c>
      <c r="BI140" s="324">
        <f t="shared" si="51"/>
        <v>0</v>
      </c>
      <c r="BJ140" s="324">
        <f t="shared" si="52"/>
        <v>0</v>
      </c>
      <c r="BK140" s="324">
        <f t="shared" si="53"/>
        <v>0</v>
      </c>
      <c r="BL140" s="324">
        <f t="shared" si="54"/>
        <v>0</v>
      </c>
      <c r="BM140" s="324">
        <f t="shared" si="55"/>
        <v>0</v>
      </c>
      <c r="BN140" s="324">
        <f t="shared" si="56"/>
        <v>0</v>
      </c>
      <c r="BO140" s="324">
        <f t="shared" si="57"/>
        <v>0</v>
      </c>
      <c r="BP140" s="324">
        <f t="shared" si="58"/>
        <v>0</v>
      </c>
      <c r="BQ140" s="324">
        <f t="shared" si="59"/>
        <v>0</v>
      </c>
      <c r="BR140" s="324">
        <f t="shared" si="60"/>
        <v>0</v>
      </c>
      <c r="BS140" s="324">
        <f t="shared" si="61"/>
        <v>0</v>
      </c>
      <c r="BT140" s="332">
        <f t="shared" si="62"/>
        <v>0</v>
      </c>
    </row>
    <row r="141" spans="1:72" ht="14.25">
      <c r="A141" s="297"/>
      <c r="B141" s="323"/>
      <c r="C141" s="323"/>
      <c r="D141" s="2215"/>
      <c r="E141" s="324">
        <f t="shared" ref="E141:E204" si="63">IF($C$3="是",ROUND($A$3*G141/$B$3,2),ROUND($A$3*(G141-AT141)/$B$3,2))</f>
        <v>0</v>
      </c>
      <c r="F141" s="325"/>
      <c r="G141" s="326">
        <f t="shared" ref="G141:G204" si="64">H141+AC141+AT141</f>
        <v>0</v>
      </c>
      <c r="H141" s="327">
        <f t="shared" ref="H141:H204" si="65">SUMIF(I$12:AB$12,"总值",I141:AB141)</f>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ref="AC141:AC204" si="66">SUMIF(AD$12:AS$12,"总值",AD141:AS141)</f>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ref="AV141:AV204" si="67">A141</f>
        <v>0</v>
      </c>
      <c r="AW141" s="2210">
        <f t="shared" ref="AW141:AW204" si="68">B141</f>
        <v>0</v>
      </c>
      <c r="AX141" s="2210">
        <f t="shared" ref="AX141:AX204" si="69">C141</f>
        <v>0</v>
      </c>
      <c r="AY141" s="331">
        <f t="shared" ref="AY141:AY204" si="70">ROUND($AY$6*AZ141/$AZ$5,2)</f>
        <v>0</v>
      </c>
      <c r="AZ141" s="324">
        <f t="shared" ref="AZ141:AZ204" si="71">BA141+BL141</f>
        <v>0</v>
      </c>
      <c r="BA141" s="324">
        <f t="shared" ref="BA141:BA204" si="72">SUM(BB141:BK141)</f>
        <v>0</v>
      </c>
      <c r="BB141" s="324">
        <f t="shared" ref="BB141:BB204" si="73">IF($D141="是",I141-J141,0)</f>
        <v>0</v>
      </c>
      <c r="BC141" s="324">
        <f t="shared" ref="BC141:BC204" si="74">IF($D141="是",K141-L141,0)</f>
        <v>0</v>
      </c>
      <c r="BD141" s="324">
        <f t="shared" ref="BD141:BD204" si="75">IF($D141="是",M141-N141,0)</f>
        <v>0</v>
      </c>
      <c r="BE141" s="324">
        <f t="shared" ref="BE141:BE204" si="76">IF($D141="是",O141-P141,0)</f>
        <v>0</v>
      </c>
      <c r="BF141" s="324">
        <f t="shared" ref="BF141:BF204" si="77">IF($D141="是",Q141-R141,0)</f>
        <v>0</v>
      </c>
      <c r="BG141" s="324">
        <f t="shared" ref="BG141:BG204" si="78">IF($D141="是",S141-T141,0)</f>
        <v>0</v>
      </c>
      <c r="BH141" s="324">
        <f t="shared" ref="BH141:BH204" si="79">IF($D141="是",U141-V141,0)</f>
        <v>0</v>
      </c>
      <c r="BI141" s="324">
        <f t="shared" ref="BI141:BI204" si="80">IF($D141="是",W141-X141,0)</f>
        <v>0</v>
      </c>
      <c r="BJ141" s="324">
        <f t="shared" ref="BJ141:BJ204" si="81">IF($D141="是",Y141-Z141,0)</f>
        <v>0</v>
      </c>
      <c r="BK141" s="324">
        <f t="shared" ref="BK141:BK204" si="82">IF($D141="是",AA141-AB141,0)</f>
        <v>0</v>
      </c>
      <c r="BL141" s="324">
        <f t="shared" ref="BL141:BL204" si="83">SUM(BM141:BT141)</f>
        <v>0</v>
      </c>
      <c r="BM141" s="324">
        <f t="shared" ref="BM141:BM204" si="84">IF($D141="是",AD141-AE141,0)</f>
        <v>0</v>
      </c>
      <c r="BN141" s="324">
        <f t="shared" ref="BN141:BN204" si="85">IF($D141="是",AF141-AG141,0)</f>
        <v>0</v>
      </c>
      <c r="BO141" s="324">
        <f t="shared" ref="BO141:BO204" si="86">IF($D141="是",AH141-AI141,0)</f>
        <v>0</v>
      </c>
      <c r="BP141" s="324">
        <f t="shared" ref="BP141:BP204" si="87">IF($D141="是",AJ141-AK141,0)</f>
        <v>0</v>
      </c>
      <c r="BQ141" s="324">
        <f t="shared" ref="BQ141:BQ204" si="88">IF($D141="是",AL141-AM141,0)</f>
        <v>0</v>
      </c>
      <c r="BR141" s="324">
        <f t="shared" ref="BR141:BR204" si="89">IF($D141="是",AN141-AO141,0)</f>
        <v>0</v>
      </c>
      <c r="BS141" s="324">
        <f t="shared" ref="BS141:BS204" si="90">IF($D141="是",AP141-AQ141,0)</f>
        <v>0</v>
      </c>
      <c r="BT141" s="332">
        <f t="shared" ref="BT141:BT204" si="91">IF($D141="是",AR141-AS141,0)</f>
        <v>0</v>
      </c>
    </row>
    <row r="142" spans="1:72" ht="14.25">
      <c r="A142" s="297"/>
      <c r="B142" s="323"/>
      <c r="C142" s="323"/>
      <c r="D142" s="2215"/>
      <c r="E142" s="324">
        <f t="shared" si="63"/>
        <v>0</v>
      </c>
      <c r="F142" s="325"/>
      <c r="G142" s="326">
        <f t="shared" si="64"/>
        <v>0</v>
      </c>
      <c r="H142" s="327">
        <f t="shared" si="65"/>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si="66"/>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7"/>
        <v>0</v>
      </c>
      <c r="AW142" s="2210">
        <f t="shared" si="68"/>
        <v>0</v>
      </c>
      <c r="AX142" s="2210">
        <f t="shared" si="69"/>
        <v>0</v>
      </c>
      <c r="AY142" s="331">
        <f t="shared" si="70"/>
        <v>0</v>
      </c>
      <c r="AZ142" s="324">
        <f t="shared" si="71"/>
        <v>0</v>
      </c>
      <c r="BA142" s="324">
        <f t="shared" si="72"/>
        <v>0</v>
      </c>
      <c r="BB142" s="324">
        <f t="shared" si="73"/>
        <v>0</v>
      </c>
      <c r="BC142" s="324">
        <f t="shared" si="74"/>
        <v>0</v>
      </c>
      <c r="BD142" s="324">
        <f t="shared" si="75"/>
        <v>0</v>
      </c>
      <c r="BE142" s="324">
        <f t="shared" si="76"/>
        <v>0</v>
      </c>
      <c r="BF142" s="324">
        <f t="shared" si="77"/>
        <v>0</v>
      </c>
      <c r="BG142" s="324">
        <f t="shared" si="78"/>
        <v>0</v>
      </c>
      <c r="BH142" s="324">
        <f t="shared" si="79"/>
        <v>0</v>
      </c>
      <c r="BI142" s="324">
        <f t="shared" si="80"/>
        <v>0</v>
      </c>
      <c r="BJ142" s="324">
        <f t="shared" si="81"/>
        <v>0</v>
      </c>
      <c r="BK142" s="324">
        <f t="shared" si="82"/>
        <v>0</v>
      </c>
      <c r="BL142" s="324">
        <f t="shared" si="83"/>
        <v>0</v>
      </c>
      <c r="BM142" s="324">
        <f t="shared" si="84"/>
        <v>0</v>
      </c>
      <c r="BN142" s="324">
        <f t="shared" si="85"/>
        <v>0</v>
      </c>
      <c r="BO142" s="324">
        <f t="shared" si="86"/>
        <v>0</v>
      </c>
      <c r="BP142" s="324">
        <f t="shared" si="87"/>
        <v>0</v>
      </c>
      <c r="BQ142" s="324">
        <f t="shared" si="88"/>
        <v>0</v>
      </c>
      <c r="BR142" s="324">
        <f t="shared" si="89"/>
        <v>0</v>
      </c>
      <c r="BS142" s="324">
        <f t="shared" si="90"/>
        <v>0</v>
      </c>
      <c r="BT142" s="332">
        <f t="shared" si="91"/>
        <v>0</v>
      </c>
    </row>
    <row r="143" spans="1:72" ht="14.25">
      <c r="A143" s="297"/>
      <c r="B143" s="323"/>
      <c r="C143" s="323"/>
      <c r="D143" s="2215"/>
      <c r="E143" s="324">
        <f t="shared" si="63"/>
        <v>0</v>
      </c>
      <c r="F143" s="325"/>
      <c r="G143" s="326">
        <f t="shared" si="64"/>
        <v>0</v>
      </c>
      <c r="H143" s="327">
        <f t="shared" si="65"/>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6"/>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7"/>
        <v>0</v>
      </c>
      <c r="AW143" s="2210">
        <f t="shared" si="68"/>
        <v>0</v>
      </c>
      <c r="AX143" s="2210">
        <f t="shared" si="69"/>
        <v>0</v>
      </c>
      <c r="AY143" s="331">
        <f t="shared" si="70"/>
        <v>0</v>
      </c>
      <c r="AZ143" s="324">
        <f t="shared" si="71"/>
        <v>0</v>
      </c>
      <c r="BA143" s="324">
        <f t="shared" si="72"/>
        <v>0</v>
      </c>
      <c r="BB143" s="324">
        <f t="shared" si="73"/>
        <v>0</v>
      </c>
      <c r="BC143" s="324">
        <f t="shared" si="74"/>
        <v>0</v>
      </c>
      <c r="BD143" s="324">
        <f t="shared" si="75"/>
        <v>0</v>
      </c>
      <c r="BE143" s="324">
        <f t="shared" si="76"/>
        <v>0</v>
      </c>
      <c r="BF143" s="324">
        <f t="shared" si="77"/>
        <v>0</v>
      </c>
      <c r="BG143" s="324">
        <f t="shared" si="78"/>
        <v>0</v>
      </c>
      <c r="BH143" s="324">
        <f t="shared" si="79"/>
        <v>0</v>
      </c>
      <c r="BI143" s="324">
        <f t="shared" si="80"/>
        <v>0</v>
      </c>
      <c r="BJ143" s="324">
        <f t="shared" si="81"/>
        <v>0</v>
      </c>
      <c r="BK143" s="324">
        <f t="shared" si="82"/>
        <v>0</v>
      </c>
      <c r="BL143" s="324">
        <f t="shared" si="83"/>
        <v>0</v>
      </c>
      <c r="BM143" s="324">
        <f t="shared" si="84"/>
        <v>0</v>
      </c>
      <c r="BN143" s="324">
        <f t="shared" si="85"/>
        <v>0</v>
      </c>
      <c r="BO143" s="324">
        <f t="shared" si="86"/>
        <v>0</v>
      </c>
      <c r="BP143" s="324">
        <f t="shared" si="87"/>
        <v>0</v>
      </c>
      <c r="BQ143" s="324">
        <f t="shared" si="88"/>
        <v>0</v>
      </c>
      <c r="BR143" s="324">
        <f t="shared" si="89"/>
        <v>0</v>
      </c>
      <c r="BS143" s="324">
        <f t="shared" si="90"/>
        <v>0</v>
      </c>
      <c r="BT143" s="332">
        <f t="shared" si="91"/>
        <v>0</v>
      </c>
    </row>
    <row r="144" spans="1:72" ht="14.25">
      <c r="A144" s="297"/>
      <c r="B144" s="323"/>
      <c r="C144" s="323"/>
      <c r="D144" s="2215"/>
      <c r="E144" s="324">
        <f t="shared" si="63"/>
        <v>0</v>
      </c>
      <c r="F144" s="325"/>
      <c r="G144" s="326">
        <f t="shared" si="64"/>
        <v>0</v>
      </c>
      <c r="H144" s="327">
        <f t="shared" si="65"/>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6"/>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7"/>
        <v>0</v>
      </c>
      <c r="AW144" s="2210">
        <f t="shared" si="68"/>
        <v>0</v>
      </c>
      <c r="AX144" s="2210">
        <f t="shared" si="69"/>
        <v>0</v>
      </c>
      <c r="AY144" s="331">
        <f t="shared" si="70"/>
        <v>0</v>
      </c>
      <c r="AZ144" s="324">
        <f t="shared" si="71"/>
        <v>0</v>
      </c>
      <c r="BA144" s="324">
        <f t="shared" si="72"/>
        <v>0</v>
      </c>
      <c r="BB144" s="324">
        <f t="shared" si="73"/>
        <v>0</v>
      </c>
      <c r="BC144" s="324">
        <f t="shared" si="74"/>
        <v>0</v>
      </c>
      <c r="BD144" s="324">
        <f t="shared" si="75"/>
        <v>0</v>
      </c>
      <c r="BE144" s="324">
        <f t="shared" si="76"/>
        <v>0</v>
      </c>
      <c r="BF144" s="324">
        <f t="shared" si="77"/>
        <v>0</v>
      </c>
      <c r="BG144" s="324">
        <f t="shared" si="78"/>
        <v>0</v>
      </c>
      <c r="BH144" s="324">
        <f t="shared" si="79"/>
        <v>0</v>
      </c>
      <c r="BI144" s="324">
        <f t="shared" si="80"/>
        <v>0</v>
      </c>
      <c r="BJ144" s="324">
        <f t="shared" si="81"/>
        <v>0</v>
      </c>
      <c r="BK144" s="324">
        <f t="shared" si="82"/>
        <v>0</v>
      </c>
      <c r="BL144" s="324">
        <f t="shared" si="83"/>
        <v>0</v>
      </c>
      <c r="BM144" s="324">
        <f t="shared" si="84"/>
        <v>0</v>
      </c>
      <c r="BN144" s="324">
        <f t="shared" si="85"/>
        <v>0</v>
      </c>
      <c r="BO144" s="324">
        <f t="shared" si="86"/>
        <v>0</v>
      </c>
      <c r="BP144" s="324">
        <f t="shared" si="87"/>
        <v>0</v>
      </c>
      <c r="BQ144" s="324">
        <f t="shared" si="88"/>
        <v>0</v>
      </c>
      <c r="BR144" s="324">
        <f t="shared" si="89"/>
        <v>0</v>
      </c>
      <c r="BS144" s="324">
        <f t="shared" si="90"/>
        <v>0</v>
      </c>
      <c r="BT144" s="332">
        <f t="shared" si="91"/>
        <v>0</v>
      </c>
    </row>
    <row r="145" spans="1:72" ht="14.25">
      <c r="A145" s="297"/>
      <c r="B145" s="323"/>
      <c r="C145" s="323"/>
      <c r="D145" s="2215"/>
      <c r="E145" s="324">
        <f t="shared" si="63"/>
        <v>0</v>
      </c>
      <c r="F145" s="325"/>
      <c r="G145" s="326">
        <f t="shared" si="64"/>
        <v>0</v>
      </c>
      <c r="H145" s="327">
        <f t="shared" si="65"/>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6"/>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si="67"/>
        <v>0</v>
      </c>
      <c r="AW145" s="2210">
        <f t="shared" si="68"/>
        <v>0</v>
      </c>
      <c r="AX145" s="2210">
        <f t="shared" si="69"/>
        <v>0</v>
      </c>
      <c r="AY145" s="331">
        <f t="shared" si="70"/>
        <v>0</v>
      </c>
      <c r="AZ145" s="324">
        <f t="shared" si="71"/>
        <v>0</v>
      </c>
      <c r="BA145" s="324">
        <f t="shared" si="72"/>
        <v>0</v>
      </c>
      <c r="BB145" s="324">
        <f t="shared" si="73"/>
        <v>0</v>
      </c>
      <c r="BC145" s="324">
        <f t="shared" si="74"/>
        <v>0</v>
      </c>
      <c r="BD145" s="324">
        <f t="shared" si="75"/>
        <v>0</v>
      </c>
      <c r="BE145" s="324">
        <f t="shared" si="76"/>
        <v>0</v>
      </c>
      <c r="BF145" s="324">
        <f t="shared" si="77"/>
        <v>0</v>
      </c>
      <c r="BG145" s="324">
        <f t="shared" si="78"/>
        <v>0</v>
      </c>
      <c r="BH145" s="324">
        <f t="shared" si="79"/>
        <v>0</v>
      </c>
      <c r="BI145" s="324">
        <f t="shared" si="80"/>
        <v>0</v>
      </c>
      <c r="BJ145" s="324">
        <f t="shared" si="81"/>
        <v>0</v>
      </c>
      <c r="BK145" s="324">
        <f t="shared" si="82"/>
        <v>0</v>
      </c>
      <c r="BL145" s="324">
        <f t="shared" si="83"/>
        <v>0</v>
      </c>
      <c r="BM145" s="324">
        <f t="shared" si="84"/>
        <v>0</v>
      </c>
      <c r="BN145" s="324">
        <f t="shared" si="85"/>
        <v>0</v>
      </c>
      <c r="BO145" s="324">
        <f t="shared" si="86"/>
        <v>0</v>
      </c>
      <c r="BP145" s="324">
        <f t="shared" si="87"/>
        <v>0</v>
      </c>
      <c r="BQ145" s="324">
        <f t="shared" si="88"/>
        <v>0</v>
      </c>
      <c r="BR145" s="324">
        <f t="shared" si="89"/>
        <v>0</v>
      </c>
      <c r="BS145" s="324">
        <f t="shared" si="90"/>
        <v>0</v>
      </c>
      <c r="BT145" s="332">
        <f t="shared" si="91"/>
        <v>0</v>
      </c>
    </row>
    <row r="146" spans="1:72" ht="14.25">
      <c r="A146" s="297"/>
      <c r="B146" s="323"/>
      <c r="C146" s="323"/>
      <c r="D146" s="2215"/>
      <c r="E146" s="324">
        <f t="shared" si="63"/>
        <v>0</v>
      </c>
      <c r="F146" s="325"/>
      <c r="G146" s="326">
        <f t="shared" si="64"/>
        <v>0</v>
      </c>
      <c r="H146" s="327">
        <f t="shared" si="65"/>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6"/>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67"/>
        <v>0</v>
      </c>
      <c r="AW146" s="2210">
        <f t="shared" si="68"/>
        <v>0</v>
      </c>
      <c r="AX146" s="2210">
        <f t="shared" si="69"/>
        <v>0</v>
      </c>
      <c r="AY146" s="331">
        <f t="shared" si="70"/>
        <v>0</v>
      </c>
      <c r="AZ146" s="324">
        <f t="shared" si="71"/>
        <v>0</v>
      </c>
      <c r="BA146" s="324">
        <f t="shared" si="72"/>
        <v>0</v>
      </c>
      <c r="BB146" s="324">
        <f t="shared" si="73"/>
        <v>0</v>
      </c>
      <c r="BC146" s="324">
        <f t="shared" si="74"/>
        <v>0</v>
      </c>
      <c r="BD146" s="324">
        <f t="shared" si="75"/>
        <v>0</v>
      </c>
      <c r="BE146" s="324">
        <f t="shared" si="76"/>
        <v>0</v>
      </c>
      <c r="BF146" s="324">
        <f t="shared" si="77"/>
        <v>0</v>
      </c>
      <c r="BG146" s="324">
        <f t="shared" si="78"/>
        <v>0</v>
      </c>
      <c r="BH146" s="324">
        <f t="shared" si="79"/>
        <v>0</v>
      </c>
      <c r="BI146" s="324">
        <f t="shared" si="80"/>
        <v>0</v>
      </c>
      <c r="BJ146" s="324">
        <f t="shared" si="81"/>
        <v>0</v>
      </c>
      <c r="BK146" s="324">
        <f t="shared" si="82"/>
        <v>0</v>
      </c>
      <c r="BL146" s="324">
        <f t="shared" si="83"/>
        <v>0</v>
      </c>
      <c r="BM146" s="324">
        <f t="shared" si="84"/>
        <v>0</v>
      </c>
      <c r="BN146" s="324">
        <f t="shared" si="85"/>
        <v>0</v>
      </c>
      <c r="BO146" s="324">
        <f t="shared" si="86"/>
        <v>0</v>
      </c>
      <c r="BP146" s="324">
        <f t="shared" si="87"/>
        <v>0</v>
      </c>
      <c r="BQ146" s="324">
        <f t="shared" si="88"/>
        <v>0</v>
      </c>
      <c r="BR146" s="324">
        <f t="shared" si="89"/>
        <v>0</v>
      </c>
      <c r="BS146" s="324">
        <f t="shared" si="90"/>
        <v>0</v>
      </c>
      <c r="BT146" s="332">
        <f t="shared" si="91"/>
        <v>0</v>
      </c>
    </row>
    <row r="147" spans="1:72" ht="14.25">
      <c r="A147" s="297"/>
      <c r="B147" s="323"/>
      <c r="C147" s="323"/>
      <c r="D147" s="2215"/>
      <c r="E147" s="324">
        <f t="shared" si="63"/>
        <v>0</v>
      </c>
      <c r="F147" s="325"/>
      <c r="G147" s="326">
        <f t="shared" si="64"/>
        <v>0</v>
      </c>
      <c r="H147" s="327">
        <f t="shared" si="65"/>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6"/>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67"/>
        <v>0</v>
      </c>
      <c r="AW147" s="2210">
        <f t="shared" si="68"/>
        <v>0</v>
      </c>
      <c r="AX147" s="2210">
        <f t="shared" si="69"/>
        <v>0</v>
      </c>
      <c r="AY147" s="331">
        <f t="shared" si="70"/>
        <v>0</v>
      </c>
      <c r="AZ147" s="324">
        <f t="shared" si="71"/>
        <v>0</v>
      </c>
      <c r="BA147" s="324">
        <f t="shared" si="72"/>
        <v>0</v>
      </c>
      <c r="BB147" s="324">
        <f t="shared" si="73"/>
        <v>0</v>
      </c>
      <c r="BC147" s="324">
        <f t="shared" si="74"/>
        <v>0</v>
      </c>
      <c r="BD147" s="324">
        <f t="shared" si="75"/>
        <v>0</v>
      </c>
      <c r="BE147" s="324">
        <f t="shared" si="76"/>
        <v>0</v>
      </c>
      <c r="BF147" s="324">
        <f t="shared" si="77"/>
        <v>0</v>
      </c>
      <c r="BG147" s="324">
        <f t="shared" si="78"/>
        <v>0</v>
      </c>
      <c r="BH147" s="324">
        <f t="shared" si="79"/>
        <v>0</v>
      </c>
      <c r="BI147" s="324">
        <f t="shared" si="80"/>
        <v>0</v>
      </c>
      <c r="BJ147" s="324">
        <f t="shared" si="81"/>
        <v>0</v>
      </c>
      <c r="BK147" s="324">
        <f t="shared" si="82"/>
        <v>0</v>
      </c>
      <c r="BL147" s="324">
        <f t="shared" si="83"/>
        <v>0</v>
      </c>
      <c r="BM147" s="324">
        <f t="shared" si="84"/>
        <v>0</v>
      </c>
      <c r="BN147" s="324">
        <f t="shared" si="85"/>
        <v>0</v>
      </c>
      <c r="BO147" s="324">
        <f t="shared" si="86"/>
        <v>0</v>
      </c>
      <c r="BP147" s="324">
        <f t="shared" si="87"/>
        <v>0</v>
      </c>
      <c r="BQ147" s="324">
        <f t="shared" si="88"/>
        <v>0</v>
      </c>
      <c r="BR147" s="324">
        <f t="shared" si="89"/>
        <v>0</v>
      </c>
      <c r="BS147" s="324">
        <f t="shared" si="90"/>
        <v>0</v>
      </c>
      <c r="BT147" s="332">
        <f t="shared" si="91"/>
        <v>0</v>
      </c>
    </row>
    <row r="148" spans="1:72" ht="14.25">
      <c r="A148" s="297"/>
      <c r="B148" s="323"/>
      <c r="C148" s="323"/>
      <c r="D148" s="2215"/>
      <c r="E148" s="324">
        <f t="shared" si="63"/>
        <v>0</v>
      </c>
      <c r="F148" s="325"/>
      <c r="G148" s="326">
        <f t="shared" si="64"/>
        <v>0</v>
      </c>
      <c r="H148" s="327">
        <f t="shared" si="65"/>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6"/>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67"/>
        <v>0</v>
      </c>
      <c r="AW148" s="2210">
        <f t="shared" si="68"/>
        <v>0</v>
      </c>
      <c r="AX148" s="2210">
        <f t="shared" si="69"/>
        <v>0</v>
      </c>
      <c r="AY148" s="331">
        <f t="shared" si="70"/>
        <v>0</v>
      </c>
      <c r="AZ148" s="324">
        <f t="shared" si="71"/>
        <v>0</v>
      </c>
      <c r="BA148" s="324">
        <f t="shared" si="72"/>
        <v>0</v>
      </c>
      <c r="BB148" s="324">
        <f t="shared" si="73"/>
        <v>0</v>
      </c>
      <c r="BC148" s="324">
        <f t="shared" si="74"/>
        <v>0</v>
      </c>
      <c r="BD148" s="324">
        <f t="shared" si="75"/>
        <v>0</v>
      </c>
      <c r="BE148" s="324">
        <f t="shared" si="76"/>
        <v>0</v>
      </c>
      <c r="BF148" s="324">
        <f t="shared" si="77"/>
        <v>0</v>
      </c>
      <c r="BG148" s="324">
        <f t="shared" si="78"/>
        <v>0</v>
      </c>
      <c r="BH148" s="324">
        <f t="shared" si="79"/>
        <v>0</v>
      </c>
      <c r="BI148" s="324">
        <f t="shared" si="80"/>
        <v>0</v>
      </c>
      <c r="BJ148" s="324">
        <f t="shared" si="81"/>
        <v>0</v>
      </c>
      <c r="BK148" s="324">
        <f t="shared" si="82"/>
        <v>0</v>
      </c>
      <c r="BL148" s="324">
        <f t="shared" si="83"/>
        <v>0</v>
      </c>
      <c r="BM148" s="324">
        <f t="shared" si="84"/>
        <v>0</v>
      </c>
      <c r="BN148" s="324">
        <f t="shared" si="85"/>
        <v>0</v>
      </c>
      <c r="BO148" s="324">
        <f t="shared" si="86"/>
        <v>0</v>
      </c>
      <c r="BP148" s="324">
        <f t="shared" si="87"/>
        <v>0</v>
      </c>
      <c r="BQ148" s="324">
        <f t="shared" si="88"/>
        <v>0</v>
      </c>
      <c r="BR148" s="324">
        <f t="shared" si="89"/>
        <v>0</v>
      </c>
      <c r="BS148" s="324">
        <f t="shared" si="90"/>
        <v>0</v>
      </c>
      <c r="BT148" s="332">
        <f t="shared" si="91"/>
        <v>0</v>
      </c>
    </row>
    <row r="149" spans="1:72" ht="14.25">
      <c r="A149" s="297"/>
      <c r="B149" s="323"/>
      <c r="C149" s="323"/>
      <c r="D149" s="2215"/>
      <c r="E149" s="324">
        <f t="shared" si="63"/>
        <v>0</v>
      </c>
      <c r="F149" s="325"/>
      <c r="G149" s="326">
        <f t="shared" si="64"/>
        <v>0</v>
      </c>
      <c r="H149" s="327">
        <f t="shared" si="65"/>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6"/>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67"/>
        <v>0</v>
      </c>
      <c r="AW149" s="2210">
        <f t="shared" si="68"/>
        <v>0</v>
      </c>
      <c r="AX149" s="2210">
        <f t="shared" si="69"/>
        <v>0</v>
      </c>
      <c r="AY149" s="331">
        <f t="shared" si="70"/>
        <v>0</v>
      </c>
      <c r="AZ149" s="324">
        <f t="shared" si="71"/>
        <v>0</v>
      </c>
      <c r="BA149" s="324">
        <f t="shared" si="72"/>
        <v>0</v>
      </c>
      <c r="BB149" s="324">
        <f t="shared" si="73"/>
        <v>0</v>
      </c>
      <c r="BC149" s="324">
        <f t="shared" si="74"/>
        <v>0</v>
      </c>
      <c r="BD149" s="324">
        <f t="shared" si="75"/>
        <v>0</v>
      </c>
      <c r="BE149" s="324">
        <f t="shared" si="76"/>
        <v>0</v>
      </c>
      <c r="BF149" s="324">
        <f t="shared" si="77"/>
        <v>0</v>
      </c>
      <c r="BG149" s="324">
        <f t="shared" si="78"/>
        <v>0</v>
      </c>
      <c r="BH149" s="324">
        <f t="shared" si="79"/>
        <v>0</v>
      </c>
      <c r="BI149" s="324">
        <f t="shared" si="80"/>
        <v>0</v>
      </c>
      <c r="BJ149" s="324">
        <f t="shared" si="81"/>
        <v>0</v>
      </c>
      <c r="BK149" s="324">
        <f t="shared" si="82"/>
        <v>0</v>
      </c>
      <c r="BL149" s="324">
        <f t="shared" si="83"/>
        <v>0</v>
      </c>
      <c r="BM149" s="324">
        <f t="shared" si="84"/>
        <v>0</v>
      </c>
      <c r="BN149" s="324">
        <f t="shared" si="85"/>
        <v>0</v>
      </c>
      <c r="BO149" s="324">
        <f t="shared" si="86"/>
        <v>0</v>
      </c>
      <c r="BP149" s="324">
        <f t="shared" si="87"/>
        <v>0</v>
      </c>
      <c r="BQ149" s="324">
        <f t="shared" si="88"/>
        <v>0</v>
      </c>
      <c r="BR149" s="324">
        <f t="shared" si="89"/>
        <v>0</v>
      </c>
      <c r="BS149" s="324">
        <f t="shared" si="90"/>
        <v>0</v>
      </c>
      <c r="BT149" s="332">
        <f t="shared" si="91"/>
        <v>0</v>
      </c>
    </row>
    <row r="150" spans="1:72" ht="14.25">
      <c r="A150" s="297"/>
      <c r="B150" s="323"/>
      <c r="C150" s="323"/>
      <c r="D150" s="2215"/>
      <c r="E150" s="324">
        <f t="shared" si="63"/>
        <v>0</v>
      </c>
      <c r="F150" s="325"/>
      <c r="G150" s="326">
        <f t="shared" si="64"/>
        <v>0</v>
      </c>
      <c r="H150" s="327">
        <f t="shared" si="65"/>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6"/>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67"/>
        <v>0</v>
      </c>
      <c r="AW150" s="2210">
        <f t="shared" si="68"/>
        <v>0</v>
      </c>
      <c r="AX150" s="2210">
        <f t="shared" si="69"/>
        <v>0</v>
      </c>
      <c r="AY150" s="331">
        <f t="shared" si="70"/>
        <v>0</v>
      </c>
      <c r="AZ150" s="324">
        <f t="shared" si="71"/>
        <v>0</v>
      </c>
      <c r="BA150" s="324">
        <f t="shared" si="72"/>
        <v>0</v>
      </c>
      <c r="BB150" s="324">
        <f t="shared" si="73"/>
        <v>0</v>
      </c>
      <c r="BC150" s="324">
        <f t="shared" si="74"/>
        <v>0</v>
      </c>
      <c r="BD150" s="324">
        <f t="shared" si="75"/>
        <v>0</v>
      </c>
      <c r="BE150" s="324">
        <f t="shared" si="76"/>
        <v>0</v>
      </c>
      <c r="BF150" s="324">
        <f t="shared" si="77"/>
        <v>0</v>
      </c>
      <c r="BG150" s="324">
        <f t="shared" si="78"/>
        <v>0</v>
      </c>
      <c r="BH150" s="324">
        <f t="shared" si="79"/>
        <v>0</v>
      </c>
      <c r="BI150" s="324">
        <f t="shared" si="80"/>
        <v>0</v>
      </c>
      <c r="BJ150" s="324">
        <f t="shared" si="81"/>
        <v>0</v>
      </c>
      <c r="BK150" s="324">
        <f t="shared" si="82"/>
        <v>0</v>
      </c>
      <c r="BL150" s="324">
        <f t="shared" si="83"/>
        <v>0</v>
      </c>
      <c r="BM150" s="324">
        <f t="shared" si="84"/>
        <v>0</v>
      </c>
      <c r="BN150" s="324">
        <f t="shared" si="85"/>
        <v>0</v>
      </c>
      <c r="BO150" s="324">
        <f t="shared" si="86"/>
        <v>0</v>
      </c>
      <c r="BP150" s="324">
        <f t="shared" si="87"/>
        <v>0</v>
      </c>
      <c r="BQ150" s="324">
        <f t="shared" si="88"/>
        <v>0</v>
      </c>
      <c r="BR150" s="324">
        <f t="shared" si="89"/>
        <v>0</v>
      </c>
      <c r="BS150" s="324">
        <f t="shared" si="90"/>
        <v>0</v>
      </c>
      <c r="BT150" s="332">
        <f t="shared" si="91"/>
        <v>0</v>
      </c>
    </row>
    <row r="151" spans="1:72" ht="14.25">
      <c r="A151" s="297"/>
      <c r="B151" s="323"/>
      <c r="C151" s="323"/>
      <c r="D151" s="2215"/>
      <c r="E151" s="324">
        <f t="shared" si="63"/>
        <v>0</v>
      </c>
      <c r="F151" s="325"/>
      <c r="G151" s="326">
        <f t="shared" si="64"/>
        <v>0</v>
      </c>
      <c r="H151" s="327">
        <f t="shared" si="65"/>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6"/>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67"/>
        <v>0</v>
      </c>
      <c r="AW151" s="2210">
        <f t="shared" si="68"/>
        <v>0</v>
      </c>
      <c r="AX151" s="2210">
        <f t="shared" si="69"/>
        <v>0</v>
      </c>
      <c r="AY151" s="331">
        <f t="shared" si="70"/>
        <v>0</v>
      </c>
      <c r="AZ151" s="324">
        <f t="shared" si="71"/>
        <v>0</v>
      </c>
      <c r="BA151" s="324">
        <f t="shared" si="72"/>
        <v>0</v>
      </c>
      <c r="BB151" s="324">
        <f t="shared" si="73"/>
        <v>0</v>
      </c>
      <c r="BC151" s="324">
        <f t="shared" si="74"/>
        <v>0</v>
      </c>
      <c r="BD151" s="324">
        <f t="shared" si="75"/>
        <v>0</v>
      </c>
      <c r="BE151" s="324">
        <f t="shared" si="76"/>
        <v>0</v>
      </c>
      <c r="BF151" s="324">
        <f t="shared" si="77"/>
        <v>0</v>
      </c>
      <c r="BG151" s="324">
        <f t="shared" si="78"/>
        <v>0</v>
      </c>
      <c r="BH151" s="324">
        <f t="shared" si="79"/>
        <v>0</v>
      </c>
      <c r="BI151" s="324">
        <f t="shared" si="80"/>
        <v>0</v>
      </c>
      <c r="BJ151" s="324">
        <f t="shared" si="81"/>
        <v>0</v>
      </c>
      <c r="BK151" s="324">
        <f t="shared" si="82"/>
        <v>0</v>
      </c>
      <c r="BL151" s="324">
        <f t="shared" si="83"/>
        <v>0</v>
      </c>
      <c r="BM151" s="324">
        <f t="shared" si="84"/>
        <v>0</v>
      </c>
      <c r="BN151" s="324">
        <f t="shared" si="85"/>
        <v>0</v>
      </c>
      <c r="BO151" s="324">
        <f t="shared" si="86"/>
        <v>0</v>
      </c>
      <c r="BP151" s="324">
        <f t="shared" si="87"/>
        <v>0</v>
      </c>
      <c r="BQ151" s="324">
        <f t="shared" si="88"/>
        <v>0</v>
      </c>
      <c r="BR151" s="324">
        <f t="shared" si="89"/>
        <v>0</v>
      </c>
      <c r="BS151" s="324">
        <f t="shared" si="90"/>
        <v>0</v>
      </c>
      <c r="BT151" s="332">
        <f t="shared" si="91"/>
        <v>0</v>
      </c>
    </row>
    <row r="152" spans="1:72" ht="14.25">
      <c r="A152" s="297"/>
      <c r="B152" s="323"/>
      <c r="C152" s="323"/>
      <c r="D152" s="2215"/>
      <c r="E152" s="324">
        <f t="shared" si="63"/>
        <v>0</v>
      </c>
      <c r="F152" s="325"/>
      <c r="G152" s="326">
        <f t="shared" si="64"/>
        <v>0</v>
      </c>
      <c r="H152" s="327">
        <f t="shared" si="65"/>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6"/>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67"/>
        <v>0</v>
      </c>
      <c r="AW152" s="2210">
        <f t="shared" si="68"/>
        <v>0</v>
      </c>
      <c r="AX152" s="2210">
        <f t="shared" si="69"/>
        <v>0</v>
      </c>
      <c r="AY152" s="331">
        <f t="shared" si="70"/>
        <v>0</v>
      </c>
      <c r="AZ152" s="324">
        <f t="shared" si="71"/>
        <v>0</v>
      </c>
      <c r="BA152" s="324">
        <f t="shared" si="72"/>
        <v>0</v>
      </c>
      <c r="BB152" s="324">
        <f t="shared" si="73"/>
        <v>0</v>
      </c>
      <c r="BC152" s="324">
        <f t="shared" si="74"/>
        <v>0</v>
      </c>
      <c r="BD152" s="324">
        <f t="shared" si="75"/>
        <v>0</v>
      </c>
      <c r="BE152" s="324">
        <f t="shared" si="76"/>
        <v>0</v>
      </c>
      <c r="BF152" s="324">
        <f t="shared" si="77"/>
        <v>0</v>
      </c>
      <c r="BG152" s="324">
        <f t="shared" si="78"/>
        <v>0</v>
      </c>
      <c r="BH152" s="324">
        <f t="shared" si="79"/>
        <v>0</v>
      </c>
      <c r="BI152" s="324">
        <f t="shared" si="80"/>
        <v>0</v>
      </c>
      <c r="BJ152" s="324">
        <f t="shared" si="81"/>
        <v>0</v>
      </c>
      <c r="BK152" s="324">
        <f t="shared" si="82"/>
        <v>0</v>
      </c>
      <c r="BL152" s="324">
        <f t="shared" si="83"/>
        <v>0</v>
      </c>
      <c r="BM152" s="324">
        <f t="shared" si="84"/>
        <v>0</v>
      </c>
      <c r="BN152" s="324">
        <f t="shared" si="85"/>
        <v>0</v>
      </c>
      <c r="BO152" s="324">
        <f t="shared" si="86"/>
        <v>0</v>
      </c>
      <c r="BP152" s="324">
        <f t="shared" si="87"/>
        <v>0</v>
      </c>
      <c r="BQ152" s="324">
        <f t="shared" si="88"/>
        <v>0</v>
      </c>
      <c r="BR152" s="324">
        <f t="shared" si="89"/>
        <v>0</v>
      </c>
      <c r="BS152" s="324">
        <f t="shared" si="90"/>
        <v>0</v>
      </c>
      <c r="BT152" s="332">
        <f t="shared" si="91"/>
        <v>0</v>
      </c>
    </row>
    <row r="153" spans="1:72" ht="14.25">
      <c r="A153" s="297"/>
      <c r="B153" s="323"/>
      <c r="C153" s="323"/>
      <c r="D153" s="2215"/>
      <c r="E153" s="324">
        <f t="shared" si="63"/>
        <v>0</v>
      </c>
      <c r="F153" s="325"/>
      <c r="G153" s="326">
        <f t="shared" si="64"/>
        <v>0</v>
      </c>
      <c r="H153" s="327">
        <f t="shared" si="65"/>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6"/>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67"/>
        <v>0</v>
      </c>
      <c r="AW153" s="2210">
        <f t="shared" si="68"/>
        <v>0</v>
      </c>
      <c r="AX153" s="2210">
        <f t="shared" si="69"/>
        <v>0</v>
      </c>
      <c r="AY153" s="331">
        <f t="shared" si="70"/>
        <v>0</v>
      </c>
      <c r="AZ153" s="324">
        <f t="shared" si="71"/>
        <v>0</v>
      </c>
      <c r="BA153" s="324">
        <f t="shared" si="72"/>
        <v>0</v>
      </c>
      <c r="BB153" s="324">
        <f t="shared" si="73"/>
        <v>0</v>
      </c>
      <c r="BC153" s="324">
        <f t="shared" si="74"/>
        <v>0</v>
      </c>
      <c r="BD153" s="324">
        <f t="shared" si="75"/>
        <v>0</v>
      </c>
      <c r="BE153" s="324">
        <f t="shared" si="76"/>
        <v>0</v>
      </c>
      <c r="BF153" s="324">
        <f t="shared" si="77"/>
        <v>0</v>
      </c>
      <c r="BG153" s="324">
        <f t="shared" si="78"/>
        <v>0</v>
      </c>
      <c r="BH153" s="324">
        <f t="shared" si="79"/>
        <v>0</v>
      </c>
      <c r="BI153" s="324">
        <f t="shared" si="80"/>
        <v>0</v>
      </c>
      <c r="BJ153" s="324">
        <f t="shared" si="81"/>
        <v>0</v>
      </c>
      <c r="BK153" s="324">
        <f t="shared" si="82"/>
        <v>0</v>
      </c>
      <c r="BL153" s="324">
        <f t="shared" si="83"/>
        <v>0</v>
      </c>
      <c r="BM153" s="324">
        <f t="shared" si="84"/>
        <v>0</v>
      </c>
      <c r="BN153" s="324">
        <f t="shared" si="85"/>
        <v>0</v>
      </c>
      <c r="BO153" s="324">
        <f t="shared" si="86"/>
        <v>0</v>
      </c>
      <c r="BP153" s="324">
        <f t="shared" si="87"/>
        <v>0</v>
      </c>
      <c r="BQ153" s="324">
        <f t="shared" si="88"/>
        <v>0</v>
      </c>
      <c r="BR153" s="324">
        <f t="shared" si="89"/>
        <v>0</v>
      </c>
      <c r="BS153" s="324">
        <f t="shared" si="90"/>
        <v>0</v>
      </c>
      <c r="BT153" s="332">
        <f t="shared" si="91"/>
        <v>0</v>
      </c>
    </row>
    <row r="154" spans="1:72" ht="14.25">
      <c r="A154" s="297"/>
      <c r="B154" s="323"/>
      <c r="C154" s="323"/>
      <c r="D154" s="2215"/>
      <c r="E154" s="324">
        <f t="shared" si="63"/>
        <v>0</v>
      </c>
      <c r="F154" s="325"/>
      <c r="G154" s="326">
        <f t="shared" si="64"/>
        <v>0</v>
      </c>
      <c r="H154" s="327">
        <f t="shared" si="65"/>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6"/>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67"/>
        <v>0</v>
      </c>
      <c r="AW154" s="2210">
        <f t="shared" si="68"/>
        <v>0</v>
      </c>
      <c r="AX154" s="2210">
        <f t="shared" si="69"/>
        <v>0</v>
      </c>
      <c r="AY154" s="331">
        <f t="shared" si="70"/>
        <v>0</v>
      </c>
      <c r="AZ154" s="324">
        <f t="shared" si="71"/>
        <v>0</v>
      </c>
      <c r="BA154" s="324">
        <f t="shared" si="72"/>
        <v>0</v>
      </c>
      <c r="BB154" s="324">
        <f t="shared" si="73"/>
        <v>0</v>
      </c>
      <c r="BC154" s="324">
        <f t="shared" si="74"/>
        <v>0</v>
      </c>
      <c r="BD154" s="324">
        <f t="shared" si="75"/>
        <v>0</v>
      </c>
      <c r="BE154" s="324">
        <f t="shared" si="76"/>
        <v>0</v>
      </c>
      <c r="BF154" s="324">
        <f t="shared" si="77"/>
        <v>0</v>
      </c>
      <c r="BG154" s="324">
        <f t="shared" si="78"/>
        <v>0</v>
      </c>
      <c r="BH154" s="324">
        <f t="shared" si="79"/>
        <v>0</v>
      </c>
      <c r="BI154" s="324">
        <f t="shared" si="80"/>
        <v>0</v>
      </c>
      <c r="BJ154" s="324">
        <f t="shared" si="81"/>
        <v>0</v>
      </c>
      <c r="BK154" s="324">
        <f t="shared" si="82"/>
        <v>0</v>
      </c>
      <c r="BL154" s="324">
        <f t="shared" si="83"/>
        <v>0</v>
      </c>
      <c r="BM154" s="324">
        <f t="shared" si="84"/>
        <v>0</v>
      </c>
      <c r="BN154" s="324">
        <f t="shared" si="85"/>
        <v>0</v>
      </c>
      <c r="BO154" s="324">
        <f t="shared" si="86"/>
        <v>0</v>
      </c>
      <c r="BP154" s="324">
        <f t="shared" si="87"/>
        <v>0</v>
      </c>
      <c r="BQ154" s="324">
        <f t="shared" si="88"/>
        <v>0</v>
      </c>
      <c r="BR154" s="324">
        <f t="shared" si="89"/>
        <v>0</v>
      </c>
      <c r="BS154" s="324">
        <f t="shared" si="90"/>
        <v>0</v>
      </c>
      <c r="BT154" s="332">
        <f t="shared" si="91"/>
        <v>0</v>
      </c>
    </row>
    <row r="155" spans="1:72" ht="14.25">
      <c r="A155" s="297"/>
      <c r="B155" s="323"/>
      <c r="C155" s="323"/>
      <c r="D155" s="2215"/>
      <c r="E155" s="324">
        <f t="shared" si="63"/>
        <v>0</v>
      </c>
      <c r="F155" s="325"/>
      <c r="G155" s="326">
        <f t="shared" si="64"/>
        <v>0</v>
      </c>
      <c r="H155" s="327">
        <f t="shared" si="65"/>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6"/>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67"/>
        <v>0</v>
      </c>
      <c r="AW155" s="2210">
        <f t="shared" si="68"/>
        <v>0</v>
      </c>
      <c r="AX155" s="2210">
        <f t="shared" si="69"/>
        <v>0</v>
      </c>
      <c r="AY155" s="331">
        <f t="shared" si="70"/>
        <v>0</v>
      </c>
      <c r="AZ155" s="324">
        <f t="shared" si="71"/>
        <v>0</v>
      </c>
      <c r="BA155" s="324">
        <f t="shared" si="72"/>
        <v>0</v>
      </c>
      <c r="BB155" s="324">
        <f t="shared" si="73"/>
        <v>0</v>
      </c>
      <c r="BC155" s="324">
        <f t="shared" si="74"/>
        <v>0</v>
      </c>
      <c r="BD155" s="324">
        <f t="shared" si="75"/>
        <v>0</v>
      </c>
      <c r="BE155" s="324">
        <f t="shared" si="76"/>
        <v>0</v>
      </c>
      <c r="BF155" s="324">
        <f t="shared" si="77"/>
        <v>0</v>
      </c>
      <c r="BG155" s="324">
        <f t="shared" si="78"/>
        <v>0</v>
      </c>
      <c r="BH155" s="324">
        <f t="shared" si="79"/>
        <v>0</v>
      </c>
      <c r="BI155" s="324">
        <f t="shared" si="80"/>
        <v>0</v>
      </c>
      <c r="BJ155" s="324">
        <f t="shared" si="81"/>
        <v>0</v>
      </c>
      <c r="BK155" s="324">
        <f t="shared" si="82"/>
        <v>0</v>
      </c>
      <c r="BL155" s="324">
        <f t="shared" si="83"/>
        <v>0</v>
      </c>
      <c r="BM155" s="324">
        <f t="shared" si="84"/>
        <v>0</v>
      </c>
      <c r="BN155" s="324">
        <f t="shared" si="85"/>
        <v>0</v>
      </c>
      <c r="BO155" s="324">
        <f t="shared" si="86"/>
        <v>0</v>
      </c>
      <c r="BP155" s="324">
        <f t="shared" si="87"/>
        <v>0</v>
      </c>
      <c r="BQ155" s="324">
        <f t="shared" si="88"/>
        <v>0</v>
      </c>
      <c r="BR155" s="324">
        <f t="shared" si="89"/>
        <v>0</v>
      </c>
      <c r="BS155" s="324">
        <f t="shared" si="90"/>
        <v>0</v>
      </c>
      <c r="BT155" s="332">
        <f t="shared" si="91"/>
        <v>0</v>
      </c>
    </row>
    <row r="156" spans="1:72" ht="14.25">
      <c r="A156" s="297"/>
      <c r="B156" s="323"/>
      <c r="C156" s="323"/>
      <c r="D156" s="2215"/>
      <c r="E156" s="324">
        <f t="shared" si="63"/>
        <v>0</v>
      </c>
      <c r="F156" s="325"/>
      <c r="G156" s="326">
        <f t="shared" si="64"/>
        <v>0</v>
      </c>
      <c r="H156" s="327">
        <f t="shared" si="65"/>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6"/>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67"/>
        <v>0</v>
      </c>
      <c r="AW156" s="2210">
        <f t="shared" si="68"/>
        <v>0</v>
      </c>
      <c r="AX156" s="2210">
        <f t="shared" si="69"/>
        <v>0</v>
      </c>
      <c r="AY156" s="331">
        <f t="shared" si="70"/>
        <v>0</v>
      </c>
      <c r="AZ156" s="324">
        <f t="shared" si="71"/>
        <v>0</v>
      </c>
      <c r="BA156" s="324">
        <f t="shared" si="72"/>
        <v>0</v>
      </c>
      <c r="BB156" s="324">
        <f t="shared" si="73"/>
        <v>0</v>
      </c>
      <c r="BC156" s="324">
        <f t="shared" si="74"/>
        <v>0</v>
      </c>
      <c r="BD156" s="324">
        <f t="shared" si="75"/>
        <v>0</v>
      </c>
      <c r="BE156" s="324">
        <f t="shared" si="76"/>
        <v>0</v>
      </c>
      <c r="BF156" s="324">
        <f t="shared" si="77"/>
        <v>0</v>
      </c>
      <c r="BG156" s="324">
        <f t="shared" si="78"/>
        <v>0</v>
      </c>
      <c r="BH156" s="324">
        <f t="shared" si="79"/>
        <v>0</v>
      </c>
      <c r="BI156" s="324">
        <f t="shared" si="80"/>
        <v>0</v>
      </c>
      <c r="BJ156" s="324">
        <f t="shared" si="81"/>
        <v>0</v>
      </c>
      <c r="BK156" s="324">
        <f t="shared" si="82"/>
        <v>0</v>
      </c>
      <c r="BL156" s="324">
        <f t="shared" si="83"/>
        <v>0</v>
      </c>
      <c r="BM156" s="324">
        <f t="shared" si="84"/>
        <v>0</v>
      </c>
      <c r="BN156" s="324">
        <f t="shared" si="85"/>
        <v>0</v>
      </c>
      <c r="BO156" s="324">
        <f t="shared" si="86"/>
        <v>0</v>
      </c>
      <c r="BP156" s="324">
        <f t="shared" si="87"/>
        <v>0</v>
      </c>
      <c r="BQ156" s="324">
        <f t="shared" si="88"/>
        <v>0</v>
      </c>
      <c r="BR156" s="324">
        <f t="shared" si="89"/>
        <v>0</v>
      </c>
      <c r="BS156" s="324">
        <f t="shared" si="90"/>
        <v>0</v>
      </c>
      <c r="BT156" s="332">
        <f t="shared" si="91"/>
        <v>0</v>
      </c>
    </row>
    <row r="157" spans="1:72" ht="14.25">
      <c r="A157" s="297"/>
      <c r="B157" s="323"/>
      <c r="C157" s="323"/>
      <c r="D157" s="2215"/>
      <c r="E157" s="324">
        <f t="shared" si="63"/>
        <v>0</v>
      </c>
      <c r="F157" s="325"/>
      <c r="G157" s="326">
        <f t="shared" si="64"/>
        <v>0</v>
      </c>
      <c r="H157" s="327">
        <f t="shared" si="65"/>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6"/>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67"/>
        <v>0</v>
      </c>
      <c r="AW157" s="2210">
        <f t="shared" si="68"/>
        <v>0</v>
      </c>
      <c r="AX157" s="2210">
        <f t="shared" si="69"/>
        <v>0</v>
      </c>
      <c r="AY157" s="331">
        <f t="shared" si="70"/>
        <v>0</v>
      </c>
      <c r="AZ157" s="324">
        <f t="shared" si="71"/>
        <v>0</v>
      </c>
      <c r="BA157" s="324">
        <f t="shared" si="72"/>
        <v>0</v>
      </c>
      <c r="BB157" s="324">
        <f t="shared" si="73"/>
        <v>0</v>
      </c>
      <c r="BC157" s="324">
        <f t="shared" si="74"/>
        <v>0</v>
      </c>
      <c r="BD157" s="324">
        <f t="shared" si="75"/>
        <v>0</v>
      </c>
      <c r="BE157" s="324">
        <f t="shared" si="76"/>
        <v>0</v>
      </c>
      <c r="BF157" s="324">
        <f t="shared" si="77"/>
        <v>0</v>
      </c>
      <c r="BG157" s="324">
        <f t="shared" si="78"/>
        <v>0</v>
      </c>
      <c r="BH157" s="324">
        <f t="shared" si="79"/>
        <v>0</v>
      </c>
      <c r="BI157" s="324">
        <f t="shared" si="80"/>
        <v>0</v>
      </c>
      <c r="BJ157" s="324">
        <f t="shared" si="81"/>
        <v>0</v>
      </c>
      <c r="BK157" s="324">
        <f t="shared" si="82"/>
        <v>0</v>
      </c>
      <c r="BL157" s="324">
        <f t="shared" si="83"/>
        <v>0</v>
      </c>
      <c r="BM157" s="324">
        <f t="shared" si="84"/>
        <v>0</v>
      </c>
      <c r="BN157" s="324">
        <f t="shared" si="85"/>
        <v>0</v>
      </c>
      <c r="BO157" s="324">
        <f t="shared" si="86"/>
        <v>0</v>
      </c>
      <c r="BP157" s="324">
        <f t="shared" si="87"/>
        <v>0</v>
      </c>
      <c r="BQ157" s="324">
        <f t="shared" si="88"/>
        <v>0</v>
      </c>
      <c r="BR157" s="324">
        <f t="shared" si="89"/>
        <v>0</v>
      </c>
      <c r="BS157" s="324">
        <f t="shared" si="90"/>
        <v>0</v>
      </c>
      <c r="BT157" s="332">
        <f t="shared" si="91"/>
        <v>0</v>
      </c>
    </row>
    <row r="158" spans="1:72" ht="14.25">
      <c r="A158" s="297"/>
      <c r="B158" s="323"/>
      <c r="C158" s="323"/>
      <c r="D158" s="2215"/>
      <c r="E158" s="324">
        <f t="shared" si="63"/>
        <v>0</v>
      </c>
      <c r="F158" s="325"/>
      <c r="G158" s="326">
        <f t="shared" si="64"/>
        <v>0</v>
      </c>
      <c r="H158" s="327">
        <f t="shared" si="65"/>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6"/>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67"/>
        <v>0</v>
      </c>
      <c r="AW158" s="2210">
        <f t="shared" si="68"/>
        <v>0</v>
      </c>
      <c r="AX158" s="2210">
        <f t="shared" si="69"/>
        <v>0</v>
      </c>
      <c r="AY158" s="331">
        <f t="shared" si="70"/>
        <v>0</v>
      </c>
      <c r="AZ158" s="324">
        <f t="shared" si="71"/>
        <v>0</v>
      </c>
      <c r="BA158" s="324">
        <f t="shared" si="72"/>
        <v>0</v>
      </c>
      <c r="BB158" s="324">
        <f t="shared" si="73"/>
        <v>0</v>
      </c>
      <c r="BC158" s="324">
        <f t="shared" si="74"/>
        <v>0</v>
      </c>
      <c r="BD158" s="324">
        <f t="shared" si="75"/>
        <v>0</v>
      </c>
      <c r="BE158" s="324">
        <f t="shared" si="76"/>
        <v>0</v>
      </c>
      <c r="BF158" s="324">
        <f t="shared" si="77"/>
        <v>0</v>
      </c>
      <c r="BG158" s="324">
        <f t="shared" si="78"/>
        <v>0</v>
      </c>
      <c r="BH158" s="324">
        <f t="shared" si="79"/>
        <v>0</v>
      </c>
      <c r="BI158" s="324">
        <f t="shared" si="80"/>
        <v>0</v>
      </c>
      <c r="BJ158" s="324">
        <f t="shared" si="81"/>
        <v>0</v>
      </c>
      <c r="BK158" s="324">
        <f t="shared" si="82"/>
        <v>0</v>
      </c>
      <c r="BL158" s="324">
        <f t="shared" si="83"/>
        <v>0</v>
      </c>
      <c r="BM158" s="324">
        <f t="shared" si="84"/>
        <v>0</v>
      </c>
      <c r="BN158" s="324">
        <f t="shared" si="85"/>
        <v>0</v>
      </c>
      <c r="BO158" s="324">
        <f t="shared" si="86"/>
        <v>0</v>
      </c>
      <c r="BP158" s="324">
        <f t="shared" si="87"/>
        <v>0</v>
      </c>
      <c r="BQ158" s="324">
        <f t="shared" si="88"/>
        <v>0</v>
      </c>
      <c r="BR158" s="324">
        <f t="shared" si="89"/>
        <v>0</v>
      </c>
      <c r="BS158" s="324">
        <f t="shared" si="90"/>
        <v>0</v>
      </c>
      <c r="BT158" s="332">
        <f t="shared" si="91"/>
        <v>0</v>
      </c>
    </row>
    <row r="159" spans="1:72" ht="14.25">
      <c r="A159" s="297"/>
      <c r="B159" s="323"/>
      <c r="C159" s="323"/>
      <c r="D159" s="2215"/>
      <c r="E159" s="324">
        <f t="shared" si="63"/>
        <v>0</v>
      </c>
      <c r="F159" s="325"/>
      <c r="G159" s="326">
        <f t="shared" si="64"/>
        <v>0</v>
      </c>
      <c r="H159" s="327">
        <f t="shared" si="65"/>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6"/>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67"/>
        <v>0</v>
      </c>
      <c r="AW159" s="2210">
        <f t="shared" si="68"/>
        <v>0</v>
      </c>
      <c r="AX159" s="2210">
        <f t="shared" si="69"/>
        <v>0</v>
      </c>
      <c r="AY159" s="331">
        <f t="shared" si="70"/>
        <v>0</v>
      </c>
      <c r="AZ159" s="324">
        <f t="shared" si="71"/>
        <v>0</v>
      </c>
      <c r="BA159" s="324">
        <f t="shared" si="72"/>
        <v>0</v>
      </c>
      <c r="BB159" s="324">
        <f t="shared" si="73"/>
        <v>0</v>
      </c>
      <c r="BC159" s="324">
        <f t="shared" si="74"/>
        <v>0</v>
      </c>
      <c r="BD159" s="324">
        <f t="shared" si="75"/>
        <v>0</v>
      </c>
      <c r="BE159" s="324">
        <f t="shared" si="76"/>
        <v>0</v>
      </c>
      <c r="BF159" s="324">
        <f t="shared" si="77"/>
        <v>0</v>
      </c>
      <c r="BG159" s="324">
        <f t="shared" si="78"/>
        <v>0</v>
      </c>
      <c r="BH159" s="324">
        <f t="shared" si="79"/>
        <v>0</v>
      </c>
      <c r="BI159" s="324">
        <f t="shared" si="80"/>
        <v>0</v>
      </c>
      <c r="BJ159" s="324">
        <f t="shared" si="81"/>
        <v>0</v>
      </c>
      <c r="BK159" s="324">
        <f t="shared" si="82"/>
        <v>0</v>
      </c>
      <c r="BL159" s="324">
        <f t="shared" si="83"/>
        <v>0</v>
      </c>
      <c r="BM159" s="324">
        <f t="shared" si="84"/>
        <v>0</v>
      </c>
      <c r="BN159" s="324">
        <f t="shared" si="85"/>
        <v>0</v>
      </c>
      <c r="BO159" s="324">
        <f t="shared" si="86"/>
        <v>0</v>
      </c>
      <c r="BP159" s="324">
        <f t="shared" si="87"/>
        <v>0</v>
      </c>
      <c r="BQ159" s="324">
        <f t="shared" si="88"/>
        <v>0</v>
      </c>
      <c r="BR159" s="324">
        <f t="shared" si="89"/>
        <v>0</v>
      </c>
      <c r="BS159" s="324">
        <f t="shared" si="90"/>
        <v>0</v>
      </c>
      <c r="BT159" s="332">
        <f t="shared" si="91"/>
        <v>0</v>
      </c>
    </row>
    <row r="160" spans="1:72" ht="14.25">
      <c r="A160" s="297"/>
      <c r="B160" s="323"/>
      <c r="C160" s="323"/>
      <c r="D160" s="2215"/>
      <c r="E160" s="324">
        <f t="shared" si="63"/>
        <v>0</v>
      </c>
      <c r="F160" s="325"/>
      <c r="G160" s="326">
        <f t="shared" si="64"/>
        <v>0</v>
      </c>
      <c r="H160" s="327">
        <f t="shared" si="65"/>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6"/>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67"/>
        <v>0</v>
      </c>
      <c r="AW160" s="2210">
        <f t="shared" si="68"/>
        <v>0</v>
      </c>
      <c r="AX160" s="2210">
        <f t="shared" si="69"/>
        <v>0</v>
      </c>
      <c r="AY160" s="331">
        <f t="shared" si="70"/>
        <v>0</v>
      </c>
      <c r="AZ160" s="324">
        <f t="shared" si="71"/>
        <v>0</v>
      </c>
      <c r="BA160" s="324">
        <f t="shared" si="72"/>
        <v>0</v>
      </c>
      <c r="BB160" s="324">
        <f t="shared" si="73"/>
        <v>0</v>
      </c>
      <c r="BC160" s="324">
        <f t="shared" si="74"/>
        <v>0</v>
      </c>
      <c r="BD160" s="324">
        <f t="shared" si="75"/>
        <v>0</v>
      </c>
      <c r="BE160" s="324">
        <f t="shared" si="76"/>
        <v>0</v>
      </c>
      <c r="BF160" s="324">
        <f t="shared" si="77"/>
        <v>0</v>
      </c>
      <c r="BG160" s="324">
        <f t="shared" si="78"/>
        <v>0</v>
      </c>
      <c r="BH160" s="324">
        <f t="shared" si="79"/>
        <v>0</v>
      </c>
      <c r="BI160" s="324">
        <f t="shared" si="80"/>
        <v>0</v>
      </c>
      <c r="BJ160" s="324">
        <f t="shared" si="81"/>
        <v>0</v>
      </c>
      <c r="BK160" s="324">
        <f t="shared" si="82"/>
        <v>0</v>
      </c>
      <c r="BL160" s="324">
        <f t="shared" si="83"/>
        <v>0</v>
      </c>
      <c r="BM160" s="324">
        <f t="shared" si="84"/>
        <v>0</v>
      </c>
      <c r="BN160" s="324">
        <f t="shared" si="85"/>
        <v>0</v>
      </c>
      <c r="BO160" s="324">
        <f t="shared" si="86"/>
        <v>0</v>
      </c>
      <c r="BP160" s="324">
        <f t="shared" si="87"/>
        <v>0</v>
      </c>
      <c r="BQ160" s="324">
        <f t="shared" si="88"/>
        <v>0</v>
      </c>
      <c r="BR160" s="324">
        <f t="shared" si="89"/>
        <v>0</v>
      </c>
      <c r="BS160" s="324">
        <f t="shared" si="90"/>
        <v>0</v>
      </c>
      <c r="BT160" s="332">
        <f t="shared" si="91"/>
        <v>0</v>
      </c>
    </row>
    <row r="161" spans="1:72" ht="14.25">
      <c r="A161" s="297"/>
      <c r="B161" s="323"/>
      <c r="C161" s="323"/>
      <c r="D161" s="2215"/>
      <c r="E161" s="324">
        <f t="shared" si="63"/>
        <v>0</v>
      </c>
      <c r="F161" s="325"/>
      <c r="G161" s="326">
        <f t="shared" si="64"/>
        <v>0</v>
      </c>
      <c r="H161" s="327">
        <f t="shared" si="65"/>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6"/>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67"/>
        <v>0</v>
      </c>
      <c r="AW161" s="2210">
        <f t="shared" si="68"/>
        <v>0</v>
      </c>
      <c r="AX161" s="2210">
        <f t="shared" si="69"/>
        <v>0</v>
      </c>
      <c r="AY161" s="331">
        <f t="shared" si="70"/>
        <v>0</v>
      </c>
      <c r="AZ161" s="324">
        <f t="shared" si="71"/>
        <v>0</v>
      </c>
      <c r="BA161" s="324">
        <f t="shared" si="72"/>
        <v>0</v>
      </c>
      <c r="BB161" s="324">
        <f t="shared" si="73"/>
        <v>0</v>
      </c>
      <c r="BC161" s="324">
        <f t="shared" si="74"/>
        <v>0</v>
      </c>
      <c r="BD161" s="324">
        <f t="shared" si="75"/>
        <v>0</v>
      </c>
      <c r="BE161" s="324">
        <f t="shared" si="76"/>
        <v>0</v>
      </c>
      <c r="BF161" s="324">
        <f t="shared" si="77"/>
        <v>0</v>
      </c>
      <c r="BG161" s="324">
        <f t="shared" si="78"/>
        <v>0</v>
      </c>
      <c r="BH161" s="324">
        <f t="shared" si="79"/>
        <v>0</v>
      </c>
      <c r="BI161" s="324">
        <f t="shared" si="80"/>
        <v>0</v>
      </c>
      <c r="BJ161" s="324">
        <f t="shared" si="81"/>
        <v>0</v>
      </c>
      <c r="BK161" s="324">
        <f t="shared" si="82"/>
        <v>0</v>
      </c>
      <c r="BL161" s="324">
        <f t="shared" si="83"/>
        <v>0</v>
      </c>
      <c r="BM161" s="324">
        <f t="shared" si="84"/>
        <v>0</v>
      </c>
      <c r="BN161" s="324">
        <f t="shared" si="85"/>
        <v>0</v>
      </c>
      <c r="BO161" s="324">
        <f t="shared" si="86"/>
        <v>0</v>
      </c>
      <c r="BP161" s="324">
        <f t="shared" si="87"/>
        <v>0</v>
      </c>
      <c r="BQ161" s="324">
        <f t="shared" si="88"/>
        <v>0</v>
      </c>
      <c r="BR161" s="324">
        <f t="shared" si="89"/>
        <v>0</v>
      </c>
      <c r="BS161" s="324">
        <f t="shared" si="90"/>
        <v>0</v>
      </c>
      <c r="BT161" s="332">
        <f t="shared" si="91"/>
        <v>0</v>
      </c>
    </row>
    <row r="162" spans="1:72" ht="14.25">
      <c r="A162" s="297"/>
      <c r="B162" s="323"/>
      <c r="C162" s="323"/>
      <c r="D162" s="2215"/>
      <c r="E162" s="324">
        <f t="shared" si="63"/>
        <v>0</v>
      </c>
      <c r="F162" s="325"/>
      <c r="G162" s="326">
        <f t="shared" si="64"/>
        <v>0</v>
      </c>
      <c r="H162" s="327">
        <f t="shared" si="65"/>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6"/>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67"/>
        <v>0</v>
      </c>
      <c r="AW162" s="2210">
        <f t="shared" si="68"/>
        <v>0</v>
      </c>
      <c r="AX162" s="2210">
        <f t="shared" si="69"/>
        <v>0</v>
      </c>
      <c r="AY162" s="331">
        <f t="shared" si="70"/>
        <v>0</v>
      </c>
      <c r="AZ162" s="324">
        <f t="shared" si="71"/>
        <v>0</v>
      </c>
      <c r="BA162" s="324">
        <f t="shared" si="72"/>
        <v>0</v>
      </c>
      <c r="BB162" s="324">
        <f t="shared" si="73"/>
        <v>0</v>
      </c>
      <c r="BC162" s="324">
        <f t="shared" si="74"/>
        <v>0</v>
      </c>
      <c r="BD162" s="324">
        <f t="shared" si="75"/>
        <v>0</v>
      </c>
      <c r="BE162" s="324">
        <f t="shared" si="76"/>
        <v>0</v>
      </c>
      <c r="BF162" s="324">
        <f t="shared" si="77"/>
        <v>0</v>
      </c>
      <c r="BG162" s="324">
        <f t="shared" si="78"/>
        <v>0</v>
      </c>
      <c r="BH162" s="324">
        <f t="shared" si="79"/>
        <v>0</v>
      </c>
      <c r="BI162" s="324">
        <f t="shared" si="80"/>
        <v>0</v>
      </c>
      <c r="BJ162" s="324">
        <f t="shared" si="81"/>
        <v>0</v>
      </c>
      <c r="BK162" s="324">
        <f t="shared" si="82"/>
        <v>0</v>
      </c>
      <c r="BL162" s="324">
        <f t="shared" si="83"/>
        <v>0</v>
      </c>
      <c r="BM162" s="324">
        <f t="shared" si="84"/>
        <v>0</v>
      </c>
      <c r="BN162" s="324">
        <f t="shared" si="85"/>
        <v>0</v>
      </c>
      <c r="BO162" s="324">
        <f t="shared" si="86"/>
        <v>0</v>
      </c>
      <c r="BP162" s="324">
        <f t="shared" si="87"/>
        <v>0</v>
      </c>
      <c r="BQ162" s="324">
        <f t="shared" si="88"/>
        <v>0</v>
      </c>
      <c r="BR162" s="324">
        <f t="shared" si="89"/>
        <v>0</v>
      </c>
      <c r="BS162" s="324">
        <f t="shared" si="90"/>
        <v>0</v>
      </c>
      <c r="BT162" s="332">
        <f t="shared" si="91"/>
        <v>0</v>
      </c>
    </row>
    <row r="163" spans="1:72" ht="14.25">
      <c r="A163" s="297"/>
      <c r="B163" s="323"/>
      <c r="C163" s="323"/>
      <c r="D163" s="2215"/>
      <c r="E163" s="324">
        <f t="shared" si="63"/>
        <v>0</v>
      </c>
      <c r="F163" s="325"/>
      <c r="G163" s="326">
        <f t="shared" si="64"/>
        <v>0</v>
      </c>
      <c r="H163" s="327">
        <f t="shared" si="65"/>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6"/>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67"/>
        <v>0</v>
      </c>
      <c r="AW163" s="2210">
        <f t="shared" si="68"/>
        <v>0</v>
      </c>
      <c r="AX163" s="2210">
        <f t="shared" si="69"/>
        <v>0</v>
      </c>
      <c r="AY163" s="331">
        <f t="shared" si="70"/>
        <v>0</v>
      </c>
      <c r="AZ163" s="324">
        <f t="shared" si="71"/>
        <v>0</v>
      </c>
      <c r="BA163" s="324">
        <f t="shared" si="72"/>
        <v>0</v>
      </c>
      <c r="BB163" s="324">
        <f t="shared" si="73"/>
        <v>0</v>
      </c>
      <c r="BC163" s="324">
        <f t="shared" si="74"/>
        <v>0</v>
      </c>
      <c r="BD163" s="324">
        <f t="shared" si="75"/>
        <v>0</v>
      </c>
      <c r="BE163" s="324">
        <f t="shared" si="76"/>
        <v>0</v>
      </c>
      <c r="BF163" s="324">
        <f t="shared" si="77"/>
        <v>0</v>
      </c>
      <c r="BG163" s="324">
        <f t="shared" si="78"/>
        <v>0</v>
      </c>
      <c r="BH163" s="324">
        <f t="shared" si="79"/>
        <v>0</v>
      </c>
      <c r="BI163" s="324">
        <f t="shared" si="80"/>
        <v>0</v>
      </c>
      <c r="BJ163" s="324">
        <f t="shared" si="81"/>
        <v>0</v>
      </c>
      <c r="BK163" s="324">
        <f t="shared" si="82"/>
        <v>0</v>
      </c>
      <c r="BL163" s="324">
        <f t="shared" si="83"/>
        <v>0</v>
      </c>
      <c r="BM163" s="324">
        <f t="shared" si="84"/>
        <v>0</v>
      </c>
      <c r="BN163" s="324">
        <f t="shared" si="85"/>
        <v>0</v>
      </c>
      <c r="BO163" s="324">
        <f t="shared" si="86"/>
        <v>0</v>
      </c>
      <c r="BP163" s="324">
        <f t="shared" si="87"/>
        <v>0</v>
      </c>
      <c r="BQ163" s="324">
        <f t="shared" si="88"/>
        <v>0</v>
      </c>
      <c r="BR163" s="324">
        <f t="shared" si="89"/>
        <v>0</v>
      </c>
      <c r="BS163" s="324">
        <f t="shared" si="90"/>
        <v>0</v>
      </c>
      <c r="BT163" s="332">
        <f t="shared" si="91"/>
        <v>0</v>
      </c>
    </row>
    <row r="164" spans="1:72" ht="14.25">
      <c r="A164" s="297"/>
      <c r="B164" s="323"/>
      <c r="C164" s="323"/>
      <c r="D164" s="2215"/>
      <c r="E164" s="324">
        <f t="shared" si="63"/>
        <v>0</v>
      </c>
      <c r="F164" s="325"/>
      <c r="G164" s="326">
        <f t="shared" si="64"/>
        <v>0</v>
      </c>
      <c r="H164" s="327">
        <f t="shared" si="65"/>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6"/>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67"/>
        <v>0</v>
      </c>
      <c r="AW164" s="2210">
        <f t="shared" si="68"/>
        <v>0</v>
      </c>
      <c r="AX164" s="2210">
        <f t="shared" si="69"/>
        <v>0</v>
      </c>
      <c r="AY164" s="331">
        <f t="shared" si="70"/>
        <v>0</v>
      </c>
      <c r="AZ164" s="324">
        <f t="shared" si="71"/>
        <v>0</v>
      </c>
      <c r="BA164" s="324">
        <f t="shared" si="72"/>
        <v>0</v>
      </c>
      <c r="BB164" s="324">
        <f t="shared" si="73"/>
        <v>0</v>
      </c>
      <c r="BC164" s="324">
        <f t="shared" si="74"/>
        <v>0</v>
      </c>
      <c r="BD164" s="324">
        <f t="shared" si="75"/>
        <v>0</v>
      </c>
      <c r="BE164" s="324">
        <f t="shared" si="76"/>
        <v>0</v>
      </c>
      <c r="BF164" s="324">
        <f t="shared" si="77"/>
        <v>0</v>
      </c>
      <c r="BG164" s="324">
        <f t="shared" si="78"/>
        <v>0</v>
      </c>
      <c r="BH164" s="324">
        <f t="shared" si="79"/>
        <v>0</v>
      </c>
      <c r="BI164" s="324">
        <f t="shared" si="80"/>
        <v>0</v>
      </c>
      <c r="BJ164" s="324">
        <f t="shared" si="81"/>
        <v>0</v>
      </c>
      <c r="BK164" s="324">
        <f t="shared" si="82"/>
        <v>0</v>
      </c>
      <c r="BL164" s="324">
        <f t="shared" si="83"/>
        <v>0</v>
      </c>
      <c r="BM164" s="324">
        <f t="shared" si="84"/>
        <v>0</v>
      </c>
      <c r="BN164" s="324">
        <f t="shared" si="85"/>
        <v>0</v>
      </c>
      <c r="BO164" s="324">
        <f t="shared" si="86"/>
        <v>0</v>
      </c>
      <c r="BP164" s="324">
        <f t="shared" si="87"/>
        <v>0</v>
      </c>
      <c r="BQ164" s="324">
        <f t="shared" si="88"/>
        <v>0</v>
      </c>
      <c r="BR164" s="324">
        <f t="shared" si="89"/>
        <v>0</v>
      </c>
      <c r="BS164" s="324">
        <f t="shared" si="90"/>
        <v>0</v>
      </c>
      <c r="BT164" s="332">
        <f t="shared" si="91"/>
        <v>0</v>
      </c>
    </row>
    <row r="165" spans="1:72" ht="14.25">
      <c r="A165" s="297"/>
      <c r="B165" s="323"/>
      <c r="C165" s="323"/>
      <c r="D165" s="2215"/>
      <c r="E165" s="324">
        <f t="shared" si="63"/>
        <v>0</v>
      </c>
      <c r="F165" s="325"/>
      <c r="G165" s="326">
        <f t="shared" si="64"/>
        <v>0</v>
      </c>
      <c r="H165" s="327">
        <f t="shared" si="65"/>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6"/>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67"/>
        <v>0</v>
      </c>
      <c r="AW165" s="2210">
        <f t="shared" si="68"/>
        <v>0</v>
      </c>
      <c r="AX165" s="2210">
        <f t="shared" si="69"/>
        <v>0</v>
      </c>
      <c r="AY165" s="331">
        <f t="shared" si="70"/>
        <v>0</v>
      </c>
      <c r="AZ165" s="324">
        <f t="shared" si="71"/>
        <v>0</v>
      </c>
      <c r="BA165" s="324">
        <f t="shared" si="72"/>
        <v>0</v>
      </c>
      <c r="BB165" s="324">
        <f t="shared" si="73"/>
        <v>0</v>
      </c>
      <c r="BC165" s="324">
        <f t="shared" si="74"/>
        <v>0</v>
      </c>
      <c r="BD165" s="324">
        <f t="shared" si="75"/>
        <v>0</v>
      </c>
      <c r="BE165" s="324">
        <f t="shared" si="76"/>
        <v>0</v>
      </c>
      <c r="BF165" s="324">
        <f t="shared" si="77"/>
        <v>0</v>
      </c>
      <c r="BG165" s="324">
        <f t="shared" si="78"/>
        <v>0</v>
      </c>
      <c r="BH165" s="324">
        <f t="shared" si="79"/>
        <v>0</v>
      </c>
      <c r="BI165" s="324">
        <f t="shared" si="80"/>
        <v>0</v>
      </c>
      <c r="BJ165" s="324">
        <f t="shared" si="81"/>
        <v>0</v>
      </c>
      <c r="BK165" s="324">
        <f t="shared" si="82"/>
        <v>0</v>
      </c>
      <c r="BL165" s="324">
        <f t="shared" si="83"/>
        <v>0</v>
      </c>
      <c r="BM165" s="324">
        <f t="shared" si="84"/>
        <v>0</v>
      </c>
      <c r="BN165" s="324">
        <f t="shared" si="85"/>
        <v>0</v>
      </c>
      <c r="BO165" s="324">
        <f t="shared" si="86"/>
        <v>0</v>
      </c>
      <c r="BP165" s="324">
        <f t="shared" si="87"/>
        <v>0</v>
      </c>
      <c r="BQ165" s="324">
        <f t="shared" si="88"/>
        <v>0</v>
      </c>
      <c r="BR165" s="324">
        <f t="shared" si="89"/>
        <v>0</v>
      </c>
      <c r="BS165" s="324">
        <f t="shared" si="90"/>
        <v>0</v>
      </c>
      <c r="BT165" s="332">
        <f t="shared" si="91"/>
        <v>0</v>
      </c>
    </row>
    <row r="166" spans="1:72" ht="14.25">
      <c r="A166" s="297"/>
      <c r="B166" s="323"/>
      <c r="C166" s="323"/>
      <c r="D166" s="2215"/>
      <c r="E166" s="324">
        <f t="shared" si="63"/>
        <v>0</v>
      </c>
      <c r="F166" s="325"/>
      <c r="G166" s="326">
        <f t="shared" si="64"/>
        <v>0</v>
      </c>
      <c r="H166" s="327">
        <f t="shared" si="65"/>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6"/>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67"/>
        <v>0</v>
      </c>
      <c r="AW166" s="2210">
        <f t="shared" si="68"/>
        <v>0</v>
      </c>
      <c r="AX166" s="2210">
        <f t="shared" si="69"/>
        <v>0</v>
      </c>
      <c r="AY166" s="331">
        <f t="shared" si="70"/>
        <v>0</v>
      </c>
      <c r="AZ166" s="324">
        <f t="shared" si="71"/>
        <v>0</v>
      </c>
      <c r="BA166" s="324">
        <f t="shared" si="72"/>
        <v>0</v>
      </c>
      <c r="BB166" s="324">
        <f t="shared" si="73"/>
        <v>0</v>
      </c>
      <c r="BC166" s="324">
        <f t="shared" si="74"/>
        <v>0</v>
      </c>
      <c r="BD166" s="324">
        <f t="shared" si="75"/>
        <v>0</v>
      </c>
      <c r="BE166" s="324">
        <f t="shared" si="76"/>
        <v>0</v>
      </c>
      <c r="BF166" s="324">
        <f t="shared" si="77"/>
        <v>0</v>
      </c>
      <c r="BG166" s="324">
        <f t="shared" si="78"/>
        <v>0</v>
      </c>
      <c r="BH166" s="324">
        <f t="shared" si="79"/>
        <v>0</v>
      </c>
      <c r="BI166" s="324">
        <f t="shared" si="80"/>
        <v>0</v>
      </c>
      <c r="BJ166" s="324">
        <f t="shared" si="81"/>
        <v>0</v>
      </c>
      <c r="BK166" s="324">
        <f t="shared" si="82"/>
        <v>0</v>
      </c>
      <c r="BL166" s="324">
        <f t="shared" si="83"/>
        <v>0</v>
      </c>
      <c r="BM166" s="324">
        <f t="shared" si="84"/>
        <v>0</v>
      </c>
      <c r="BN166" s="324">
        <f t="shared" si="85"/>
        <v>0</v>
      </c>
      <c r="BO166" s="324">
        <f t="shared" si="86"/>
        <v>0</v>
      </c>
      <c r="BP166" s="324">
        <f t="shared" si="87"/>
        <v>0</v>
      </c>
      <c r="BQ166" s="324">
        <f t="shared" si="88"/>
        <v>0</v>
      </c>
      <c r="BR166" s="324">
        <f t="shared" si="89"/>
        <v>0</v>
      </c>
      <c r="BS166" s="324">
        <f t="shared" si="90"/>
        <v>0</v>
      </c>
      <c r="BT166" s="332">
        <f t="shared" si="91"/>
        <v>0</v>
      </c>
    </row>
    <row r="167" spans="1:72" ht="14.25">
      <c r="A167" s="297"/>
      <c r="B167" s="323"/>
      <c r="C167" s="323"/>
      <c r="D167" s="2215"/>
      <c r="E167" s="324">
        <f t="shared" si="63"/>
        <v>0</v>
      </c>
      <c r="F167" s="325"/>
      <c r="G167" s="326">
        <f t="shared" si="64"/>
        <v>0</v>
      </c>
      <c r="H167" s="327">
        <f t="shared" si="65"/>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6"/>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67"/>
        <v>0</v>
      </c>
      <c r="AW167" s="2210">
        <f t="shared" si="68"/>
        <v>0</v>
      </c>
      <c r="AX167" s="2210">
        <f t="shared" si="69"/>
        <v>0</v>
      </c>
      <c r="AY167" s="331">
        <f t="shared" si="70"/>
        <v>0</v>
      </c>
      <c r="AZ167" s="324">
        <f t="shared" si="71"/>
        <v>0</v>
      </c>
      <c r="BA167" s="324">
        <f t="shared" si="72"/>
        <v>0</v>
      </c>
      <c r="BB167" s="324">
        <f t="shared" si="73"/>
        <v>0</v>
      </c>
      <c r="BC167" s="324">
        <f t="shared" si="74"/>
        <v>0</v>
      </c>
      <c r="BD167" s="324">
        <f t="shared" si="75"/>
        <v>0</v>
      </c>
      <c r="BE167" s="324">
        <f t="shared" si="76"/>
        <v>0</v>
      </c>
      <c r="BF167" s="324">
        <f t="shared" si="77"/>
        <v>0</v>
      </c>
      <c r="BG167" s="324">
        <f t="shared" si="78"/>
        <v>0</v>
      </c>
      <c r="BH167" s="324">
        <f t="shared" si="79"/>
        <v>0</v>
      </c>
      <c r="BI167" s="324">
        <f t="shared" si="80"/>
        <v>0</v>
      </c>
      <c r="BJ167" s="324">
        <f t="shared" si="81"/>
        <v>0</v>
      </c>
      <c r="BK167" s="324">
        <f t="shared" si="82"/>
        <v>0</v>
      </c>
      <c r="BL167" s="324">
        <f t="shared" si="83"/>
        <v>0</v>
      </c>
      <c r="BM167" s="324">
        <f t="shared" si="84"/>
        <v>0</v>
      </c>
      <c r="BN167" s="324">
        <f t="shared" si="85"/>
        <v>0</v>
      </c>
      <c r="BO167" s="324">
        <f t="shared" si="86"/>
        <v>0</v>
      </c>
      <c r="BP167" s="324">
        <f t="shared" si="87"/>
        <v>0</v>
      </c>
      <c r="BQ167" s="324">
        <f t="shared" si="88"/>
        <v>0</v>
      </c>
      <c r="BR167" s="324">
        <f t="shared" si="89"/>
        <v>0</v>
      </c>
      <c r="BS167" s="324">
        <f t="shared" si="90"/>
        <v>0</v>
      </c>
      <c r="BT167" s="332">
        <f t="shared" si="91"/>
        <v>0</v>
      </c>
    </row>
    <row r="168" spans="1:72" ht="14.25">
      <c r="A168" s="297"/>
      <c r="B168" s="323"/>
      <c r="C168" s="323"/>
      <c r="D168" s="2215"/>
      <c r="E168" s="324">
        <f t="shared" si="63"/>
        <v>0</v>
      </c>
      <c r="F168" s="325"/>
      <c r="G168" s="326">
        <f t="shared" si="64"/>
        <v>0</v>
      </c>
      <c r="H168" s="327">
        <f t="shared" si="65"/>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6"/>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67"/>
        <v>0</v>
      </c>
      <c r="AW168" s="2210">
        <f t="shared" si="68"/>
        <v>0</v>
      </c>
      <c r="AX168" s="2210">
        <f t="shared" si="69"/>
        <v>0</v>
      </c>
      <c r="AY168" s="331">
        <f t="shared" si="70"/>
        <v>0</v>
      </c>
      <c r="AZ168" s="324">
        <f t="shared" si="71"/>
        <v>0</v>
      </c>
      <c r="BA168" s="324">
        <f t="shared" si="72"/>
        <v>0</v>
      </c>
      <c r="BB168" s="324">
        <f t="shared" si="73"/>
        <v>0</v>
      </c>
      <c r="BC168" s="324">
        <f t="shared" si="74"/>
        <v>0</v>
      </c>
      <c r="BD168" s="324">
        <f t="shared" si="75"/>
        <v>0</v>
      </c>
      <c r="BE168" s="324">
        <f t="shared" si="76"/>
        <v>0</v>
      </c>
      <c r="BF168" s="324">
        <f t="shared" si="77"/>
        <v>0</v>
      </c>
      <c r="BG168" s="324">
        <f t="shared" si="78"/>
        <v>0</v>
      </c>
      <c r="BH168" s="324">
        <f t="shared" si="79"/>
        <v>0</v>
      </c>
      <c r="BI168" s="324">
        <f t="shared" si="80"/>
        <v>0</v>
      </c>
      <c r="BJ168" s="324">
        <f t="shared" si="81"/>
        <v>0</v>
      </c>
      <c r="BK168" s="324">
        <f t="shared" si="82"/>
        <v>0</v>
      </c>
      <c r="BL168" s="324">
        <f t="shared" si="83"/>
        <v>0</v>
      </c>
      <c r="BM168" s="324">
        <f t="shared" si="84"/>
        <v>0</v>
      </c>
      <c r="BN168" s="324">
        <f t="shared" si="85"/>
        <v>0</v>
      </c>
      <c r="BO168" s="324">
        <f t="shared" si="86"/>
        <v>0</v>
      </c>
      <c r="BP168" s="324">
        <f t="shared" si="87"/>
        <v>0</v>
      </c>
      <c r="BQ168" s="324">
        <f t="shared" si="88"/>
        <v>0</v>
      </c>
      <c r="BR168" s="324">
        <f t="shared" si="89"/>
        <v>0</v>
      </c>
      <c r="BS168" s="324">
        <f t="shared" si="90"/>
        <v>0</v>
      </c>
      <c r="BT168" s="332">
        <f t="shared" si="91"/>
        <v>0</v>
      </c>
    </row>
    <row r="169" spans="1:72" ht="14.25">
      <c r="A169" s="297"/>
      <c r="B169" s="323"/>
      <c r="C169" s="323"/>
      <c r="D169" s="2215"/>
      <c r="E169" s="324">
        <f t="shared" si="63"/>
        <v>0</v>
      </c>
      <c r="F169" s="325"/>
      <c r="G169" s="326">
        <f t="shared" si="64"/>
        <v>0</v>
      </c>
      <c r="H169" s="327">
        <f t="shared" si="65"/>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6"/>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67"/>
        <v>0</v>
      </c>
      <c r="AW169" s="2210">
        <f t="shared" si="68"/>
        <v>0</v>
      </c>
      <c r="AX169" s="2210">
        <f t="shared" si="69"/>
        <v>0</v>
      </c>
      <c r="AY169" s="331">
        <f t="shared" si="70"/>
        <v>0</v>
      </c>
      <c r="AZ169" s="324">
        <f t="shared" si="71"/>
        <v>0</v>
      </c>
      <c r="BA169" s="324">
        <f t="shared" si="72"/>
        <v>0</v>
      </c>
      <c r="BB169" s="324">
        <f t="shared" si="73"/>
        <v>0</v>
      </c>
      <c r="BC169" s="324">
        <f t="shared" si="74"/>
        <v>0</v>
      </c>
      <c r="BD169" s="324">
        <f t="shared" si="75"/>
        <v>0</v>
      </c>
      <c r="BE169" s="324">
        <f t="shared" si="76"/>
        <v>0</v>
      </c>
      <c r="BF169" s="324">
        <f t="shared" si="77"/>
        <v>0</v>
      </c>
      <c r="BG169" s="324">
        <f t="shared" si="78"/>
        <v>0</v>
      </c>
      <c r="BH169" s="324">
        <f t="shared" si="79"/>
        <v>0</v>
      </c>
      <c r="BI169" s="324">
        <f t="shared" si="80"/>
        <v>0</v>
      </c>
      <c r="BJ169" s="324">
        <f t="shared" si="81"/>
        <v>0</v>
      </c>
      <c r="BK169" s="324">
        <f t="shared" si="82"/>
        <v>0</v>
      </c>
      <c r="BL169" s="324">
        <f t="shared" si="83"/>
        <v>0</v>
      </c>
      <c r="BM169" s="324">
        <f t="shared" si="84"/>
        <v>0</v>
      </c>
      <c r="BN169" s="324">
        <f t="shared" si="85"/>
        <v>0</v>
      </c>
      <c r="BO169" s="324">
        <f t="shared" si="86"/>
        <v>0</v>
      </c>
      <c r="BP169" s="324">
        <f t="shared" si="87"/>
        <v>0</v>
      </c>
      <c r="BQ169" s="324">
        <f t="shared" si="88"/>
        <v>0</v>
      </c>
      <c r="BR169" s="324">
        <f t="shared" si="89"/>
        <v>0</v>
      </c>
      <c r="BS169" s="324">
        <f t="shared" si="90"/>
        <v>0</v>
      </c>
      <c r="BT169" s="332">
        <f t="shared" si="91"/>
        <v>0</v>
      </c>
    </row>
    <row r="170" spans="1:72" ht="14.25">
      <c r="A170" s="297"/>
      <c r="B170" s="323"/>
      <c r="C170" s="323"/>
      <c r="D170" s="2215"/>
      <c r="E170" s="324">
        <f t="shared" si="63"/>
        <v>0</v>
      </c>
      <c r="F170" s="325"/>
      <c r="G170" s="326">
        <f t="shared" si="64"/>
        <v>0</v>
      </c>
      <c r="H170" s="327">
        <f t="shared" si="65"/>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6"/>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67"/>
        <v>0</v>
      </c>
      <c r="AW170" s="2210">
        <f t="shared" si="68"/>
        <v>0</v>
      </c>
      <c r="AX170" s="2210">
        <f t="shared" si="69"/>
        <v>0</v>
      </c>
      <c r="AY170" s="331">
        <f t="shared" si="70"/>
        <v>0</v>
      </c>
      <c r="AZ170" s="324">
        <f t="shared" si="71"/>
        <v>0</v>
      </c>
      <c r="BA170" s="324">
        <f t="shared" si="72"/>
        <v>0</v>
      </c>
      <c r="BB170" s="324">
        <f t="shared" si="73"/>
        <v>0</v>
      </c>
      <c r="BC170" s="324">
        <f t="shared" si="74"/>
        <v>0</v>
      </c>
      <c r="BD170" s="324">
        <f t="shared" si="75"/>
        <v>0</v>
      </c>
      <c r="BE170" s="324">
        <f t="shared" si="76"/>
        <v>0</v>
      </c>
      <c r="BF170" s="324">
        <f t="shared" si="77"/>
        <v>0</v>
      </c>
      <c r="BG170" s="324">
        <f t="shared" si="78"/>
        <v>0</v>
      </c>
      <c r="BH170" s="324">
        <f t="shared" si="79"/>
        <v>0</v>
      </c>
      <c r="BI170" s="324">
        <f t="shared" si="80"/>
        <v>0</v>
      </c>
      <c r="BJ170" s="324">
        <f t="shared" si="81"/>
        <v>0</v>
      </c>
      <c r="BK170" s="324">
        <f t="shared" si="82"/>
        <v>0</v>
      </c>
      <c r="BL170" s="324">
        <f t="shared" si="83"/>
        <v>0</v>
      </c>
      <c r="BM170" s="324">
        <f t="shared" si="84"/>
        <v>0</v>
      </c>
      <c r="BN170" s="324">
        <f t="shared" si="85"/>
        <v>0</v>
      </c>
      <c r="BO170" s="324">
        <f t="shared" si="86"/>
        <v>0</v>
      </c>
      <c r="BP170" s="324">
        <f t="shared" si="87"/>
        <v>0</v>
      </c>
      <c r="BQ170" s="324">
        <f t="shared" si="88"/>
        <v>0</v>
      </c>
      <c r="BR170" s="324">
        <f t="shared" si="89"/>
        <v>0</v>
      </c>
      <c r="BS170" s="324">
        <f t="shared" si="90"/>
        <v>0</v>
      </c>
      <c r="BT170" s="332">
        <f t="shared" si="91"/>
        <v>0</v>
      </c>
    </row>
    <row r="171" spans="1:72" ht="14.25">
      <c r="A171" s="297"/>
      <c r="B171" s="323"/>
      <c r="C171" s="323"/>
      <c r="D171" s="2215"/>
      <c r="E171" s="324">
        <f t="shared" si="63"/>
        <v>0</v>
      </c>
      <c r="F171" s="325"/>
      <c r="G171" s="326">
        <f t="shared" si="64"/>
        <v>0</v>
      </c>
      <c r="H171" s="327">
        <f t="shared" si="65"/>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6"/>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67"/>
        <v>0</v>
      </c>
      <c r="AW171" s="2210">
        <f t="shared" si="68"/>
        <v>0</v>
      </c>
      <c r="AX171" s="2210">
        <f t="shared" si="69"/>
        <v>0</v>
      </c>
      <c r="AY171" s="331">
        <f t="shared" si="70"/>
        <v>0</v>
      </c>
      <c r="AZ171" s="324">
        <f t="shared" si="71"/>
        <v>0</v>
      </c>
      <c r="BA171" s="324">
        <f t="shared" si="72"/>
        <v>0</v>
      </c>
      <c r="BB171" s="324">
        <f t="shared" si="73"/>
        <v>0</v>
      </c>
      <c r="BC171" s="324">
        <f t="shared" si="74"/>
        <v>0</v>
      </c>
      <c r="BD171" s="324">
        <f t="shared" si="75"/>
        <v>0</v>
      </c>
      <c r="BE171" s="324">
        <f t="shared" si="76"/>
        <v>0</v>
      </c>
      <c r="BF171" s="324">
        <f t="shared" si="77"/>
        <v>0</v>
      </c>
      <c r="BG171" s="324">
        <f t="shared" si="78"/>
        <v>0</v>
      </c>
      <c r="BH171" s="324">
        <f t="shared" si="79"/>
        <v>0</v>
      </c>
      <c r="BI171" s="324">
        <f t="shared" si="80"/>
        <v>0</v>
      </c>
      <c r="BJ171" s="324">
        <f t="shared" si="81"/>
        <v>0</v>
      </c>
      <c r="BK171" s="324">
        <f t="shared" si="82"/>
        <v>0</v>
      </c>
      <c r="BL171" s="324">
        <f t="shared" si="83"/>
        <v>0</v>
      </c>
      <c r="BM171" s="324">
        <f t="shared" si="84"/>
        <v>0</v>
      </c>
      <c r="BN171" s="324">
        <f t="shared" si="85"/>
        <v>0</v>
      </c>
      <c r="BO171" s="324">
        <f t="shared" si="86"/>
        <v>0</v>
      </c>
      <c r="BP171" s="324">
        <f t="shared" si="87"/>
        <v>0</v>
      </c>
      <c r="BQ171" s="324">
        <f t="shared" si="88"/>
        <v>0</v>
      </c>
      <c r="BR171" s="324">
        <f t="shared" si="89"/>
        <v>0</v>
      </c>
      <c r="BS171" s="324">
        <f t="shared" si="90"/>
        <v>0</v>
      </c>
      <c r="BT171" s="332">
        <f t="shared" si="91"/>
        <v>0</v>
      </c>
    </row>
    <row r="172" spans="1:72" ht="14.25">
      <c r="A172" s="297"/>
      <c r="B172" s="323"/>
      <c r="C172" s="323"/>
      <c r="D172" s="2215"/>
      <c r="E172" s="324">
        <f t="shared" si="63"/>
        <v>0</v>
      </c>
      <c r="F172" s="325"/>
      <c r="G172" s="326">
        <f t="shared" si="64"/>
        <v>0</v>
      </c>
      <c r="H172" s="327">
        <f t="shared" si="65"/>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6"/>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67"/>
        <v>0</v>
      </c>
      <c r="AW172" s="2210">
        <f t="shared" si="68"/>
        <v>0</v>
      </c>
      <c r="AX172" s="2210">
        <f t="shared" si="69"/>
        <v>0</v>
      </c>
      <c r="AY172" s="331">
        <f t="shared" si="70"/>
        <v>0</v>
      </c>
      <c r="AZ172" s="324">
        <f t="shared" si="71"/>
        <v>0</v>
      </c>
      <c r="BA172" s="324">
        <f t="shared" si="72"/>
        <v>0</v>
      </c>
      <c r="BB172" s="324">
        <f t="shared" si="73"/>
        <v>0</v>
      </c>
      <c r="BC172" s="324">
        <f t="shared" si="74"/>
        <v>0</v>
      </c>
      <c r="BD172" s="324">
        <f t="shared" si="75"/>
        <v>0</v>
      </c>
      <c r="BE172" s="324">
        <f t="shared" si="76"/>
        <v>0</v>
      </c>
      <c r="BF172" s="324">
        <f t="shared" si="77"/>
        <v>0</v>
      </c>
      <c r="BG172" s="324">
        <f t="shared" si="78"/>
        <v>0</v>
      </c>
      <c r="BH172" s="324">
        <f t="shared" si="79"/>
        <v>0</v>
      </c>
      <c r="BI172" s="324">
        <f t="shared" si="80"/>
        <v>0</v>
      </c>
      <c r="BJ172" s="324">
        <f t="shared" si="81"/>
        <v>0</v>
      </c>
      <c r="BK172" s="324">
        <f t="shared" si="82"/>
        <v>0</v>
      </c>
      <c r="BL172" s="324">
        <f t="shared" si="83"/>
        <v>0</v>
      </c>
      <c r="BM172" s="324">
        <f t="shared" si="84"/>
        <v>0</v>
      </c>
      <c r="BN172" s="324">
        <f t="shared" si="85"/>
        <v>0</v>
      </c>
      <c r="BO172" s="324">
        <f t="shared" si="86"/>
        <v>0</v>
      </c>
      <c r="BP172" s="324">
        <f t="shared" si="87"/>
        <v>0</v>
      </c>
      <c r="BQ172" s="324">
        <f t="shared" si="88"/>
        <v>0</v>
      </c>
      <c r="BR172" s="324">
        <f t="shared" si="89"/>
        <v>0</v>
      </c>
      <c r="BS172" s="324">
        <f t="shared" si="90"/>
        <v>0</v>
      </c>
      <c r="BT172" s="332">
        <f t="shared" si="91"/>
        <v>0</v>
      </c>
    </row>
    <row r="173" spans="1:72" ht="14.25">
      <c r="A173" s="297"/>
      <c r="B173" s="323"/>
      <c r="C173" s="323"/>
      <c r="D173" s="2215"/>
      <c r="E173" s="324">
        <f t="shared" si="63"/>
        <v>0</v>
      </c>
      <c r="F173" s="325"/>
      <c r="G173" s="326">
        <f t="shared" si="64"/>
        <v>0</v>
      </c>
      <c r="H173" s="327">
        <f t="shared" si="65"/>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6"/>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67"/>
        <v>0</v>
      </c>
      <c r="AW173" s="2210">
        <f t="shared" si="68"/>
        <v>0</v>
      </c>
      <c r="AX173" s="2210">
        <f t="shared" si="69"/>
        <v>0</v>
      </c>
      <c r="AY173" s="331">
        <f t="shared" si="70"/>
        <v>0</v>
      </c>
      <c r="AZ173" s="324">
        <f t="shared" si="71"/>
        <v>0</v>
      </c>
      <c r="BA173" s="324">
        <f t="shared" si="72"/>
        <v>0</v>
      </c>
      <c r="BB173" s="324">
        <f t="shared" si="73"/>
        <v>0</v>
      </c>
      <c r="BC173" s="324">
        <f t="shared" si="74"/>
        <v>0</v>
      </c>
      <c r="BD173" s="324">
        <f t="shared" si="75"/>
        <v>0</v>
      </c>
      <c r="BE173" s="324">
        <f t="shared" si="76"/>
        <v>0</v>
      </c>
      <c r="BF173" s="324">
        <f t="shared" si="77"/>
        <v>0</v>
      </c>
      <c r="BG173" s="324">
        <f t="shared" si="78"/>
        <v>0</v>
      </c>
      <c r="BH173" s="324">
        <f t="shared" si="79"/>
        <v>0</v>
      </c>
      <c r="BI173" s="324">
        <f t="shared" si="80"/>
        <v>0</v>
      </c>
      <c r="BJ173" s="324">
        <f t="shared" si="81"/>
        <v>0</v>
      </c>
      <c r="BK173" s="324">
        <f t="shared" si="82"/>
        <v>0</v>
      </c>
      <c r="BL173" s="324">
        <f t="shared" si="83"/>
        <v>0</v>
      </c>
      <c r="BM173" s="324">
        <f t="shared" si="84"/>
        <v>0</v>
      </c>
      <c r="BN173" s="324">
        <f t="shared" si="85"/>
        <v>0</v>
      </c>
      <c r="BO173" s="324">
        <f t="shared" si="86"/>
        <v>0</v>
      </c>
      <c r="BP173" s="324">
        <f t="shared" si="87"/>
        <v>0</v>
      </c>
      <c r="BQ173" s="324">
        <f t="shared" si="88"/>
        <v>0</v>
      </c>
      <c r="BR173" s="324">
        <f t="shared" si="89"/>
        <v>0</v>
      </c>
      <c r="BS173" s="324">
        <f t="shared" si="90"/>
        <v>0</v>
      </c>
      <c r="BT173" s="332">
        <f t="shared" si="91"/>
        <v>0</v>
      </c>
    </row>
    <row r="174" spans="1:72" ht="14.25">
      <c r="A174" s="297"/>
      <c r="B174" s="323"/>
      <c r="C174" s="323"/>
      <c r="D174" s="2215"/>
      <c r="E174" s="324">
        <f t="shared" si="63"/>
        <v>0</v>
      </c>
      <c r="F174" s="325"/>
      <c r="G174" s="326">
        <f t="shared" si="64"/>
        <v>0</v>
      </c>
      <c r="H174" s="327">
        <f t="shared" si="65"/>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si="66"/>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67"/>
        <v>0</v>
      </c>
      <c r="AW174" s="2210">
        <f t="shared" si="68"/>
        <v>0</v>
      </c>
      <c r="AX174" s="2210">
        <f t="shared" si="69"/>
        <v>0</v>
      </c>
      <c r="AY174" s="331">
        <f t="shared" si="70"/>
        <v>0</v>
      </c>
      <c r="AZ174" s="324">
        <f t="shared" si="71"/>
        <v>0</v>
      </c>
      <c r="BA174" s="324">
        <f t="shared" si="72"/>
        <v>0</v>
      </c>
      <c r="BB174" s="324">
        <f t="shared" si="73"/>
        <v>0</v>
      </c>
      <c r="BC174" s="324">
        <f t="shared" si="74"/>
        <v>0</v>
      </c>
      <c r="BD174" s="324">
        <f t="shared" si="75"/>
        <v>0</v>
      </c>
      <c r="BE174" s="324">
        <f t="shared" si="76"/>
        <v>0</v>
      </c>
      <c r="BF174" s="324">
        <f t="shared" si="77"/>
        <v>0</v>
      </c>
      <c r="BG174" s="324">
        <f t="shared" si="78"/>
        <v>0</v>
      </c>
      <c r="BH174" s="324">
        <f t="shared" si="79"/>
        <v>0</v>
      </c>
      <c r="BI174" s="324">
        <f t="shared" si="80"/>
        <v>0</v>
      </c>
      <c r="BJ174" s="324">
        <f t="shared" si="81"/>
        <v>0</v>
      </c>
      <c r="BK174" s="324">
        <f t="shared" si="82"/>
        <v>0</v>
      </c>
      <c r="BL174" s="324">
        <f t="shared" si="83"/>
        <v>0</v>
      </c>
      <c r="BM174" s="324">
        <f t="shared" si="84"/>
        <v>0</v>
      </c>
      <c r="BN174" s="324">
        <f t="shared" si="85"/>
        <v>0</v>
      </c>
      <c r="BO174" s="324">
        <f t="shared" si="86"/>
        <v>0</v>
      </c>
      <c r="BP174" s="324">
        <f t="shared" si="87"/>
        <v>0</v>
      </c>
      <c r="BQ174" s="324">
        <f t="shared" si="88"/>
        <v>0</v>
      </c>
      <c r="BR174" s="324">
        <f t="shared" si="89"/>
        <v>0</v>
      </c>
      <c r="BS174" s="324">
        <f t="shared" si="90"/>
        <v>0</v>
      </c>
      <c r="BT174" s="332">
        <f t="shared" si="91"/>
        <v>0</v>
      </c>
    </row>
    <row r="175" spans="1:72" ht="14.25">
      <c r="A175" s="297"/>
      <c r="B175" s="323"/>
      <c r="C175" s="323"/>
      <c r="D175" s="2215"/>
      <c r="E175" s="324">
        <f t="shared" si="63"/>
        <v>0</v>
      </c>
      <c r="F175" s="325"/>
      <c r="G175" s="326">
        <f t="shared" si="64"/>
        <v>0</v>
      </c>
      <c r="H175" s="327">
        <f t="shared" si="6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6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67"/>
        <v>0</v>
      </c>
      <c r="AW175" s="2210">
        <f t="shared" si="68"/>
        <v>0</v>
      </c>
      <c r="AX175" s="2210">
        <f t="shared" si="69"/>
        <v>0</v>
      </c>
      <c r="AY175" s="331">
        <f t="shared" si="70"/>
        <v>0</v>
      </c>
      <c r="AZ175" s="324">
        <f t="shared" si="71"/>
        <v>0</v>
      </c>
      <c r="BA175" s="324">
        <f t="shared" si="72"/>
        <v>0</v>
      </c>
      <c r="BB175" s="324">
        <f t="shared" si="73"/>
        <v>0</v>
      </c>
      <c r="BC175" s="324">
        <f t="shared" si="74"/>
        <v>0</v>
      </c>
      <c r="BD175" s="324">
        <f t="shared" si="75"/>
        <v>0</v>
      </c>
      <c r="BE175" s="324">
        <f t="shared" si="76"/>
        <v>0</v>
      </c>
      <c r="BF175" s="324">
        <f t="shared" si="77"/>
        <v>0</v>
      </c>
      <c r="BG175" s="324">
        <f t="shared" si="78"/>
        <v>0</v>
      </c>
      <c r="BH175" s="324">
        <f t="shared" si="79"/>
        <v>0</v>
      </c>
      <c r="BI175" s="324">
        <f t="shared" si="80"/>
        <v>0</v>
      </c>
      <c r="BJ175" s="324">
        <f t="shared" si="81"/>
        <v>0</v>
      </c>
      <c r="BK175" s="324">
        <f t="shared" si="82"/>
        <v>0</v>
      </c>
      <c r="BL175" s="324">
        <f t="shared" si="83"/>
        <v>0</v>
      </c>
      <c r="BM175" s="324">
        <f t="shared" si="84"/>
        <v>0</v>
      </c>
      <c r="BN175" s="324">
        <f t="shared" si="85"/>
        <v>0</v>
      </c>
      <c r="BO175" s="324">
        <f t="shared" si="86"/>
        <v>0</v>
      </c>
      <c r="BP175" s="324">
        <f t="shared" si="87"/>
        <v>0</v>
      </c>
      <c r="BQ175" s="324">
        <f t="shared" si="88"/>
        <v>0</v>
      </c>
      <c r="BR175" s="324">
        <f t="shared" si="89"/>
        <v>0</v>
      </c>
      <c r="BS175" s="324">
        <f t="shared" si="90"/>
        <v>0</v>
      </c>
      <c r="BT175" s="332">
        <f t="shared" si="91"/>
        <v>0</v>
      </c>
    </row>
    <row r="176" spans="1:72" ht="14.25">
      <c r="A176" s="297"/>
      <c r="B176" s="323"/>
      <c r="C176" s="323"/>
      <c r="D176" s="2215"/>
      <c r="E176" s="324">
        <f t="shared" si="63"/>
        <v>0</v>
      </c>
      <c r="F176" s="325"/>
      <c r="G176" s="326">
        <f t="shared" si="64"/>
        <v>0</v>
      </c>
      <c r="H176" s="327">
        <f t="shared" si="6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6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67"/>
        <v>0</v>
      </c>
      <c r="AW176" s="2210">
        <f t="shared" si="68"/>
        <v>0</v>
      </c>
      <c r="AX176" s="2210">
        <f t="shared" si="69"/>
        <v>0</v>
      </c>
      <c r="AY176" s="331">
        <f t="shared" si="70"/>
        <v>0</v>
      </c>
      <c r="AZ176" s="324">
        <f t="shared" si="71"/>
        <v>0</v>
      </c>
      <c r="BA176" s="324">
        <f t="shared" si="72"/>
        <v>0</v>
      </c>
      <c r="BB176" s="324">
        <f t="shared" si="73"/>
        <v>0</v>
      </c>
      <c r="BC176" s="324">
        <f t="shared" si="74"/>
        <v>0</v>
      </c>
      <c r="BD176" s="324">
        <f t="shared" si="75"/>
        <v>0</v>
      </c>
      <c r="BE176" s="324">
        <f t="shared" si="76"/>
        <v>0</v>
      </c>
      <c r="BF176" s="324">
        <f t="shared" si="77"/>
        <v>0</v>
      </c>
      <c r="BG176" s="324">
        <f t="shared" si="78"/>
        <v>0</v>
      </c>
      <c r="BH176" s="324">
        <f t="shared" si="79"/>
        <v>0</v>
      </c>
      <c r="BI176" s="324">
        <f t="shared" si="80"/>
        <v>0</v>
      </c>
      <c r="BJ176" s="324">
        <f t="shared" si="81"/>
        <v>0</v>
      </c>
      <c r="BK176" s="324">
        <f t="shared" si="82"/>
        <v>0</v>
      </c>
      <c r="BL176" s="324">
        <f t="shared" si="83"/>
        <v>0</v>
      </c>
      <c r="BM176" s="324">
        <f t="shared" si="84"/>
        <v>0</v>
      </c>
      <c r="BN176" s="324">
        <f t="shared" si="85"/>
        <v>0</v>
      </c>
      <c r="BO176" s="324">
        <f t="shared" si="86"/>
        <v>0</v>
      </c>
      <c r="BP176" s="324">
        <f t="shared" si="87"/>
        <v>0</v>
      </c>
      <c r="BQ176" s="324">
        <f t="shared" si="88"/>
        <v>0</v>
      </c>
      <c r="BR176" s="324">
        <f t="shared" si="89"/>
        <v>0</v>
      </c>
      <c r="BS176" s="324">
        <f t="shared" si="90"/>
        <v>0</v>
      </c>
      <c r="BT176" s="332">
        <f t="shared" si="91"/>
        <v>0</v>
      </c>
    </row>
    <row r="177" spans="1:72" ht="14.25">
      <c r="A177" s="297"/>
      <c r="B177" s="323"/>
      <c r="C177" s="323"/>
      <c r="D177" s="2215"/>
      <c r="E177" s="324">
        <f t="shared" si="63"/>
        <v>0</v>
      </c>
      <c r="F177" s="325"/>
      <c r="G177" s="326">
        <f t="shared" si="64"/>
        <v>0</v>
      </c>
      <c r="H177" s="327">
        <f t="shared" si="6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6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si="67"/>
        <v>0</v>
      </c>
      <c r="AW177" s="2210">
        <f t="shared" si="68"/>
        <v>0</v>
      </c>
      <c r="AX177" s="2210">
        <f t="shared" si="69"/>
        <v>0</v>
      </c>
      <c r="AY177" s="331">
        <f t="shared" si="70"/>
        <v>0</v>
      </c>
      <c r="AZ177" s="324">
        <f t="shared" si="71"/>
        <v>0</v>
      </c>
      <c r="BA177" s="324">
        <f t="shared" si="72"/>
        <v>0</v>
      </c>
      <c r="BB177" s="324">
        <f t="shared" si="73"/>
        <v>0</v>
      </c>
      <c r="BC177" s="324">
        <f t="shared" si="74"/>
        <v>0</v>
      </c>
      <c r="BD177" s="324">
        <f t="shared" si="75"/>
        <v>0</v>
      </c>
      <c r="BE177" s="324">
        <f t="shared" si="76"/>
        <v>0</v>
      </c>
      <c r="BF177" s="324">
        <f t="shared" si="77"/>
        <v>0</v>
      </c>
      <c r="BG177" s="324">
        <f t="shared" si="78"/>
        <v>0</v>
      </c>
      <c r="BH177" s="324">
        <f t="shared" si="79"/>
        <v>0</v>
      </c>
      <c r="BI177" s="324">
        <f t="shared" si="80"/>
        <v>0</v>
      </c>
      <c r="BJ177" s="324">
        <f t="shared" si="81"/>
        <v>0</v>
      </c>
      <c r="BK177" s="324">
        <f t="shared" si="82"/>
        <v>0</v>
      </c>
      <c r="BL177" s="324">
        <f t="shared" si="83"/>
        <v>0</v>
      </c>
      <c r="BM177" s="324">
        <f t="shared" si="84"/>
        <v>0</v>
      </c>
      <c r="BN177" s="324">
        <f t="shared" si="85"/>
        <v>0</v>
      </c>
      <c r="BO177" s="324">
        <f t="shared" si="86"/>
        <v>0</v>
      </c>
      <c r="BP177" s="324">
        <f t="shared" si="87"/>
        <v>0</v>
      </c>
      <c r="BQ177" s="324">
        <f t="shared" si="88"/>
        <v>0</v>
      </c>
      <c r="BR177" s="324">
        <f t="shared" si="89"/>
        <v>0</v>
      </c>
      <c r="BS177" s="324">
        <f t="shared" si="90"/>
        <v>0</v>
      </c>
      <c r="BT177" s="332">
        <f t="shared" si="91"/>
        <v>0</v>
      </c>
    </row>
    <row r="178" spans="1:72" ht="14.25">
      <c r="A178" s="297"/>
      <c r="B178" s="323"/>
      <c r="C178" s="323"/>
      <c r="D178" s="2215"/>
      <c r="E178" s="324">
        <f t="shared" si="63"/>
        <v>0</v>
      </c>
      <c r="F178" s="325"/>
      <c r="G178" s="326">
        <f t="shared" si="64"/>
        <v>0</v>
      </c>
      <c r="H178" s="327">
        <f t="shared" si="6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6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67"/>
        <v>0</v>
      </c>
      <c r="AW178" s="2210">
        <f t="shared" si="68"/>
        <v>0</v>
      </c>
      <c r="AX178" s="2210">
        <f t="shared" si="69"/>
        <v>0</v>
      </c>
      <c r="AY178" s="331">
        <f t="shared" si="70"/>
        <v>0</v>
      </c>
      <c r="AZ178" s="324">
        <f t="shared" si="71"/>
        <v>0</v>
      </c>
      <c r="BA178" s="324">
        <f t="shared" si="72"/>
        <v>0</v>
      </c>
      <c r="BB178" s="324">
        <f t="shared" si="73"/>
        <v>0</v>
      </c>
      <c r="BC178" s="324">
        <f t="shared" si="74"/>
        <v>0</v>
      </c>
      <c r="BD178" s="324">
        <f t="shared" si="75"/>
        <v>0</v>
      </c>
      <c r="BE178" s="324">
        <f t="shared" si="76"/>
        <v>0</v>
      </c>
      <c r="BF178" s="324">
        <f t="shared" si="77"/>
        <v>0</v>
      </c>
      <c r="BG178" s="324">
        <f t="shared" si="78"/>
        <v>0</v>
      </c>
      <c r="BH178" s="324">
        <f t="shared" si="79"/>
        <v>0</v>
      </c>
      <c r="BI178" s="324">
        <f t="shared" si="80"/>
        <v>0</v>
      </c>
      <c r="BJ178" s="324">
        <f t="shared" si="81"/>
        <v>0</v>
      </c>
      <c r="BK178" s="324">
        <f t="shared" si="82"/>
        <v>0</v>
      </c>
      <c r="BL178" s="324">
        <f t="shared" si="83"/>
        <v>0</v>
      </c>
      <c r="BM178" s="324">
        <f t="shared" si="84"/>
        <v>0</v>
      </c>
      <c r="BN178" s="324">
        <f t="shared" si="85"/>
        <v>0</v>
      </c>
      <c r="BO178" s="324">
        <f t="shared" si="86"/>
        <v>0</v>
      </c>
      <c r="BP178" s="324">
        <f t="shared" si="87"/>
        <v>0</v>
      </c>
      <c r="BQ178" s="324">
        <f t="shared" si="88"/>
        <v>0</v>
      </c>
      <c r="BR178" s="324">
        <f t="shared" si="89"/>
        <v>0</v>
      </c>
      <c r="BS178" s="324">
        <f t="shared" si="90"/>
        <v>0</v>
      </c>
      <c r="BT178" s="332">
        <f t="shared" si="91"/>
        <v>0</v>
      </c>
    </row>
    <row r="179" spans="1:72" ht="14.25">
      <c r="A179" s="297"/>
      <c r="B179" s="323"/>
      <c r="C179" s="323"/>
      <c r="D179" s="2215"/>
      <c r="E179" s="324">
        <f t="shared" si="63"/>
        <v>0</v>
      </c>
      <c r="F179" s="325"/>
      <c r="G179" s="326">
        <f t="shared" si="64"/>
        <v>0</v>
      </c>
      <c r="H179" s="327">
        <f t="shared" si="6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6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67"/>
        <v>0</v>
      </c>
      <c r="AW179" s="2210">
        <f t="shared" si="68"/>
        <v>0</v>
      </c>
      <c r="AX179" s="2210">
        <f t="shared" si="69"/>
        <v>0</v>
      </c>
      <c r="AY179" s="331">
        <f t="shared" si="70"/>
        <v>0</v>
      </c>
      <c r="AZ179" s="324">
        <f t="shared" si="71"/>
        <v>0</v>
      </c>
      <c r="BA179" s="324">
        <f t="shared" si="72"/>
        <v>0</v>
      </c>
      <c r="BB179" s="324">
        <f t="shared" si="73"/>
        <v>0</v>
      </c>
      <c r="BC179" s="324">
        <f t="shared" si="74"/>
        <v>0</v>
      </c>
      <c r="BD179" s="324">
        <f t="shared" si="75"/>
        <v>0</v>
      </c>
      <c r="BE179" s="324">
        <f t="shared" si="76"/>
        <v>0</v>
      </c>
      <c r="BF179" s="324">
        <f t="shared" si="77"/>
        <v>0</v>
      </c>
      <c r="BG179" s="324">
        <f t="shared" si="78"/>
        <v>0</v>
      </c>
      <c r="BH179" s="324">
        <f t="shared" si="79"/>
        <v>0</v>
      </c>
      <c r="BI179" s="324">
        <f t="shared" si="80"/>
        <v>0</v>
      </c>
      <c r="BJ179" s="324">
        <f t="shared" si="81"/>
        <v>0</v>
      </c>
      <c r="BK179" s="324">
        <f t="shared" si="82"/>
        <v>0</v>
      </c>
      <c r="BL179" s="324">
        <f t="shared" si="83"/>
        <v>0</v>
      </c>
      <c r="BM179" s="324">
        <f t="shared" si="84"/>
        <v>0</v>
      </c>
      <c r="BN179" s="324">
        <f t="shared" si="85"/>
        <v>0</v>
      </c>
      <c r="BO179" s="324">
        <f t="shared" si="86"/>
        <v>0</v>
      </c>
      <c r="BP179" s="324">
        <f t="shared" si="87"/>
        <v>0</v>
      </c>
      <c r="BQ179" s="324">
        <f t="shared" si="88"/>
        <v>0</v>
      </c>
      <c r="BR179" s="324">
        <f t="shared" si="89"/>
        <v>0</v>
      </c>
      <c r="BS179" s="324">
        <f t="shared" si="90"/>
        <v>0</v>
      </c>
      <c r="BT179" s="332">
        <f t="shared" si="91"/>
        <v>0</v>
      </c>
    </row>
    <row r="180" spans="1:72" ht="14.25">
      <c r="A180" s="297"/>
      <c r="B180" s="323"/>
      <c r="C180" s="323"/>
      <c r="D180" s="2215"/>
      <c r="E180" s="324">
        <f t="shared" si="63"/>
        <v>0</v>
      </c>
      <c r="F180" s="325"/>
      <c r="G180" s="326">
        <f t="shared" si="64"/>
        <v>0</v>
      </c>
      <c r="H180" s="327">
        <f t="shared" si="6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6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67"/>
        <v>0</v>
      </c>
      <c r="AW180" s="2210">
        <f t="shared" si="68"/>
        <v>0</v>
      </c>
      <c r="AX180" s="2210">
        <f t="shared" si="69"/>
        <v>0</v>
      </c>
      <c r="AY180" s="331">
        <f t="shared" si="70"/>
        <v>0</v>
      </c>
      <c r="AZ180" s="324">
        <f t="shared" si="71"/>
        <v>0</v>
      </c>
      <c r="BA180" s="324">
        <f t="shared" si="72"/>
        <v>0</v>
      </c>
      <c r="BB180" s="324">
        <f t="shared" si="73"/>
        <v>0</v>
      </c>
      <c r="BC180" s="324">
        <f t="shared" si="74"/>
        <v>0</v>
      </c>
      <c r="BD180" s="324">
        <f t="shared" si="75"/>
        <v>0</v>
      </c>
      <c r="BE180" s="324">
        <f t="shared" si="76"/>
        <v>0</v>
      </c>
      <c r="BF180" s="324">
        <f t="shared" si="77"/>
        <v>0</v>
      </c>
      <c r="BG180" s="324">
        <f t="shared" si="78"/>
        <v>0</v>
      </c>
      <c r="BH180" s="324">
        <f t="shared" si="79"/>
        <v>0</v>
      </c>
      <c r="BI180" s="324">
        <f t="shared" si="80"/>
        <v>0</v>
      </c>
      <c r="BJ180" s="324">
        <f t="shared" si="81"/>
        <v>0</v>
      </c>
      <c r="BK180" s="324">
        <f t="shared" si="82"/>
        <v>0</v>
      </c>
      <c r="BL180" s="324">
        <f t="shared" si="83"/>
        <v>0</v>
      </c>
      <c r="BM180" s="324">
        <f t="shared" si="84"/>
        <v>0</v>
      </c>
      <c r="BN180" s="324">
        <f t="shared" si="85"/>
        <v>0</v>
      </c>
      <c r="BO180" s="324">
        <f t="shared" si="86"/>
        <v>0</v>
      </c>
      <c r="BP180" s="324">
        <f t="shared" si="87"/>
        <v>0</v>
      </c>
      <c r="BQ180" s="324">
        <f t="shared" si="88"/>
        <v>0</v>
      </c>
      <c r="BR180" s="324">
        <f t="shared" si="89"/>
        <v>0</v>
      </c>
      <c r="BS180" s="324">
        <f t="shared" si="90"/>
        <v>0</v>
      </c>
      <c r="BT180" s="332">
        <f t="shared" si="91"/>
        <v>0</v>
      </c>
    </row>
    <row r="181" spans="1:72" ht="14.25">
      <c r="A181" s="297"/>
      <c r="B181" s="323"/>
      <c r="C181" s="323"/>
      <c r="D181" s="2215"/>
      <c r="E181" s="324">
        <f t="shared" si="63"/>
        <v>0</v>
      </c>
      <c r="F181" s="325"/>
      <c r="G181" s="326">
        <f t="shared" si="64"/>
        <v>0</v>
      </c>
      <c r="H181" s="327">
        <f t="shared" si="6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6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67"/>
        <v>0</v>
      </c>
      <c r="AW181" s="2210">
        <f t="shared" si="68"/>
        <v>0</v>
      </c>
      <c r="AX181" s="2210">
        <f t="shared" si="69"/>
        <v>0</v>
      </c>
      <c r="AY181" s="331">
        <f t="shared" si="70"/>
        <v>0</v>
      </c>
      <c r="AZ181" s="324">
        <f t="shared" si="71"/>
        <v>0</v>
      </c>
      <c r="BA181" s="324">
        <f t="shared" si="72"/>
        <v>0</v>
      </c>
      <c r="BB181" s="324">
        <f t="shared" si="73"/>
        <v>0</v>
      </c>
      <c r="BC181" s="324">
        <f t="shared" si="74"/>
        <v>0</v>
      </c>
      <c r="BD181" s="324">
        <f t="shared" si="75"/>
        <v>0</v>
      </c>
      <c r="BE181" s="324">
        <f t="shared" si="76"/>
        <v>0</v>
      </c>
      <c r="BF181" s="324">
        <f t="shared" si="77"/>
        <v>0</v>
      </c>
      <c r="BG181" s="324">
        <f t="shared" si="78"/>
        <v>0</v>
      </c>
      <c r="BH181" s="324">
        <f t="shared" si="79"/>
        <v>0</v>
      </c>
      <c r="BI181" s="324">
        <f t="shared" si="80"/>
        <v>0</v>
      </c>
      <c r="BJ181" s="324">
        <f t="shared" si="81"/>
        <v>0</v>
      </c>
      <c r="BK181" s="324">
        <f t="shared" si="82"/>
        <v>0</v>
      </c>
      <c r="BL181" s="324">
        <f t="shared" si="83"/>
        <v>0</v>
      </c>
      <c r="BM181" s="324">
        <f t="shared" si="84"/>
        <v>0</v>
      </c>
      <c r="BN181" s="324">
        <f t="shared" si="85"/>
        <v>0</v>
      </c>
      <c r="BO181" s="324">
        <f t="shared" si="86"/>
        <v>0</v>
      </c>
      <c r="BP181" s="324">
        <f t="shared" si="87"/>
        <v>0</v>
      </c>
      <c r="BQ181" s="324">
        <f t="shared" si="88"/>
        <v>0</v>
      </c>
      <c r="BR181" s="324">
        <f t="shared" si="89"/>
        <v>0</v>
      </c>
      <c r="BS181" s="324">
        <f t="shared" si="90"/>
        <v>0</v>
      </c>
      <c r="BT181" s="332">
        <f t="shared" si="91"/>
        <v>0</v>
      </c>
    </row>
    <row r="182" spans="1:72" ht="14.25">
      <c r="A182" s="297"/>
      <c r="B182" s="323"/>
      <c r="C182" s="323"/>
      <c r="D182" s="2215"/>
      <c r="E182" s="324">
        <f t="shared" si="63"/>
        <v>0</v>
      </c>
      <c r="F182" s="325"/>
      <c r="G182" s="326">
        <f t="shared" si="64"/>
        <v>0</v>
      </c>
      <c r="H182" s="327">
        <f t="shared" si="6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6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67"/>
        <v>0</v>
      </c>
      <c r="AW182" s="2210">
        <f t="shared" si="68"/>
        <v>0</v>
      </c>
      <c r="AX182" s="2210">
        <f t="shared" si="69"/>
        <v>0</v>
      </c>
      <c r="AY182" s="331">
        <f t="shared" si="70"/>
        <v>0</v>
      </c>
      <c r="AZ182" s="324">
        <f t="shared" si="71"/>
        <v>0</v>
      </c>
      <c r="BA182" s="324">
        <f t="shared" si="72"/>
        <v>0</v>
      </c>
      <c r="BB182" s="324">
        <f t="shared" si="73"/>
        <v>0</v>
      </c>
      <c r="BC182" s="324">
        <f t="shared" si="74"/>
        <v>0</v>
      </c>
      <c r="BD182" s="324">
        <f t="shared" si="75"/>
        <v>0</v>
      </c>
      <c r="BE182" s="324">
        <f t="shared" si="76"/>
        <v>0</v>
      </c>
      <c r="BF182" s="324">
        <f t="shared" si="77"/>
        <v>0</v>
      </c>
      <c r="BG182" s="324">
        <f t="shared" si="78"/>
        <v>0</v>
      </c>
      <c r="BH182" s="324">
        <f t="shared" si="79"/>
        <v>0</v>
      </c>
      <c r="BI182" s="324">
        <f t="shared" si="80"/>
        <v>0</v>
      </c>
      <c r="BJ182" s="324">
        <f t="shared" si="81"/>
        <v>0</v>
      </c>
      <c r="BK182" s="324">
        <f t="shared" si="82"/>
        <v>0</v>
      </c>
      <c r="BL182" s="324">
        <f t="shared" si="83"/>
        <v>0</v>
      </c>
      <c r="BM182" s="324">
        <f t="shared" si="84"/>
        <v>0</v>
      </c>
      <c r="BN182" s="324">
        <f t="shared" si="85"/>
        <v>0</v>
      </c>
      <c r="BO182" s="324">
        <f t="shared" si="86"/>
        <v>0</v>
      </c>
      <c r="BP182" s="324">
        <f t="shared" si="87"/>
        <v>0</v>
      </c>
      <c r="BQ182" s="324">
        <f t="shared" si="88"/>
        <v>0</v>
      </c>
      <c r="BR182" s="324">
        <f t="shared" si="89"/>
        <v>0</v>
      </c>
      <c r="BS182" s="324">
        <f t="shared" si="90"/>
        <v>0</v>
      </c>
      <c r="BT182" s="332">
        <f t="shared" si="91"/>
        <v>0</v>
      </c>
    </row>
    <row r="183" spans="1:72" ht="14.25">
      <c r="A183" s="297"/>
      <c r="B183" s="323"/>
      <c r="C183" s="323"/>
      <c r="D183" s="2215"/>
      <c r="E183" s="324">
        <f t="shared" si="63"/>
        <v>0</v>
      </c>
      <c r="F183" s="325"/>
      <c r="G183" s="326">
        <f t="shared" si="64"/>
        <v>0</v>
      </c>
      <c r="H183" s="327">
        <f t="shared" si="6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6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67"/>
        <v>0</v>
      </c>
      <c r="AW183" s="2210">
        <f t="shared" si="68"/>
        <v>0</v>
      </c>
      <c r="AX183" s="2210">
        <f t="shared" si="69"/>
        <v>0</v>
      </c>
      <c r="AY183" s="331">
        <f t="shared" si="70"/>
        <v>0</v>
      </c>
      <c r="AZ183" s="324">
        <f t="shared" si="71"/>
        <v>0</v>
      </c>
      <c r="BA183" s="324">
        <f t="shared" si="72"/>
        <v>0</v>
      </c>
      <c r="BB183" s="324">
        <f t="shared" si="73"/>
        <v>0</v>
      </c>
      <c r="BC183" s="324">
        <f t="shared" si="74"/>
        <v>0</v>
      </c>
      <c r="BD183" s="324">
        <f t="shared" si="75"/>
        <v>0</v>
      </c>
      <c r="BE183" s="324">
        <f t="shared" si="76"/>
        <v>0</v>
      </c>
      <c r="BF183" s="324">
        <f t="shared" si="77"/>
        <v>0</v>
      </c>
      <c r="BG183" s="324">
        <f t="shared" si="78"/>
        <v>0</v>
      </c>
      <c r="BH183" s="324">
        <f t="shared" si="79"/>
        <v>0</v>
      </c>
      <c r="BI183" s="324">
        <f t="shared" si="80"/>
        <v>0</v>
      </c>
      <c r="BJ183" s="324">
        <f t="shared" si="81"/>
        <v>0</v>
      </c>
      <c r="BK183" s="324">
        <f t="shared" si="82"/>
        <v>0</v>
      </c>
      <c r="BL183" s="324">
        <f t="shared" si="83"/>
        <v>0</v>
      </c>
      <c r="BM183" s="324">
        <f t="shared" si="84"/>
        <v>0</v>
      </c>
      <c r="BN183" s="324">
        <f t="shared" si="85"/>
        <v>0</v>
      </c>
      <c r="BO183" s="324">
        <f t="shared" si="86"/>
        <v>0</v>
      </c>
      <c r="BP183" s="324">
        <f t="shared" si="87"/>
        <v>0</v>
      </c>
      <c r="BQ183" s="324">
        <f t="shared" si="88"/>
        <v>0</v>
      </c>
      <c r="BR183" s="324">
        <f t="shared" si="89"/>
        <v>0</v>
      </c>
      <c r="BS183" s="324">
        <f t="shared" si="90"/>
        <v>0</v>
      </c>
      <c r="BT183" s="332">
        <f t="shared" si="91"/>
        <v>0</v>
      </c>
    </row>
    <row r="184" spans="1:72" ht="14.25">
      <c r="A184" s="297"/>
      <c r="B184" s="323"/>
      <c r="C184" s="323"/>
      <c r="D184" s="2215"/>
      <c r="E184" s="324">
        <f t="shared" si="63"/>
        <v>0</v>
      </c>
      <c r="F184" s="325"/>
      <c r="G184" s="326">
        <f t="shared" si="64"/>
        <v>0</v>
      </c>
      <c r="H184" s="327">
        <f t="shared" si="6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6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67"/>
        <v>0</v>
      </c>
      <c r="AW184" s="2210">
        <f t="shared" si="68"/>
        <v>0</v>
      </c>
      <c r="AX184" s="2210">
        <f t="shared" si="69"/>
        <v>0</v>
      </c>
      <c r="AY184" s="331">
        <f t="shared" si="70"/>
        <v>0</v>
      </c>
      <c r="AZ184" s="324">
        <f t="shared" si="71"/>
        <v>0</v>
      </c>
      <c r="BA184" s="324">
        <f t="shared" si="72"/>
        <v>0</v>
      </c>
      <c r="BB184" s="324">
        <f t="shared" si="73"/>
        <v>0</v>
      </c>
      <c r="BC184" s="324">
        <f t="shared" si="74"/>
        <v>0</v>
      </c>
      <c r="BD184" s="324">
        <f t="shared" si="75"/>
        <v>0</v>
      </c>
      <c r="BE184" s="324">
        <f t="shared" si="76"/>
        <v>0</v>
      </c>
      <c r="BF184" s="324">
        <f t="shared" si="77"/>
        <v>0</v>
      </c>
      <c r="BG184" s="324">
        <f t="shared" si="78"/>
        <v>0</v>
      </c>
      <c r="BH184" s="324">
        <f t="shared" si="79"/>
        <v>0</v>
      </c>
      <c r="BI184" s="324">
        <f t="shared" si="80"/>
        <v>0</v>
      </c>
      <c r="BJ184" s="324">
        <f t="shared" si="81"/>
        <v>0</v>
      </c>
      <c r="BK184" s="324">
        <f t="shared" si="82"/>
        <v>0</v>
      </c>
      <c r="BL184" s="324">
        <f t="shared" si="83"/>
        <v>0</v>
      </c>
      <c r="BM184" s="324">
        <f t="shared" si="84"/>
        <v>0</v>
      </c>
      <c r="BN184" s="324">
        <f t="shared" si="85"/>
        <v>0</v>
      </c>
      <c r="BO184" s="324">
        <f t="shared" si="86"/>
        <v>0</v>
      </c>
      <c r="BP184" s="324">
        <f t="shared" si="87"/>
        <v>0</v>
      </c>
      <c r="BQ184" s="324">
        <f t="shared" si="88"/>
        <v>0</v>
      </c>
      <c r="BR184" s="324">
        <f t="shared" si="89"/>
        <v>0</v>
      </c>
      <c r="BS184" s="324">
        <f t="shared" si="90"/>
        <v>0</v>
      </c>
      <c r="BT184" s="332">
        <f t="shared" si="91"/>
        <v>0</v>
      </c>
    </row>
    <row r="185" spans="1:72" ht="14.25">
      <c r="A185" s="297"/>
      <c r="B185" s="323"/>
      <c r="C185" s="323"/>
      <c r="D185" s="2215"/>
      <c r="E185" s="324">
        <f t="shared" si="63"/>
        <v>0</v>
      </c>
      <c r="F185" s="325"/>
      <c r="G185" s="326">
        <f t="shared" si="64"/>
        <v>0</v>
      </c>
      <c r="H185" s="327">
        <f t="shared" si="6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6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67"/>
        <v>0</v>
      </c>
      <c r="AW185" s="2210">
        <f t="shared" si="68"/>
        <v>0</v>
      </c>
      <c r="AX185" s="2210">
        <f t="shared" si="69"/>
        <v>0</v>
      </c>
      <c r="AY185" s="331">
        <f t="shared" si="70"/>
        <v>0</v>
      </c>
      <c r="AZ185" s="324">
        <f t="shared" si="71"/>
        <v>0</v>
      </c>
      <c r="BA185" s="324">
        <f t="shared" si="72"/>
        <v>0</v>
      </c>
      <c r="BB185" s="324">
        <f t="shared" si="73"/>
        <v>0</v>
      </c>
      <c r="BC185" s="324">
        <f t="shared" si="74"/>
        <v>0</v>
      </c>
      <c r="BD185" s="324">
        <f t="shared" si="75"/>
        <v>0</v>
      </c>
      <c r="BE185" s="324">
        <f t="shared" si="76"/>
        <v>0</v>
      </c>
      <c r="BF185" s="324">
        <f t="shared" si="77"/>
        <v>0</v>
      </c>
      <c r="BG185" s="324">
        <f t="shared" si="78"/>
        <v>0</v>
      </c>
      <c r="BH185" s="324">
        <f t="shared" si="79"/>
        <v>0</v>
      </c>
      <c r="BI185" s="324">
        <f t="shared" si="80"/>
        <v>0</v>
      </c>
      <c r="BJ185" s="324">
        <f t="shared" si="81"/>
        <v>0</v>
      </c>
      <c r="BK185" s="324">
        <f t="shared" si="82"/>
        <v>0</v>
      </c>
      <c r="BL185" s="324">
        <f t="shared" si="83"/>
        <v>0</v>
      </c>
      <c r="BM185" s="324">
        <f t="shared" si="84"/>
        <v>0</v>
      </c>
      <c r="BN185" s="324">
        <f t="shared" si="85"/>
        <v>0</v>
      </c>
      <c r="BO185" s="324">
        <f t="shared" si="86"/>
        <v>0</v>
      </c>
      <c r="BP185" s="324">
        <f t="shared" si="87"/>
        <v>0</v>
      </c>
      <c r="BQ185" s="324">
        <f t="shared" si="88"/>
        <v>0</v>
      </c>
      <c r="BR185" s="324">
        <f t="shared" si="89"/>
        <v>0</v>
      </c>
      <c r="BS185" s="324">
        <f t="shared" si="90"/>
        <v>0</v>
      </c>
      <c r="BT185" s="332">
        <f t="shared" si="91"/>
        <v>0</v>
      </c>
    </row>
    <row r="186" spans="1:72" ht="14.25">
      <c r="A186" s="297"/>
      <c r="B186" s="323"/>
      <c r="C186" s="323"/>
      <c r="D186" s="2215"/>
      <c r="E186" s="324">
        <f t="shared" si="63"/>
        <v>0</v>
      </c>
      <c r="F186" s="325"/>
      <c r="G186" s="326">
        <f t="shared" si="64"/>
        <v>0</v>
      </c>
      <c r="H186" s="327">
        <f t="shared" si="6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6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67"/>
        <v>0</v>
      </c>
      <c r="AW186" s="2210">
        <f t="shared" si="68"/>
        <v>0</v>
      </c>
      <c r="AX186" s="2210">
        <f t="shared" si="69"/>
        <v>0</v>
      </c>
      <c r="AY186" s="331">
        <f t="shared" si="70"/>
        <v>0</v>
      </c>
      <c r="AZ186" s="324">
        <f t="shared" si="71"/>
        <v>0</v>
      </c>
      <c r="BA186" s="324">
        <f t="shared" si="72"/>
        <v>0</v>
      </c>
      <c r="BB186" s="324">
        <f t="shared" si="73"/>
        <v>0</v>
      </c>
      <c r="BC186" s="324">
        <f t="shared" si="74"/>
        <v>0</v>
      </c>
      <c r="BD186" s="324">
        <f t="shared" si="75"/>
        <v>0</v>
      </c>
      <c r="BE186" s="324">
        <f t="shared" si="76"/>
        <v>0</v>
      </c>
      <c r="BF186" s="324">
        <f t="shared" si="77"/>
        <v>0</v>
      </c>
      <c r="BG186" s="324">
        <f t="shared" si="78"/>
        <v>0</v>
      </c>
      <c r="BH186" s="324">
        <f t="shared" si="79"/>
        <v>0</v>
      </c>
      <c r="BI186" s="324">
        <f t="shared" si="80"/>
        <v>0</v>
      </c>
      <c r="BJ186" s="324">
        <f t="shared" si="81"/>
        <v>0</v>
      </c>
      <c r="BK186" s="324">
        <f t="shared" si="82"/>
        <v>0</v>
      </c>
      <c r="BL186" s="324">
        <f t="shared" si="83"/>
        <v>0</v>
      </c>
      <c r="BM186" s="324">
        <f t="shared" si="84"/>
        <v>0</v>
      </c>
      <c r="BN186" s="324">
        <f t="shared" si="85"/>
        <v>0</v>
      </c>
      <c r="BO186" s="324">
        <f t="shared" si="86"/>
        <v>0</v>
      </c>
      <c r="BP186" s="324">
        <f t="shared" si="87"/>
        <v>0</v>
      </c>
      <c r="BQ186" s="324">
        <f t="shared" si="88"/>
        <v>0</v>
      </c>
      <c r="BR186" s="324">
        <f t="shared" si="89"/>
        <v>0</v>
      </c>
      <c r="BS186" s="324">
        <f t="shared" si="90"/>
        <v>0</v>
      </c>
      <c r="BT186" s="332">
        <f t="shared" si="91"/>
        <v>0</v>
      </c>
    </row>
    <row r="187" spans="1:72" ht="14.25">
      <c r="A187" s="297"/>
      <c r="B187" s="323"/>
      <c r="C187" s="323"/>
      <c r="D187" s="2215"/>
      <c r="E187" s="324">
        <f t="shared" si="63"/>
        <v>0</v>
      </c>
      <c r="F187" s="325"/>
      <c r="G187" s="326">
        <f t="shared" si="64"/>
        <v>0</v>
      </c>
      <c r="H187" s="327">
        <f t="shared" si="6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6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67"/>
        <v>0</v>
      </c>
      <c r="AW187" s="2210">
        <f t="shared" si="68"/>
        <v>0</v>
      </c>
      <c r="AX187" s="2210">
        <f t="shared" si="69"/>
        <v>0</v>
      </c>
      <c r="AY187" s="331">
        <f t="shared" si="70"/>
        <v>0</v>
      </c>
      <c r="AZ187" s="324">
        <f t="shared" si="71"/>
        <v>0</v>
      </c>
      <c r="BA187" s="324">
        <f t="shared" si="72"/>
        <v>0</v>
      </c>
      <c r="BB187" s="324">
        <f t="shared" si="73"/>
        <v>0</v>
      </c>
      <c r="BC187" s="324">
        <f t="shared" si="74"/>
        <v>0</v>
      </c>
      <c r="BD187" s="324">
        <f t="shared" si="75"/>
        <v>0</v>
      </c>
      <c r="BE187" s="324">
        <f t="shared" si="76"/>
        <v>0</v>
      </c>
      <c r="BF187" s="324">
        <f t="shared" si="77"/>
        <v>0</v>
      </c>
      <c r="BG187" s="324">
        <f t="shared" si="78"/>
        <v>0</v>
      </c>
      <c r="BH187" s="324">
        <f t="shared" si="79"/>
        <v>0</v>
      </c>
      <c r="BI187" s="324">
        <f t="shared" si="80"/>
        <v>0</v>
      </c>
      <c r="BJ187" s="324">
        <f t="shared" si="81"/>
        <v>0</v>
      </c>
      <c r="BK187" s="324">
        <f t="shared" si="82"/>
        <v>0</v>
      </c>
      <c r="BL187" s="324">
        <f t="shared" si="83"/>
        <v>0</v>
      </c>
      <c r="BM187" s="324">
        <f t="shared" si="84"/>
        <v>0</v>
      </c>
      <c r="BN187" s="324">
        <f t="shared" si="85"/>
        <v>0</v>
      </c>
      <c r="BO187" s="324">
        <f t="shared" si="86"/>
        <v>0</v>
      </c>
      <c r="BP187" s="324">
        <f t="shared" si="87"/>
        <v>0</v>
      </c>
      <c r="BQ187" s="324">
        <f t="shared" si="88"/>
        <v>0</v>
      </c>
      <c r="BR187" s="324">
        <f t="shared" si="89"/>
        <v>0</v>
      </c>
      <c r="BS187" s="324">
        <f t="shared" si="90"/>
        <v>0</v>
      </c>
      <c r="BT187" s="332">
        <f t="shared" si="91"/>
        <v>0</v>
      </c>
    </row>
    <row r="188" spans="1:72" ht="14.25">
      <c r="A188" s="297"/>
      <c r="B188" s="323"/>
      <c r="C188" s="323"/>
      <c r="D188" s="2215"/>
      <c r="E188" s="324">
        <f t="shared" si="63"/>
        <v>0</v>
      </c>
      <c r="F188" s="325"/>
      <c r="G188" s="326">
        <f t="shared" si="64"/>
        <v>0</v>
      </c>
      <c r="H188" s="327">
        <f t="shared" si="6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6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67"/>
        <v>0</v>
      </c>
      <c r="AW188" s="2210">
        <f t="shared" si="68"/>
        <v>0</v>
      </c>
      <c r="AX188" s="2210">
        <f t="shared" si="69"/>
        <v>0</v>
      </c>
      <c r="AY188" s="331">
        <f t="shared" si="70"/>
        <v>0</v>
      </c>
      <c r="AZ188" s="324">
        <f t="shared" si="71"/>
        <v>0</v>
      </c>
      <c r="BA188" s="324">
        <f t="shared" si="72"/>
        <v>0</v>
      </c>
      <c r="BB188" s="324">
        <f t="shared" si="73"/>
        <v>0</v>
      </c>
      <c r="BC188" s="324">
        <f t="shared" si="74"/>
        <v>0</v>
      </c>
      <c r="BD188" s="324">
        <f t="shared" si="75"/>
        <v>0</v>
      </c>
      <c r="BE188" s="324">
        <f t="shared" si="76"/>
        <v>0</v>
      </c>
      <c r="BF188" s="324">
        <f t="shared" si="77"/>
        <v>0</v>
      </c>
      <c r="BG188" s="324">
        <f t="shared" si="78"/>
        <v>0</v>
      </c>
      <c r="BH188" s="324">
        <f t="shared" si="79"/>
        <v>0</v>
      </c>
      <c r="BI188" s="324">
        <f t="shared" si="80"/>
        <v>0</v>
      </c>
      <c r="BJ188" s="324">
        <f t="shared" si="81"/>
        <v>0</v>
      </c>
      <c r="BK188" s="324">
        <f t="shared" si="82"/>
        <v>0</v>
      </c>
      <c r="BL188" s="324">
        <f t="shared" si="83"/>
        <v>0</v>
      </c>
      <c r="BM188" s="324">
        <f t="shared" si="84"/>
        <v>0</v>
      </c>
      <c r="BN188" s="324">
        <f t="shared" si="85"/>
        <v>0</v>
      </c>
      <c r="BO188" s="324">
        <f t="shared" si="86"/>
        <v>0</v>
      </c>
      <c r="BP188" s="324">
        <f t="shared" si="87"/>
        <v>0</v>
      </c>
      <c r="BQ188" s="324">
        <f t="shared" si="88"/>
        <v>0</v>
      </c>
      <c r="BR188" s="324">
        <f t="shared" si="89"/>
        <v>0</v>
      </c>
      <c r="BS188" s="324">
        <f t="shared" si="90"/>
        <v>0</v>
      </c>
      <c r="BT188" s="332">
        <f t="shared" si="91"/>
        <v>0</v>
      </c>
    </row>
    <row r="189" spans="1:72" ht="14.25">
      <c r="A189" s="297"/>
      <c r="B189" s="323"/>
      <c r="C189" s="323"/>
      <c r="D189" s="2215"/>
      <c r="E189" s="324">
        <f t="shared" si="63"/>
        <v>0</v>
      </c>
      <c r="F189" s="325"/>
      <c r="G189" s="326">
        <f t="shared" si="64"/>
        <v>0</v>
      </c>
      <c r="H189" s="327">
        <f t="shared" si="6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6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67"/>
        <v>0</v>
      </c>
      <c r="AW189" s="2210">
        <f t="shared" si="68"/>
        <v>0</v>
      </c>
      <c r="AX189" s="2210">
        <f t="shared" si="69"/>
        <v>0</v>
      </c>
      <c r="AY189" s="331">
        <f t="shared" si="70"/>
        <v>0</v>
      </c>
      <c r="AZ189" s="324">
        <f t="shared" si="71"/>
        <v>0</v>
      </c>
      <c r="BA189" s="324">
        <f t="shared" si="72"/>
        <v>0</v>
      </c>
      <c r="BB189" s="324">
        <f t="shared" si="73"/>
        <v>0</v>
      </c>
      <c r="BC189" s="324">
        <f t="shared" si="74"/>
        <v>0</v>
      </c>
      <c r="BD189" s="324">
        <f t="shared" si="75"/>
        <v>0</v>
      </c>
      <c r="BE189" s="324">
        <f t="shared" si="76"/>
        <v>0</v>
      </c>
      <c r="BF189" s="324">
        <f t="shared" si="77"/>
        <v>0</v>
      </c>
      <c r="BG189" s="324">
        <f t="shared" si="78"/>
        <v>0</v>
      </c>
      <c r="BH189" s="324">
        <f t="shared" si="79"/>
        <v>0</v>
      </c>
      <c r="BI189" s="324">
        <f t="shared" si="80"/>
        <v>0</v>
      </c>
      <c r="BJ189" s="324">
        <f t="shared" si="81"/>
        <v>0</v>
      </c>
      <c r="BK189" s="324">
        <f t="shared" si="82"/>
        <v>0</v>
      </c>
      <c r="BL189" s="324">
        <f t="shared" si="83"/>
        <v>0</v>
      </c>
      <c r="BM189" s="324">
        <f t="shared" si="84"/>
        <v>0</v>
      </c>
      <c r="BN189" s="324">
        <f t="shared" si="85"/>
        <v>0</v>
      </c>
      <c r="BO189" s="324">
        <f t="shared" si="86"/>
        <v>0</v>
      </c>
      <c r="BP189" s="324">
        <f t="shared" si="87"/>
        <v>0</v>
      </c>
      <c r="BQ189" s="324">
        <f t="shared" si="88"/>
        <v>0</v>
      </c>
      <c r="BR189" s="324">
        <f t="shared" si="89"/>
        <v>0</v>
      </c>
      <c r="BS189" s="324">
        <f t="shared" si="90"/>
        <v>0</v>
      </c>
      <c r="BT189" s="332">
        <f t="shared" si="91"/>
        <v>0</v>
      </c>
    </row>
    <row r="190" spans="1:72" ht="14.25">
      <c r="A190" s="297"/>
      <c r="B190" s="323"/>
      <c r="C190" s="323"/>
      <c r="D190" s="2215"/>
      <c r="E190" s="324">
        <f t="shared" si="63"/>
        <v>0</v>
      </c>
      <c r="F190" s="325"/>
      <c r="G190" s="326">
        <f t="shared" si="64"/>
        <v>0</v>
      </c>
      <c r="H190" s="327">
        <f t="shared" si="6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6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67"/>
        <v>0</v>
      </c>
      <c r="AW190" s="2210">
        <f t="shared" si="68"/>
        <v>0</v>
      </c>
      <c r="AX190" s="2210">
        <f t="shared" si="69"/>
        <v>0</v>
      </c>
      <c r="AY190" s="331">
        <f t="shared" si="70"/>
        <v>0</v>
      </c>
      <c r="AZ190" s="324">
        <f t="shared" si="71"/>
        <v>0</v>
      </c>
      <c r="BA190" s="324">
        <f t="shared" si="72"/>
        <v>0</v>
      </c>
      <c r="BB190" s="324">
        <f t="shared" si="73"/>
        <v>0</v>
      </c>
      <c r="BC190" s="324">
        <f t="shared" si="74"/>
        <v>0</v>
      </c>
      <c r="BD190" s="324">
        <f t="shared" si="75"/>
        <v>0</v>
      </c>
      <c r="BE190" s="324">
        <f t="shared" si="76"/>
        <v>0</v>
      </c>
      <c r="BF190" s="324">
        <f t="shared" si="77"/>
        <v>0</v>
      </c>
      <c r="BG190" s="324">
        <f t="shared" si="78"/>
        <v>0</v>
      </c>
      <c r="BH190" s="324">
        <f t="shared" si="79"/>
        <v>0</v>
      </c>
      <c r="BI190" s="324">
        <f t="shared" si="80"/>
        <v>0</v>
      </c>
      <c r="BJ190" s="324">
        <f t="shared" si="81"/>
        <v>0</v>
      </c>
      <c r="BK190" s="324">
        <f t="shared" si="82"/>
        <v>0</v>
      </c>
      <c r="BL190" s="324">
        <f t="shared" si="83"/>
        <v>0</v>
      </c>
      <c r="BM190" s="324">
        <f t="shared" si="84"/>
        <v>0</v>
      </c>
      <c r="BN190" s="324">
        <f t="shared" si="85"/>
        <v>0</v>
      </c>
      <c r="BO190" s="324">
        <f t="shared" si="86"/>
        <v>0</v>
      </c>
      <c r="BP190" s="324">
        <f t="shared" si="87"/>
        <v>0</v>
      </c>
      <c r="BQ190" s="324">
        <f t="shared" si="88"/>
        <v>0</v>
      </c>
      <c r="BR190" s="324">
        <f t="shared" si="89"/>
        <v>0</v>
      </c>
      <c r="BS190" s="324">
        <f t="shared" si="90"/>
        <v>0</v>
      </c>
      <c r="BT190" s="332">
        <f t="shared" si="91"/>
        <v>0</v>
      </c>
    </row>
    <row r="191" spans="1:72" ht="14.25">
      <c r="A191" s="297"/>
      <c r="B191" s="323"/>
      <c r="C191" s="323"/>
      <c r="D191" s="2215"/>
      <c r="E191" s="324">
        <f t="shared" si="63"/>
        <v>0</v>
      </c>
      <c r="F191" s="325"/>
      <c r="G191" s="326">
        <f t="shared" si="64"/>
        <v>0</v>
      </c>
      <c r="H191" s="327">
        <f t="shared" si="6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6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67"/>
        <v>0</v>
      </c>
      <c r="AW191" s="2210">
        <f t="shared" si="68"/>
        <v>0</v>
      </c>
      <c r="AX191" s="2210">
        <f t="shared" si="69"/>
        <v>0</v>
      </c>
      <c r="AY191" s="331">
        <f t="shared" si="70"/>
        <v>0</v>
      </c>
      <c r="AZ191" s="324">
        <f t="shared" si="71"/>
        <v>0</v>
      </c>
      <c r="BA191" s="324">
        <f t="shared" si="72"/>
        <v>0</v>
      </c>
      <c r="BB191" s="324">
        <f t="shared" si="73"/>
        <v>0</v>
      </c>
      <c r="BC191" s="324">
        <f t="shared" si="74"/>
        <v>0</v>
      </c>
      <c r="BD191" s="324">
        <f t="shared" si="75"/>
        <v>0</v>
      </c>
      <c r="BE191" s="324">
        <f t="shared" si="76"/>
        <v>0</v>
      </c>
      <c r="BF191" s="324">
        <f t="shared" si="77"/>
        <v>0</v>
      </c>
      <c r="BG191" s="324">
        <f t="shared" si="78"/>
        <v>0</v>
      </c>
      <c r="BH191" s="324">
        <f t="shared" si="79"/>
        <v>0</v>
      </c>
      <c r="BI191" s="324">
        <f t="shared" si="80"/>
        <v>0</v>
      </c>
      <c r="BJ191" s="324">
        <f t="shared" si="81"/>
        <v>0</v>
      </c>
      <c r="BK191" s="324">
        <f t="shared" si="82"/>
        <v>0</v>
      </c>
      <c r="BL191" s="324">
        <f t="shared" si="83"/>
        <v>0</v>
      </c>
      <c r="BM191" s="324">
        <f t="shared" si="84"/>
        <v>0</v>
      </c>
      <c r="BN191" s="324">
        <f t="shared" si="85"/>
        <v>0</v>
      </c>
      <c r="BO191" s="324">
        <f t="shared" si="86"/>
        <v>0</v>
      </c>
      <c r="BP191" s="324">
        <f t="shared" si="87"/>
        <v>0</v>
      </c>
      <c r="BQ191" s="324">
        <f t="shared" si="88"/>
        <v>0</v>
      </c>
      <c r="BR191" s="324">
        <f t="shared" si="89"/>
        <v>0</v>
      </c>
      <c r="BS191" s="324">
        <f t="shared" si="90"/>
        <v>0</v>
      </c>
      <c r="BT191" s="332">
        <f t="shared" si="91"/>
        <v>0</v>
      </c>
    </row>
    <row r="192" spans="1:72" ht="14.25">
      <c r="A192" s="297"/>
      <c r="B192" s="323"/>
      <c r="C192" s="323"/>
      <c r="D192" s="2215"/>
      <c r="E192" s="324">
        <f t="shared" si="63"/>
        <v>0</v>
      </c>
      <c r="F192" s="325"/>
      <c r="G192" s="326">
        <f t="shared" si="64"/>
        <v>0</v>
      </c>
      <c r="H192" s="327">
        <f t="shared" si="6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6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67"/>
        <v>0</v>
      </c>
      <c r="AW192" s="2210">
        <f t="shared" si="68"/>
        <v>0</v>
      </c>
      <c r="AX192" s="2210">
        <f t="shared" si="69"/>
        <v>0</v>
      </c>
      <c r="AY192" s="331">
        <f t="shared" si="70"/>
        <v>0</v>
      </c>
      <c r="AZ192" s="324">
        <f t="shared" si="71"/>
        <v>0</v>
      </c>
      <c r="BA192" s="324">
        <f t="shared" si="72"/>
        <v>0</v>
      </c>
      <c r="BB192" s="324">
        <f t="shared" si="73"/>
        <v>0</v>
      </c>
      <c r="BC192" s="324">
        <f t="shared" si="74"/>
        <v>0</v>
      </c>
      <c r="BD192" s="324">
        <f t="shared" si="75"/>
        <v>0</v>
      </c>
      <c r="BE192" s="324">
        <f t="shared" si="76"/>
        <v>0</v>
      </c>
      <c r="BF192" s="324">
        <f t="shared" si="77"/>
        <v>0</v>
      </c>
      <c r="BG192" s="324">
        <f t="shared" si="78"/>
        <v>0</v>
      </c>
      <c r="BH192" s="324">
        <f t="shared" si="79"/>
        <v>0</v>
      </c>
      <c r="BI192" s="324">
        <f t="shared" si="80"/>
        <v>0</v>
      </c>
      <c r="BJ192" s="324">
        <f t="shared" si="81"/>
        <v>0</v>
      </c>
      <c r="BK192" s="324">
        <f t="shared" si="82"/>
        <v>0</v>
      </c>
      <c r="BL192" s="324">
        <f t="shared" si="83"/>
        <v>0</v>
      </c>
      <c r="BM192" s="324">
        <f t="shared" si="84"/>
        <v>0</v>
      </c>
      <c r="BN192" s="324">
        <f t="shared" si="85"/>
        <v>0</v>
      </c>
      <c r="BO192" s="324">
        <f t="shared" si="86"/>
        <v>0</v>
      </c>
      <c r="BP192" s="324">
        <f t="shared" si="87"/>
        <v>0</v>
      </c>
      <c r="BQ192" s="324">
        <f t="shared" si="88"/>
        <v>0</v>
      </c>
      <c r="BR192" s="324">
        <f t="shared" si="89"/>
        <v>0</v>
      </c>
      <c r="BS192" s="324">
        <f t="shared" si="90"/>
        <v>0</v>
      </c>
      <c r="BT192" s="332">
        <f t="shared" si="91"/>
        <v>0</v>
      </c>
    </row>
    <row r="193" spans="1:72" ht="14.25">
      <c r="A193" s="297"/>
      <c r="B193" s="323"/>
      <c r="C193" s="323"/>
      <c r="D193" s="2215"/>
      <c r="E193" s="324">
        <f t="shared" si="63"/>
        <v>0</v>
      </c>
      <c r="F193" s="325"/>
      <c r="G193" s="326">
        <f t="shared" si="64"/>
        <v>0</v>
      </c>
      <c r="H193" s="327">
        <f t="shared" si="6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6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67"/>
        <v>0</v>
      </c>
      <c r="AW193" s="2210">
        <f t="shared" si="68"/>
        <v>0</v>
      </c>
      <c r="AX193" s="2210">
        <f t="shared" si="69"/>
        <v>0</v>
      </c>
      <c r="AY193" s="331">
        <f t="shared" si="70"/>
        <v>0</v>
      </c>
      <c r="AZ193" s="324">
        <f t="shared" si="71"/>
        <v>0</v>
      </c>
      <c r="BA193" s="324">
        <f t="shared" si="72"/>
        <v>0</v>
      </c>
      <c r="BB193" s="324">
        <f t="shared" si="73"/>
        <v>0</v>
      </c>
      <c r="BC193" s="324">
        <f t="shared" si="74"/>
        <v>0</v>
      </c>
      <c r="BD193" s="324">
        <f t="shared" si="75"/>
        <v>0</v>
      </c>
      <c r="BE193" s="324">
        <f t="shared" si="76"/>
        <v>0</v>
      </c>
      <c r="BF193" s="324">
        <f t="shared" si="77"/>
        <v>0</v>
      </c>
      <c r="BG193" s="324">
        <f t="shared" si="78"/>
        <v>0</v>
      </c>
      <c r="BH193" s="324">
        <f t="shared" si="79"/>
        <v>0</v>
      </c>
      <c r="BI193" s="324">
        <f t="shared" si="80"/>
        <v>0</v>
      </c>
      <c r="BJ193" s="324">
        <f t="shared" si="81"/>
        <v>0</v>
      </c>
      <c r="BK193" s="324">
        <f t="shared" si="82"/>
        <v>0</v>
      </c>
      <c r="BL193" s="324">
        <f t="shared" si="83"/>
        <v>0</v>
      </c>
      <c r="BM193" s="324">
        <f t="shared" si="84"/>
        <v>0</v>
      </c>
      <c r="BN193" s="324">
        <f t="shared" si="85"/>
        <v>0</v>
      </c>
      <c r="BO193" s="324">
        <f t="shared" si="86"/>
        <v>0</v>
      </c>
      <c r="BP193" s="324">
        <f t="shared" si="87"/>
        <v>0</v>
      </c>
      <c r="BQ193" s="324">
        <f t="shared" si="88"/>
        <v>0</v>
      </c>
      <c r="BR193" s="324">
        <f t="shared" si="89"/>
        <v>0</v>
      </c>
      <c r="BS193" s="324">
        <f t="shared" si="90"/>
        <v>0</v>
      </c>
      <c r="BT193" s="332">
        <f t="shared" si="91"/>
        <v>0</v>
      </c>
    </row>
    <row r="194" spans="1:72" ht="14.25">
      <c r="A194" s="297"/>
      <c r="B194" s="323"/>
      <c r="C194" s="323"/>
      <c r="D194" s="2215"/>
      <c r="E194" s="324">
        <f t="shared" si="63"/>
        <v>0</v>
      </c>
      <c r="F194" s="325"/>
      <c r="G194" s="326">
        <f t="shared" si="64"/>
        <v>0</v>
      </c>
      <c r="H194" s="327">
        <f t="shared" si="6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6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67"/>
        <v>0</v>
      </c>
      <c r="AW194" s="2210">
        <f t="shared" si="68"/>
        <v>0</v>
      </c>
      <c r="AX194" s="2210">
        <f t="shared" si="69"/>
        <v>0</v>
      </c>
      <c r="AY194" s="331">
        <f t="shared" si="70"/>
        <v>0</v>
      </c>
      <c r="AZ194" s="324">
        <f t="shared" si="71"/>
        <v>0</v>
      </c>
      <c r="BA194" s="324">
        <f t="shared" si="72"/>
        <v>0</v>
      </c>
      <c r="BB194" s="324">
        <f t="shared" si="73"/>
        <v>0</v>
      </c>
      <c r="BC194" s="324">
        <f t="shared" si="74"/>
        <v>0</v>
      </c>
      <c r="BD194" s="324">
        <f t="shared" si="75"/>
        <v>0</v>
      </c>
      <c r="BE194" s="324">
        <f t="shared" si="76"/>
        <v>0</v>
      </c>
      <c r="BF194" s="324">
        <f t="shared" si="77"/>
        <v>0</v>
      </c>
      <c r="BG194" s="324">
        <f t="shared" si="78"/>
        <v>0</v>
      </c>
      <c r="BH194" s="324">
        <f t="shared" si="79"/>
        <v>0</v>
      </c>
      <c r="BI194" s="324">
        <f t="shared" si="80"/>
        <v>0</v>
      </c>
      <c r="BJ194" s="324">
        <f t="shared" si="81"/>
        <v>0</v>
      </c>
      <c r="BK194" s="324">
        <f t="shared" si="82"/>
        <v>0</v>
      </c>
      <c r="BL194" s="324">
        <f t="shared" si="83"/>
        <v>0</v>
      </c>
      <c r="BM194" s="324">
        <f t="shared" si="84"/>
        <v>0</v>
      </c>
      <c r="BN194" s="324">
        <f t="shared" si="85"/>
        <v>0</v>
      </c>
      <c r="BO194" s="324">
        <f t="shared" si="86"/>
        <v>0</v>
      </c>
      <c r="BP194" s="324">
        <f t="shared" si="87"/>
        <v>0</v>
      </c>
      <c r="BQ194" s="324">
        <f t="shared" si="88"/>
        <v>0</v>
      </c>
      <c r="BR194" s="324">
        <f t="shared" si="89"/>
        <v>0</v>
      </c>
      <c r="BS194" s="324">
        <f t="shared" si="90"/>
        <v>0</v>
      </c>
      <c r="BT194" s="332">
        <f t="shared" si="91"/>
        <v>0</v>
      </c>
    </row>
    <row r="195" spans="1:72" ht="14.25">
      <c r="A195" s="297"/>
      <c r="B195" s="323"/>
      <c r="C195" s="323"/>
      <c r="D195" s="2215"/>
      <c r="E195" s="324">
        <f t="shared" si="63"/>
        <v>0</v>
      </c>
      <c r="F195" s="325"/>
      <c r="G195" s="326">
        <f t="shared" si="64"/>
        <v>0</v>
      </c>
      <c r="H195" s="327">
        <f t="shared" si="6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6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67"/>
        <v>0</v>
      </c>
      <c r="AW195" s="2210">
        <f t="shared" si="68"/>
        <v>0</v>
      </c>
      <c r="AX195" s="2210">
        <f t="shared" si="69"/>
        <v>0</v>
      </c>
      <c r="AY195" s="331">
        <f t="shared" si="70"/>
        <v>0</v>
      </c>
      <c r="AZ195" s="324">
        <f t="shared" si="71"/>
        <v>0</v>
      </c>
      <c r="BA195" s="324">
        <f t="shared" si="72"/>
        <v>0</v>
      </c>
      <c r="BB195" s="324">
        <f t="shared" si="73"/>
        <v>0</v>
      </c>
      <c r="BC195" s="324">
        <f t="shared" si="74"/>
        <v>0</v>
      </c>
      <c r="BD195" s="324">
        <f t="shared" si="75"/>
        <v>0</v>
      </c>
      <c r="BE195" s="324">
        <f t="shared" si="76"/>
        <v>0</v>
      </c>
      <c r="BF195" s="324">
        <f t="shared" si="77"/>
        <v>0</v>
      </c>
      <c r="BG195" s="324">
        <f t="shared" si="78"/>
        <v>0</v>
      </c>
      <c r="BH195" s="324">
        <f t="shared" si="79"/>
        <v>0</v>
      </c>
      <c r="BI195" s="324">
        <f t="shared" si="80"/>
        <v>0</v>
      </c>
      <c r="BJ195" s="324">
        <f t="shared" si="81"/>
        <v>0</v>
      </c>
      <c r="BK195" s="324">
        <f t="shared" si="82"/>
        <v>0</v>
      </c>
      <c r="BL195" s="324">
        <f t="shared" si="83"/>
        <v>0</v>
      </c>
      <c r="BM195" s="324">
        <f t="shared" si="84"/>
        <v>0</v>
      </c>
      <c r="BN195" s="324">
        <f t="shared" si="85"/>
        <v>0</v>
      </c>
      <c r="BO195" s="324">
        <f t="shared" si="86"/>
        <v>0</v>
      </c>
      <c r="BP195" s="324">
        <f t="shared" si="87"/>
        <v>0</v>
      </c>
      <c r="BQ195" s="324">
        <f t="shared" si="88"/>
        <v>0</v>
      </c>
      <c r="BR195" s="324">
        <f t="shared" si="89"/>
        <v>0</v>
      </c>
      <c r="BS195" s="324">
        <f t="shared" si="90"/>
        <v>0</v>
      </c>
      <c r="BT195" s="332">
        <f t="shared" si="91"/>
        <v>0</v>
      </c>
    </row>
    <row r="196" spans="1:72" ht="14.25">
      <c r="A196" s="297"/>
      <c r="B196" s="323"/>
      <c r="C196" s="323"/>
      <c r="D196" s="2215"/>
      <c r="E196" s="324">
        <f t="shared" si="63"/>
        <v>0</v>
      </c>
      <c r="F196" s="325"/>
      <c r="G196" s="326">
        <f t="shared" si="64"/>
        <v>0</v>
      </c>
      <c r="H196" s="327">
        <f t="shared" si="6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6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67"/>
        <v>0</v>
      </c>
      <c r="AW196" s="2210">
        <f t="shared" si="68"/>
        <v>0</v>
      </c>
      <c r="AX196" s="2210">
        <f t="shared" si="69"/>
        <v>0</v>
      </c>
      <c r="AY196" s="331">
        <f t="shared" si="70"/>
        <v>0</v>
      </c>
      <c r="AZ196" s="324">
        <f t="shared" si="71"/>
        <v>0</v>
      </c>
      <c r="BA196" s="324">
        <f t="shared" si="72"/>
        <v>0</v>
      </c>
      <c r="BB196" s="324">
        <f t="shared" si="73"/>
        <v>0</v>
      </c>
      <c r="BC196" s="324">
        <f t="shared" si="74"/>
        <v>0</v>
      </c>
      <c r="BD196" s="324">
        <f t="shared" si="75"/>
        <v>0</v>
      </c>
      <c r="BE196" s="324">
        <f t="shared" si="76"/>
        <v>0</v>
      </c>
      <c r="BF196" s="324">
        <f t="shared" si="77"/>
        <v>0</v>
      </c>
      <c r="BG196" s="324">
        <f t="shared" si="78"/>
        <v>0</v>
      </c>
      <c r="BH196" s="324">
        <f t="shared" si="79"/>
        <v>0</v>
      </c>
      <c r="BI196" s="324">
        <f t="shared" si="80"/>
        <v>0</v>
      </c>
      <c r="BJ196" s="324">
        <f t="shared" si="81"/>
        <v>0</v>
      </c>
      <c r="BK196" s="324">
        <f t="shared" si="82"/>
        <v>0</v>
      </c>
      <c r="BL196" s="324">
        <f t="shared" si="83"/>
        <v>0</v>
      </c>
      <c r="BM196" s="324">
        <f t="shared" si="84"/>
        <v>0</v>
      </c>
      <c r="BN196" s="324">
        <f t="shared" si="85"/>
        <v>0</v>
      </c>
      <c r="BO196" s="324">
        <f t="shared" si="86"/>
        <v>0</v>
      </c>
      <c r="BP196" s="324">
        <f t="shared" si="87"/>
        <v>0</v>
      </c>
      <c r="BQ196" s="324">
        <f t="shared" si="88"/>
        <v>0</v>
      </c>
      <c r="BR196" s="324">
        <f t="shared" si="89"/>
        <v>0</v>
      </c>
      <c r="BS196" s="324">
        <f t="shared" si="90"/>
        <v>0</v>
      </c>
      <c r="BT196" s="332">
        <f t="shared" si="91"/>
        <v>0</v>
      </c>
    </row>
    <row r="197" spans="1:72" ht="14.25">
      <c r="A197" s="297"/>
      <c r="B197" s="323"/>
      <c r="C197" s="323"/>
      <c r="D197" s="2215"/>
      <c r="E197" s="324">
        <f t="shared" si="63"/>
        <v>0</v>
      </c>
      <c r="F197" s="325"/>
      <c r="G197" s="326">
        <f t="shared" si="64"/>
        <v>0</v>
      </c>
      <c r="H197" s="327">
        <f t="shared" si="6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6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67"/>
        <v>0</v>
      </c>
      <c r="AW197" s="2210">
        <f t="shared" si="68"/>
        <v>0</v>
      </c>
      <c r="AX197" s="2210">
        <f t="shared" si="69"/>
        <v>0</v>
      </c>
      <c r="AY197" s="331">
        <f t="shared" si="70"/>
        <v>0</v>
      </c>
      <c r="AZ197" s="324">
        <f t="shared" si="71"/>
        <v>0</v>
      </c>
      <c r="BA197" s="324">
        <f t="shared" si="72"/>
        <v>0</v>
      </c>
      <c r="BB197" s="324">
        <f t="shared" si="73"/>
        <v>0</v>
      </c>
      <c r="BC197" s="324">
        <f t="shared" si="74"/>
        <v>0</v>
      </c>
      <c r="BD197" s="324">
        <f t="shared" si="75"/>
        <v>0</v>
      </c>
      <c r="BE197" s="324">
        <f t="shared" si="76"/>
        <v>0</v>
      </c>
      <c r="BF197" s="324">
        <f t="shared" si="77"/>
        <v>0</v>
      </c>
      <c r="BG197" s="324">
        <f t="shared" si="78"/>
        <v>0</v>
      </c>
      <c r="BH197" s="324">
        <f t="shared" si="79"/>
        <v>0</v>
      </c>
      <c r="BI197" s="324">
        <f t="shared" si="80"/>
        <v>0</v>
      </c>
      <c r="BJ197" s="324">
        <f t="shared" si="81"/>
        <v>0</v>
      </c>
      <c r="BK197" s="324">
        <f t="shared" si="82"/>
        <v>0</v>
      </c>
      <c r="BL197" s="324">
        <f t="shared" si="83"/>
        <v>0</v>
      </c>
      <c r="BM197" s="324">
        <f t="shared" si="84"/>
        <v>0</v>
      </c>
      <c r="BN197" s="324">
        <f t="shared" si="85"/>
        <v>0</v>
      </c>
      <c r="BO197" s="324">
        <f t="shared" si="86"/>
        <v>0</v>
      </c>
      <c r="BP197" s="324">
        <f t="shared" si="87"/>
        <v>0</v>
      </c>
      <c r="BQ197" s="324">
        <f t="shared" si="88"/>
        <v>0</v>
      </c>
      <c r="BR197" s="324">
        <f t="shared" si="89"/>
        <v>0</v>
      </c>
      <c r="BS197" s="324">
        <f t="shared" si="90"/>
        <v>0</v>
      </c>
      <c r="BT197" s="332">
        <f t="shared" si="91"/>
        <v>0</v>
      </c>
    </row>
    <row r="198" spans="1:72" ht="14.25">
      <c r="A198" s="297"/>
      <c r="B198" s="323"/>
      <c r="C198" s="323"/>
      <c r="D198" s="2215"/>
      <c r="E198" s="324">
        <f t="shared" si="63"/>
        <v>0</v>
      </c>
      <c r="F198" s="325"/>
      <c r="G198" s="326">
        <f t="shared" si="64"/>
        <v>0</v>
      </c>
      <c r="H198" s="327">
        <f t="shared" si="6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6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67"/>
        <v>0</v>
      </c>
      <c r="AW198" s="2210">
        <f t="shared" si="68"/>
        <v>0</v>
      </c>
      <c r="AX198" s="2210">
        <f t="shared" si="69"/>
        <v>0</v>
      </c>
      <c r="AY198" s="331">
        <f t="shared" si="70"/>
        <v>0</v>
      </c>
      <c r="AZ198" s="324">
        <f t="shared" si="71"/>
        <v>0</v>
      </c>
      <c r="BA198" s="324">
        <f t="shared" si="72"/>
        <v>0</v>
      </c>
      <c r="BB198" s="324">
        <f t="shared" si="73"/>
        <v>0</v>
      </c>
      <c r="BC198" s="324">
        <f t="shared" si="74"/>
        <v>0</v>
      </c>
      <c r="BD198" s="324">
        <f t="shared" si="75"/>
        <v>0</v>
      </c>
      <c r="BE198" s="324">
        <f t="shared" si="76"/>
        <v>0</v>
      </c>
      <c r="BF198" s="324">
        <f t="shared" si="77"/>
        <v>0</v>
      </c>
      <c r="BG198" s="324">
        <f t="shared" si="78"/>
        <v>0</v>
      </c>
      <c r="BH198" s="324">
        <f t="shared" si="79"/>
        <v>0</v>
      </c>
      <c r="BI198" s="324">
        <f t="shared" si="80"/>
        <v>0</v>
      </c>
      <c r="BJ198" s="324">
        <f t="shared" si="81"/>
        <v>0</v>
      </c>
      <c r="BK198" s="324">
        <f t="shared" si="82"/>
        <v>0</v>
      </c>
      <c r="BL198" s="324">
        <f t="shared" si="83"/>
        <v>0</v>
      </c>
      <c r="BM198" s="324">
        <f t="shared" si="84"/>
        <v>0</v>
      </c>
      <c r="BN198" s="324">
        <f t="shared" si="85"/>
        <v>0</v>
      </c>
      <c r="BO198" s="324">
        <f t="shared" si="86"/>
        <v>0</v>
      </c>
      <c r="BP198" s="324">
        <f t="shared" si="87"/>
        <v>0</v>
      </c>
      <c r="BQ198" s="324">
        <f t="shared" si="88"/>
        <v>0</v>
      </c>
      <c r="BR198" s="324">
        <f t="shared" si="89"/>
        <v>0</v>
      </c>
      <c r="BS198" s="324">
        <f t="shared" si="90"/>
        <v>0</v>
      </c>
      <c r="BT198" s="332">
        <f t="shared" si="91"/>
        <v>0</v>
      </c>
    </row>
    <row r="199" spans="1:72" ht="14.25">
      <c r="A199" s="297"/>
      <c r="B199" s="323"/>
      <c r="C199" s="323"/>
      <c r="D199" s="2215"/>
      <c r="E199" s="324">
        <f t="shared" si="63"/>
        <v>0</v>
      </c>
      <c r="F199" s="325"/>
      <c r="G199" s="326">
        <f t="shared" si="64"/>
        <v>0</v>
      </c>
      <c r="H199" s="327">
        <f t="shared" si="6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6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67"/>
        <v>0</v>
      </c>
      <c r="AW199" s="2210">
        <f t="shared" si="68"/>
        <v>0</v>
      </c>
      <c r="AX199" s="2210">
        <f t="shared" si="69"/>
        <v>0</v>
      </c>
      <c r="AY199" s="331">
        <f t="shared" si="70"/>
        <v>0</v>
      </c>
      <c r="AZ199" s="324">
        <f t="shared" si="71"/>
        <v>0</v>
      </c>
      <c r="BA199" s="324">
        <f t="shared" si="72"/>
        <v>0</v>
      </c>
      <c r="BB199" s="324">
        <f t="shared" si="73"/>
        <v>0</v>
      </c>
      <c r="BC199" s="324">
        <f t="shared" si="74"/>
        <v>0</v>
      </c>
      <c r="BD199" s="324">
        <f t="shared" si="75"/>
        <v>0</v>
      </c>
      <c r="BE199" s="324">
        <f t="shared" si="76"/>
        <v>0</v>
      </c>
      <c r="BF199" s="324">
        <f t="shared" si="77"/>
        <v>0</v>
      </c>
      <c r="BG199" s="324">
        <f t="shared" si="78"/>
        <v>0</v>
      </c>
      <c r="BH199" s="324">
        <f t="shared" si="79"/>
        <v>0</v>
      </c>
      <c r="BI199" s="324">
        <f t="shared" si="80"/>
        <v>0</v>
      </c>
      <c r="BJ199" s="324">
        <f t="shared" si="81"/>
        <v>0</v>
      </c>
      <c r="BK199" s="324">
        <f t="shared" si="82"/>
        <v>0</v>
      </c>
      <c r="BL199" s="324">
        <f t="shared" si="83"/>
        <v>0</v>
      </c>
      <c r="BM199" s="324">
        <f t="shared" si="84"/>
        <v>0</v>
      </c>
      <c r="BN199" s="324">
        <f t="shared" si="85"/>
        <v>0</v>
      </c>
      <c r="BO199" s="324">
        <f t="shared" si="86"/>
        <v>0</v>
      </c>
      <c r="BP199" s="324">
        <f t="shared" si="87"/>
        <v>0</v>
      </c>
      <c r="BQ199" s="324">
        <f t="shared" si="88"/>
        <v>0</v>
      </c>
      <c r="BR199" s="324">
        <f t="shared" si="89"/>
        <v>0</v>
      </c>
      <c r="BS199" s="324">
        <f t="shared" si="90"/>
        <v>0</v>
      </c>
      <c r="BT199" s="332">
        <f t="shared" si="91"/>
        <v>0</v>
      </c>
    </row>
    <row r="200" spans="1:72" ht="14.25">
      <c r="A200" s="297"/>
      <c r="B200" s="323"/>
      <c r="C200" s="323"/>
      <c r="D200" s="2215"/>
      <c r="E200" s="324">
        <f t="shared" si="63"/>
        <v>0</v>
      </c>
      <c r="F200" s="325"/>
      <c r="G200" s="326">
        <f t="shared" si="64"/>
        <v>0</v>
      </c>
      <c r="H200" s="327">
        <f t="shared" si="6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6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67"/>
        <v>0</v>
      </c>
      <c r="AW200" s="2210">
        <f t="shared" si="68"/>
        <v>0</v>
      </c>
      <c r="AX200" s="2210">
        <f t="shared" si="69"/>
        <v>0</v>
      </c>
      <c r="AY200" s="331">
        <f t="shared" si="70"/>
        <v>0</v>
      </c>
      <c r="AZ200" s="324">
        <f t="shared" si="71"/>
        <v>0</v>
      </c>
      <c r="BA200" s="324">
        <f t="shared" si="72"/>
        <v>0</v>
      </c>
      <c r="BB200" s="324">
        <f t="shared" si="73"/>
        <v>0</v>
      </c>
      <c r="BC200" s="324">
        <f t="shared" si="74"/>
        <v>0</v>
      </c>
      <c r="BD200" s="324">
        <f t="shared" si="75"/>
        <v>0</v>
      </c>
      <c r="BE200" s="324">
        <f t="shared" si="76"/>
        <v>0</v>
      </c>
      <c r="BF200" s="324">
        <f t="shared" si="77"/>
        <v>0</v>
      </c>
      <c r="BG200" s="324">
        <f t="shared" si="78"/>
        <v>0</v>
      </c>
      <c r="BH200" s="324">
        <f t="shared" si="79"/>
        <v>0</v>
      </c>
      <c r="BI200" s="324">
        <f t="shared" si="80"/>
        <v>0</v>
      </c>
      <c r="BJ200" s="324">
        <f t="shared" si="81"/>
        <v>0</v>
      </c>
      <c r="BK200" s="324">
        <f t="shared" si="82"/>
        <v>0</v>
      </c>
      <c r="BL200" s="324">
        <f t="shared" si="83"/>
        <v>0</v>
      </c>
      <c r="BM200" s="324">
        <f t="shared" si="84"/>
        <v>0</v>
      </c>
      <c r="BN200" s="324">
        <f t="shared" si="85"/>
        <v>0</v>
      </c>
      <c r="BO200" s="324">
        <f t="shared" si="86"/>
        <v>0</v>
      </c>
      <c r="BP200" s="324">
        <f t="shared" si="87"/>
        <v>0</v>
      </c>
      <c r="BQ200" s="324">
        <f t="shared" si="88"/>
        <v>0</v>
      </c>
      <c r="BR200" s="324">
        <f t="shared" si="89"/>
        <v>0</v>
      </c>
      <c r="BS200" s="324">
        <f t="shared" si="90"/>
        <v>0</v>
      </c>
      <c r="BT200" s="332">
        <f t="shared" si="91"/>
        <v>0</v>
      </c>
    </row>
    <row r="201" spans="1:72" ht="14.25">
      <c r="A201" s="297"/>
      <c r="B201" s="323"/>
      <c r="C201" s="323"/>
      <c r="D201" s="2215"/>
      <c r="E201" s="324">
        <f t="shared" si="63"/>
        <v>0</v>
      </c>
      <c r="F201" s="325"/>
      <c r="G201" s="326">
        <f t="shared" si="64"/>
        <v>0</v>
      </c>
      <c r="H201" s="327">
        <f t="shared" si="6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6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67"/>
        <v>0</v>
      </c>
      <c r="AW201" s="2210">
        <f t="shared" si="68"/>
        <v>0</v>
      </c>
      <c r="AX201" s="2210">
        <f t="shared" si="69"/>
        <v>0</v>
      </c>
      <c r="AY201" s="331">
        <f t="shared" si="70"/>
        <v>0</v>
      </c>
      <c r="AZ201" s="324">
        <f t="shared" si="71"/>
        <v>0</v>
      </c>
      <c r="BA201" s="324">
        <f t="shared" si="72"/>
        <v>0</v>
      </c>
      <c r="BB201" s="324">
        <f t="shared" si="73"/>
        <v>0</v>
      </c>
      <c r="BC201" s="324">
        <f t="shared" si="74"/>
        <v>0</v>
      </c>
      <c r="BD201" s="324">
        <f t="shared" si="75"/>
        <v>0</v>
      </c>
      <c r="BE201" s="324">
        <f t="shared" si="76"/>
        <v>0</v>
      </c>
      <c r="BF201" s="324">
        <f t="shared" si="77"/>
        <v>0</v>
      </c>
      <c r="BG201" s="324">
        <f t="shared" si="78"/>
        <v>0</v>
      </c>
      <c r="BH201" s="324">
        <f t="shared" si="79"/>
        <v>0</v>
      </c>
      <c r="BI201" s="324">
        <f t="shared" si="80"/>
        <v>0</v>
      </c>
      <c r="BJ201" s="324">
        <f t="shared" si="81"/>
        <v>0</v>
      </c>
      <c r="BK201" s="324">
        <f t="shared" si="82"/>
        <v>0</v>
      </c>
      <c r="BL201" s="324">
        <f t="shared" si="83"/>
        <v>0</v>
      </c>
      <c r="BM201" s="324">
        <f t="shared" si="84"/>
        <v>0</v>
      </c>
      <c r="BN201" s="324">
        <f t="shared" si="85"/>
        <v>0</v>
      </c>
      <c r="BO201" s="324">
        <f t="shared" si="86"/>
        <v>0</v>
      </c>
      <c r="BP201" s="324">
        <f t="shared" si="87"/>
        <v>0</v>
      </c>
      <c r="BQ201" s="324">
        <f t="shared" si="88"/>
        <v>0</v>
      </c>
      <c r="BR201" s="324">
        <f t="shared" si="89"/>
        <v>0</v>
      </c>
      <c r="BS201" s="324">
        <f t="shared" si="90"/>
        <v>0</v>
      </c>
      <c r="BT201" s="332">
        <f t="shared" si="91"/>
        <v>0</v>
      </c>
    </row>
    <row r="202" spans="1:72" ht="14.25">
      <c r="A202" s="297"/>
      <c r="B202" s="323"/>
      <c r="C202" s="323"/>
      <c r="D202" s="2215"/>
      <c r="E202" s="324">
        <f t="shared" si="63"/>
        <v>0</v>
      </c>
      <c r="F202" s="325"/>
      <c r="G202" s="326">
        <f t="shared" si="64"/>
        <v>0</v>
      </c>
      <c r="H202" s="327">
        <f t="shared" si="6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6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67"/>
        <v>0</v>
      </c>
      <c r="AW202" s="2210">
        <f t="shared" si="68"/>
        <v>0</v>
      </c>
      <c r="AX202" s="2210">
        <f t="shared" si="69"/>
        <v>0</v>
      </c>
      <c r="AY202" s="331">
        <f t="shared" si="70"/>
        <v>0</v>
      </c>
      <c r="AZ202" s="324">
        <f t="shared" si="71"/>
        <v>0</v>
      </c>
      <c r="BA202" s="324">
        <f t="shared" si="72"/>
        <v>0</v>
      </c>
      <c r="BB202" s="324">
        <f t="shared" si="73"/>
        <v>0</v>
      </c>
      <c r="BC202" s="324">
        <f t="shared" si="74"/>
        <v>0</v>
      </c>
      <c r="BD202" s="324">
        <f t="shared" si="75"/>
        <v>0</v>
      </c>
      <c r="BE202" s="324">
        <f t="shared" si="76"/>
        <v>0</v>
      </c>
      <c r="BF202" s="324">
        <f t="shared" si="77"/>
        <v>0</v>
      </c>
      <c r="BG202" s="324">
        <f t="shared" si="78"/>
        <v>0</v>
      </c>
      <c r="BH202" s="324">
        <f t="shared" si="79"/>
        <v>0</v>
      </c>
      <c r="BI202" s="324">
        <f t="shared" si="80"/>
        <v>0</v>
      </c>
      <c r="BJ202" s="324">
        <f t="shared" si="81"/>
        <v>0</v>
      </c>
      <c r="BK202" s="324">
        <f t="shared" si="82"/>
        <v>0</v>
      </c>
      <c r="BL202" s="324">
        <f t="shared" si="83"/>
        <v>0</v>
      </c>
      <c r="BM202" s="324">
        <f t="shared" si="84"/>
        <v>0</v>
      </c>
      <c r="BN202" s="324">
        <f t="shared" si="85"/>
        <v>0</v>
      </c>
      <c r="BO202" s="324">
        <f t="shared" si="86"/>
        <v>0</v>
      </c>
      <c r="BP202" s="324">
        <f t="shared" si="87"/>
        <v>0</v>
      </c>
      <c r="BQ202" s="324">
        <f t="shared" si="88"/>
        <v>0</v>
      </c>
      <c r="BR202" s="324">
        <f t="shared" si="89"/>
        <v>0</v>
      </c>
      <c r="BS202" s="324">
        <f t="shared" si="90"/>
        <v>0</v>
      </c>
      <c r="BT202" s="332">
        <f t="shared" si="91"/>
        <v>0</v>
      </c>
    </row>
    <row r="203" spans="1:72" ht="14.25">
      <c r="A203" s="297"/>
      <c r="B203" s="323"/>
      <c r="C203" s="323"/>
      <c r="D203" s="2215"/>
      <c r="E203" s="324">
        <f t="shared" si="63"/>
        <v>0</v>
      </c>
      <c r="F203" s="325"/>
      <c r="G203" s="326">
        <f t="shared" si="64"/>
        <v>0</v>
      </c>
      <c r="H203" s="327">
        <f t="shared" si="6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6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67"/>
        <v>0</v>
      </c>
      <c r="AW203" s="2210">
        <f t="shared" si="68"/>
        <v>0</v>
      </c>
      <c r="AX203" s="2210">
        <f t="shared" si="69"/>
        <v>0</v>
      </c>
      <c r="AY203" s="331">
        <f t="shared" si="70"/>
        <v>0</v>
      </c>
      <c r="AZ203" s="324">
        <f t="shared" si="71"/>
        <v>0</v>
      </c>
      <c r="BA203" s="324">
        <f t="shared" si="72"/>
        <v>0</v>
      </c>
      <c r="BB203" s="324">
        <f t="shared" si="73"/>
        <v>0</v>
      </c>
      <c r="BC203" s="324">
        <f t="shared" si="74"/>
        <v>0</v>
      </c>
      <c r="BD203" s="324">
        <f t="shared" si="75"/>
        <v>0</v>
      </c>
      <c r="BE203" s="324">
        <f t="shared" si="76"/>
        <v>0</v>
      </c>
      <c r="BF203" s="324">
        <f t="shared" si="77"/>
        <v>0</v>
      </c>
      <c r="BG203" s="324">
        <f t="shared" si="78"/>
        <v>0</v>
      </c>
      <c r="BH203" s="324">
        <f t="shared" si="79"/>
        <v>0</v>
      </c>
      <c r="BI203" s="324">
        <f t="shared" si="80"/>
        <v>0</v>
      </c>
      <c r="BJ203" s="324">
        <f t="shared" si="81"/>
        <v>0</v>
      </c>
      <c r="BK203" s="324">
        <f t="shared" si="82"/>
        <v>0</v>
      </c>
      <c r="BL203" s="324">
        <f t="shared" si="83"/>
        <v>0</v>
      </c>
      <c r="BM203" s="324">
        <f t="shared" si="84"/>
        <v>0</v>
      </c>
      <c r="BN203" s="324">
        <f t="shared" si="85"/>
        <v>0</v>
      </c>
      <c r="BO203" s="324">
        <f t="shared" si="86"/>
        <v>0</v>
      </c>
      <c r="BP203" s="324">
        <f t="shared" si="87"/>
        <v>0</v>
      </c>
      <c r="BQ203" s="324">
        <f t="shared" si="88"/>
        <v>0</v>
      </c>
      <c r="BR203" s="324">
        <f t="shared" si="89"/>
        <v>0</v>
      </c>
      <c r="BS203" s="324">
        <f t="shared" si="90"/>
        <v>0</v>
      </c>
      <c r="BT203" s="332">
        <f t="shared" si="91"/>
        <v>0</v>
      </c>
    </row>
    <row r="204" spans="1:72" ht="14.25">
      <c r="A204" s="297"/>
      <c r="B204" s="323"/>
      <c r="C204" s="323"/>
      <c r="D204" s="2215"/>
      <c r="E204" s="324">
        <f t="shared" si="63"/>
        <v>0</v>
      </c>
      <c r="F204" s="325"/>
      <c r="G204" s="326">
        <f t="shared" si="64"/>
        <v>0</v>
      </c>
      <c r="H204" s="327">
        <f t="shared" si="6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6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67"/>
        <v>0</v>
      </c>
      <c r="AW204" s="2210">
        <f t="shared" si="68"/>
        <v>0</v>
      </c>
      <c r="AX204" s="2210">
        <f t="shared" si="69"/>
        <v>0</v>
      </c>
      <c r="AY204" s="331">
        <f t="shared" si="70"/>
        <v>0</v>
      </c>
      <c r="AZ204" s="324">
        <f t="shared" si="71"/>
        <v>0</v>
      </c>
      <c r="BA204" s="324">
        <f t="shared" si="72"/>
        <v>0</v>
      </c>
      <c r="BB204" s="324">
        <f t="shared" si="73"/>
        <v>0</v>
      </c>
      <c r="BC204" s="324">
        <f t="shared" si="74"/>
        <v>0</v>
      </c>
      <c r="BD204" s="324">
        <f t="shared" si="75"/>
        <v>0</v>
      </c>
      <c r="BE204" s="324">
        <f t="shared" si="76"/>
        <v>0</v>
      </c>
      <c r="BF204" s="324">
        <f t="shared" si="77"/>
        <v>0</v>
      </c>
      <c r="BG204" s="324">
        <f t="shared" si="78"/>
        <v>0</v>
      </c>
      <c r="BH204" s="324">
        <f t="shared" si="79"/>
        <v>0</v>
      </c>
      <c r="BI204" s="324">
        <f t="shared" si="80"/>
        <v>0</v>
      </c>
      <c r="BJ204" s="324">
        <f t="shared" si="81"/>
        <v>0</v>
      </c>
      <c r="BK204" s="324">
        <f t="shared" si="82"/>
        <v>0</v>
      </c>
      <c r="BL204" s="324">
        <f t="shared" si="83"/>
        <v>0</v>
      </c>
      <c r="BM204" s="324">
        <f t="shared" si="84"/>
        <v>0</v>
      </c>
      <c r="BN204" s="324">
        <f t="shared" si="85"/>
        <v>0</v>
      </c>
      <c r="BO204" s="324">
        <f t="shared" si="86"/>
        <v>0</v>
      </c>
      <c r="BP204" s="324">
        <f t="shared" si="87"/>
        <v>0</v>
      </c>
      <c r="BQ204" s="324">
        <f t="shared" si="88"/>
        <v>0</v>
      </c>
      <c r="BR204" s="324">
        <f t="shared" si="89"/>
        <v>0</v>
      </c>
      <c r="BS204" s="324">
        <f t="shared" si="90"/>
        <v>0</v>
      </c>
      <c r="BT204" s="332">
        <f t="shared" si="91"/>
        <v>0</v>
      </c>
    </row>
    <row r="205" spans="1:72" ht="14.25">
      <c r="A205" s="297"/>
      <c r="B205" s="297"/>
      <c r="C205" s="297"/>
      <c r="D205" s="2215"/>
      <c r="E205" s="324">
        <f t="shared" ref="E205:E268" si="92">IF($C$3="是",ROUND($A$3*G205/$B$3,2),ROUND($A$3*(G205-AT205)/$B$3,2))</f>
        <v>0</v>
      </c>
      <c r="F205" s="333"/>
      <c r="G205" s="326">
        <f t="shared" ref="G205:G268" si="93">H205+AC205+AT205</f>
        <v>0</v>
      </c>
      <c r="H205" s="327">
        <f t="shared" ref="H205:H268" si="94">SUMIF(I$12:AB$12,"总值",I205:AB205)</f>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ref="AC205:AC268" si="95">SUMIF(AD$12:AS$12,"总值",AD205:AS205)</f>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ref="AV205:AV268" si="96">A205</f>
        <v>0</v>
      </c>
      <c r="AW205" s="2210">
        <f t="shared" ref="AW205:AW268" si="97">B205</f>
        <v>0</v>
      </c>
      <c r="AX205" s="2210">
        <f t="shared" ref="AX205:AX268" si="98">C205</f>
        <v>0</v>
      </c>
      <c r="AY205" s="331">
        <f t="shared" ref="AY205:AY268" si="99">ROUND($AY$6*AZ205/$AZ$5,2)</f>
        <v>0</v>
      </c>
      <c r="AZ205" s="324">
        <f t="shared" ref="AZ205:AZ268" si="100">BA205+BL205</f>
        <v>0</v>
      </c>
      <c r="BA205" s="324">
        <f t="shared" ref="BA205:BA268" si="101">SUM(BB205:BK205)</f>
        <v>0</v>
      </c>
      <c r="BB205" s="324">
        <f t="shared" ref="BB205:BB268" si="102">IF($D205="是",I205-J205,0)</f>
        <v>0</v>
      </c>
      <c r="BC205" s="324">
        <f t="shared" ref="BC205:BC268" si="103">IF($D205="是",K205-L205,0)</f>
        <v>0</v>
      </c>
      <c r="BD205" s="324">
        <f t="shared" ref="BD205:BD268" si="104">IF($D205="是",M205-N205,0)</f>
        <v>0</v>
      </c>
      <c r="BE205" s="324">
        <f t="shared" ref="BE205:BE268" si="105">IF($D205="是",O205-P205,0)</f>
        <v>0</v>
      </c>
      <c r="BF205" s="324">
        <f t="shared" ref="BF205:BF268" si="106">IF($D205="是",Q205-R205,0)</f>
        <v>0</v>
      </c>
      <c r="BG205" s="324">
        <f t="shared" ref="BG205:BG268" si="107">IF($D205="是",S205-T205,0)</f>
        <v>0</v>
      </c>
      <c r="BH205" s="324">
        <f t="shared" ref="BH205:BH268" si="108">IF($D205="是",U205-V205,0)</f>
        <v>0</v>
      </c>
      <c r="BI205" s="324">
        <f t="shared" ref="BI205:BI268" si="109">IF($D205="是",W205-X205,0)</f>
        <v>0</v>
      </c>
      <c r="BJ205" s="324">
        <f t="shared" ref="BJ205:BJ268" si="110">IF($D205="是",Y205-Z205,0)</f>
        <v>0</v>
      </c>
      <c r="BK205" s="324">
        <f t="shared" ref="BK205:BK268" si="111">IF($D205="是",AA205-AB205,0)</f>
        <v>0</v>
      </c>
      <c r="BL205" s="324">
        <f t="shared" ref="BL205:BL268" si="112">SUM(BM205:BT205)</f>
        <v>0</v>
      </c>
      <c r="BM205" s="324">
        <f t="shared" ref="BM205:BM268" si="113">IF($D205="是",AD205-AE205,0)</f>
        <v>0</v>
      </c>
      <c r="BN205" s="324">
        <f t="shared" ref="BN205:BN268" si="114">IF($D205="是",AF205-AG205,0)</f>
        <v>0</v>
      </c>
      <c r="BO205" s="324">
        <f t="shared" ref="BO205:BO268" si="115">IF($D205="是",AH205-AI205,0)</f>
        <v>0</v>
      </c>
      <c r="BP205" s="324">
        <f t="shared" ref="BP205:BP268" si="116">IF($D205="是",AJ205-AK205,0)</f>
        <v>0</v>
      </c>
      <c r="BQ205" s="324">
        <f t="shared" ref="BQ205:BQ268" si="117">IF($D205="是",AL205-AM205,0)</f>
        <v>0</v>
      </c>
      <c r="BR205" s="324">
        <f t="shared" ref="BR205:BR268" si="118">IF($D205="是",AN205-AO205,0)</f>
        <v>0</v>
      </c>
      <c r="BS205" s="324">
        <f t="shared" ref="BS205:BS268" si="119">IF($D205="是",AP205-AQ205,0)</f>
        <v>0</v>
      </c>
      <c r="BT205" s="332">
        <f t="shared" ref="BT205:BT268" si="120">IF($D205="是",AR205-AS205,0)</f>
        <v>0</v>
      </c>
    </row>
    <row r="206" spans="1:72" ht="14.25">
      <c r="A206" s="297"/>
      <c r="B206" s="297"/>
      <c r="C206" s="297"/>
      <c r="D206" s="2215"/>
      <c r="E206" s="324">
        <f t="shared" si="92"/>
        <v>0</v>
      </c>
      <c r="F206" s="333"/>
      <c r="G206" s="326">
        <f t="shared" si="93"/>
        <v>0</v>
      </c>
      <c r="H206" s="327">
        <f t="shared" si="94"/>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 t="shared" si="95"/>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96"/>
        <v>0</v>
      </c>
      <c r="AW206" s="2210">
        <f t="shared" si="97"/>
        <v>0</v>
      </c>
      <c r="AX206" s="2210">
        <f t="shared" si="98"/>
        <v>0</v>
      </c>
      <c r="AY206" s="331">
        <f t="shared" si="99"/>
        <v>0</v>
      </c>
      <c r="AZ206" s="324">
        <f t="shared" si="100"/>
        <v>0</v>
      </c>
      <c r="BA206" s="324">
        <f t="shared" si="101"/>
        <v>0</v>
      </c>
      <c r="BB206" s="324">
        <f t="shared" si="102"/>
        <v>0</v>
      </c>
      <c r="BC206" s="324">
        <f t="shared" si="103"/>
        <v>0</v>
      </c>
      <c r="BD206" s="324">
        <f t="shared" si="104"/>
        <v>0</v>
      </c>
      <c r="BE206" s="324">
        <f t="shared" si="105"/>
        <v>0</v>
      </c>
      <c r="BF206" s="324">
        <f t="shared" si="106"/>
        <v>0</v>
      </c>
      <c r="BG206" s="324">
        <f t="shared" si="107"/>
        <v>0</v>
      </c>
      <c r="BH206" s="324">
        <f t="shared" si="108"/>
        <v>0</v>
      </c>
      <c r="BI206" s="324">
        <f t="shared" si="109"/>
        <v>0</v>
      </c>
      <c r="BJ206" s="324">
        <f t="shared" si="110"/>
        <v>0</v>
      </c>
      <c r="BK206" s="324">
        <f t="shared" si="111"/>
        <v>0</v>
      </c>
      <c r="BL206" s="324">
        <f t="shared" si="112"/>
        <v>0</v>
      </c>
      <c r="BM206" s="324">
        <f t="shared" si="113"/>
        <v>0</v>
      </c>
      <c r="BN206" s="324">
        <f t="shared" si="114"/>
        <v>0</v>
      </c>
      <c r="BO206" s="324">
        <f t="shared" si="115"/>
        <v>0</v>
      </c>
      <c r="BP206" s="324">
        <f t="shared" si="116"/>
        <v>0</v>
      </c>
      <c r="BQ206" s="324">
        <f t="shared" si="117"/>
        <v>0</v>
      </c>
      <c r="BR206" s="324">
        <f t="shared" si="118"/>
        <v>0</v>
      </c>
      <c r="BS206" s="324">
        <f t="shared" si="119"/>
        <v>0</v>
      </c>
      <c r="BT206" s="332">
        <f t="shared" si="120"/>
        <v>0</v>
      </c>
    </row>
    <row r="207" spans="1:72" ht="14.25">
      <c r="A207" s="297"/>
      <c r="B207" s="297"/>
      <c r="C207" s="297"/>
      <c r="D207" s="2215"/>
      <c r="E207" s="324">
        <f t="shared" si="92"/>
        <v>0</v>
      </c>
      <c r="F207" s="333"/>
      <c r="G207" s="326">
        <f t="shared" si="93"/>
        <v>0</v>
      </c>
      <c r="H207" s="327">
        <f t="shared" si="94"/>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 t="shared" si="95"/>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96"/>
        <v>0</v>
      </c>
      <c r="AW207" s="2210">
        <f t="shared" si="97"/>
        <v>0</v>
      </c>
      <c r="AX207" s="2210">
        <f t="shared" si="98"/>
        <v>0</v>
      </c>
      <c r="AY207" s="331">
        <f t="shared" si="99"/>
        <v>0</v>
      </c>
      <c r="AZ207" s="324">
        <f t="shared" si="100"/>
        <v>0</v>
      </c>
      <c r="BA207" s="324">
        <f t="shared" si="101"/>
        <v>0</v>
      </c>
      <c r="BB207" s="324">
        <f t="shared" si="102"/>
        <v>0</v>
      </c>
      <c r="BC207" s="324">
        <f t="shared" si="103"/>
        <v>0</v>
      </c>
      <c r="BD207" s="324">
        <f t="shared" si="104"/>
        <v>0</v>
      </c>
      <c r="BE207" s="324">
        <f t="shared" si="105"/>
        <v>0</v>
      </c>
      <c r="BF207" s="324">
        <f t="shared" si="106"/>
        <v>0</v>
      </c>
      <c r="BG207" s="324">
        <f t="shared" si="107"/>
        <v>0</v>
      </c>
      <c r="BH207" s="324">
        <f t="shared" si="108"/>
        <v>0</v>
      </c>
      <c r="BI207" s="324">
        <f t="shared" si="109"/>
        <v>0</v>
      </c>
      <c r="BJ207" s="324">
        <f t="shared" si="110"/>
        <v>0</v>
      </c>
      <c r="BK207" s="324">
        <f t="shared" si="111"/>
        <v>0</v>
      </c>
      <c r="BL207" s="324">
        <f t="shared" si="112"/>
        <v>0</v>
      </c>
      <c r="BM207" s="324">
        <f t="shared" si="113"/>
        <v>0</v>
      </c>
      <c r="BN207" s="324">
        <f t="shared" si="114"/>
        <v>0</v>
      </c>
      <c r="BO207" s="324">
        <f t="shared" si="115"/>
        <v>0</v>
      </c>
      <c r="BP207" s="324">
        <f t="shared" si="116"/>
        <v>0</v>
      </c>
      <c r="BQ207" s="324">
        <f t="shared" si="117"/>
        <v>0</v>
      </c>
      <c r="BR207" s="324">
        <f t="shared" si="118"/>
        <v>0</v>
      </c>
      <c r="BS207" s="324">
        <f t="shared" si="119"/>
        <v>0</v>
      </c>
      <c r="BT207" s="332">
        <f t="shared" si="120"/>
        <v>0</v>
      </c>
    </row>
    <row r="208" spans="1:72" ht="14.25">
      <c r="A208" s="297"/>
      <c r="B208" s="323"/>
      <c r="C208" s="323"/>
      <c r="D208" s="2215"/>
      <c r="E208" s="324">
        <f t="shared" si="92"/>
        <v>0</v>
      </c>
      <c r="F208" s="325"/>
      <c r="G208" s="326">
        <f t="shared" si="93"/>
        <v>0</v>
      </c>
      <c r="H208" s="327">
        <f t="shared" si="94"/>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si="95"/>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si="96"/>
        <v>0</v>
      </c>
      <c r="AW208" s="2210">
        <f t="shared" si="97"/>
        <v>0</v>
      </c>
      <c r="AX208" s="2210">
        <f t="shared" si="98"/>
        <v>0</v>
      </c>
      <c r="AY208" s="331">
        <f t="shared" si="99"/>
        <v>0</v>
      </c>
      <c r="AZ208" s="324">
        <f t="shared" si="100"/>
        <v>0</v>
      </c>
      <c r="BA208" s="324">
        <f t="shared" si="101"/>
        <v>0</v>
      </c>
      <c r="BB208" s="324">
        <f t="shared" si="102"/>
        <v>0</v>
      </c>
      <c r="BC208" s="324">
        <f t="shared" si="103"/>
        <v>0</v>
      </c>
      <c r="BD208" s="324">
        <f t="shared" si="104"/>
        <v>0</v>
      </c>
      <c r="BE208" s="324">
        <f t="shared" si="105"/>
        <v>0</v>
      </c>
      <c r="BF208" s="324">
        <f t="shared" si="106"/>
        <v>0</v>
      </c>
      <c r="BG208" s="324">
        <f t="shared" si="107"/>
        <v>0</v>
      </c>
      <c r="BH208" s="324">
        <f t="shared" si="108"/>
        <v>0</v>
      </c>
      <c r="BI208" s="324">
        <f t="shared" si="109"/>
        <v>0</v>
      </c>
      <c r="BJ208" s="324">
        <f t="shared" si="110"/>
        <v>0</v>
      </c>
      <c r="BK208" s="324">
        <f t="shared" si="111"/>
        <v>0</v>
      </c>
      <c r="BL208" s="324">
        <f t="shared" si="112"/>
        <v>0</v>
      </c>
      <c r="BM208" s="324">
        <f t="shared" si="113"/>
        <v>0</v>
      </c>
      <c r="BN208" s="324">
        <f t="shared" si="114"/>
        <v>0</v>
      </c>
      <c r="BO208" s="324">
        <f t="shared" si="115"/>
        <v>0</v>
      </c>
      <c r="BP208" s="324">
        <f t="shared" si="116"/>
        <v>0</v>
      </c>
      <c r="BQ208" s="324">
        <f t="shared" si="117"/>
        <v>0</v>
      </c>
      <c r="BR208" s="324">
        <f t="shared" si="118"/>
        <v>0</v>
      </c>
      <c r="BS208" s="324">
        <f t="shared" si="119"/>
        <v>0</v>
      </c>
      <c r="BT208" s="332">
        <f t="shared" si="120"/>
        <v>0</v>
      </c>
    </row>
    <row r="209" spans="1:72" ht="14.25">
      <c r="A209" s="297"/>
      <c r="B209" s="323"/>
      <c r="C209" s="323"/>
      <c r="D209" s="2215"/>
      <c r="E209" s="324">
        <f t="shared" si="92"/>
        <v>0</v>
      </c>
      <c r="F209" s="325"/>
      <c r="G209" s="326">
        <f t="shared" si="93"/>
        <v>0</v>
      </c>
      <c r="H209" s="327">
        <f t="shared" si="94"/>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95"/>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96"/>
        <v>0</v>
      </c>
      <c r="AW209" s="2210">
        <f t="shared" si="97"/>
        <v>0</v>
      </c>
      <c r="AX209" s="2210">
        <f t="shared" si="98"/>
        <v>0</v>
      </c>
      <c r="AY209" s="331">
        <f t="shared" si="99"/>
        <v>0</v>
      </c>
      <c r="AZ209" s="324">
        <f t="shared" si="100"/>
        <v>0</v>
      </c>
      <c r="BA209" s="324">
        <f t="shared" si="101"/>
        <v>0</v>
      </c>
      <c r="BB209" s="324">
        <f t="shared" si="102"/>
        <v>0</v>
      </c>
      <c r="BC209" s="324">
        <f t="shared" si="103"/>
        <v>0</v>
      </c>
      <c r="BD209" s="324">
        <f t="shared" si="104"/>
        <v>0</v>
      </c>
      <c r="BE209" s="324">
        <f t="shared" si="105"/>
        <v>0</v>
      </c>
      <c r="BF209" s="324">
        <f t="shared" si="106"/>
        <v>0</v>
      </c>
      <c r="BG209" s="324">
        <f t="shared" si="107"/>
        <v>0</v>
      </c>
      <c r="BH209" s="324">
        <f t="shared" si="108"/>
        <v>0</v>
      </c>
      <c r="BI209" s="324">
        <f t="shared" si="109"/>
        <v>0</v>
      </c>
      <c r="BJ209" s="324">
        <f t="shared" si="110"/>
        <v>0</v>
      </c>
      <c r="BK209" s="324">
        <f t="shared" si="111"/>
        <v>0</v>
      </c>
      <c r="BL209" s="324">
        <f t="shared" si="112"/>
        <v>0</v>
      </c>
      <c r="BM209" s="324">
        <f t="shared" si="113"/>
        <v>0</v>
      </c>
      <c r="BN209" s="324">
        <f t="shared" si="114"/>
        <v>0</v>
      </c>
      <c r="BO209" s="324">
        <f t="shared" si="115"/>
        <v>0</v>
      </c>
      <c r="BP209" s="324">
        <f t="shared" si="116"/>
        <v>0</v>
      </c>
      <c r="BQ209" s="324">
        <f t="shared" si="117"/>
        <v>0</v>
      </c>
      <c r="BR209" s="324">
        <f t="shared" si="118"/>
        <v>0</v>
      </c>
      <c r="BS209" s="324">
        <f t="shared" si="119"/>
        <v>0</v>
      </c>
      <c r="BT209" s="332">
        <f t="shared" si="120"/>
        <v>0</v>
      </c>
    </row>
    <row r="210" spans="1:72" ht="14.25">
      <c r="A210" s="297"/>
      <c r="B210" s="323"/>
      <c r="C210" s="323"/>
      <c r="D210" s="2215"/>
      <c r="E210" s="324">
        <f t="shared" si="92"/>
        <v>0</v>
      </c>
      <c r="F210" s="325"/>
      <c r="G210" s="326">
        <f t="shared" si="93"/>
        <v>0</v>
      </c>
      <c r="H210" s="327">
        <f t="shared" si="94"/>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95"/>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96"/>
        <v>0</v>
      </c>
      <c r="AW210" s="2210">
        <f t="shared" si="97"/>
        <v>0</v>
      </c>
      <c r="AX210" s="2210">
        <f t="shared" si="98"/>
        <v>0</v>
      </c>
      <c r="AY210" s="331">
        <f t="shared" si="99"/>
        <v>0</v>
      </c>
      <c r="AZ210" s="324">
        <f t="shared" si="100"/>
        <v>0</v>
      </c>
      <c r="BA210" s="324">
        <f t="shared" si="101"/>
        <v>0</v>
      </c>
      <c r="BB210" s="324">
        <f t="shared" si="102"/>
        <v>0</v>
      </c>
      <c r="BC210" s="324">
        <f t="shared" si="103"/>
        <v>0</v>
      </c>
      <c r="BD210" s="324">
        <f t="shared" si="104"/>
        <v>0</v>
      </c>
      <c r="BE210" s="324">
        <f t="shared" si="105"/>
        <v>0</v>
      </c>
      <c r="BF210" s="324">
        <f t="shared" si="106"/>
        <v>0</v>
      </c>
      <c r="BG210" s="324">
        <f t="shared" si="107"/>
        <v>0</v>
      </c>
      <c r="BH210" s="324">
        <f t="shared" si="108"/>
        <v>0</v>
      </c>
      <c r="BI210" s="324">
        <f t="shared" si="109"/>
        <v>0</v>
      </c>
      <c r="BJ210" s="324">
        <f t="shared" si="110"/>
        <v>0</v>
      </c>
      <c r="BK210" s="324">
        <f t="shared" si="111"/>
        <v>0</v>
      </c>
      <c r="BL210" s="324">
        <f t="shared" si="112"/>
        <v>0</v>
      </c>
      <c r="BM210" s="324">
        <f t="shared" si="113"/>
        <v>0</v>
      </c>
      <c r="BN210" s="324">
        <f t="shared" si="114"/>
        <v>0</v>
      </c>
      <c r="BO210" s="324">
        <f t="shared" si="115"/>
        <v>0</v>
      </c>
      <c r="BP210" s="324">
        <f t="shared" si="116"/>
        <v>0</v>
      </c>
      <c r="BQ210" s="324">
        <f t="shared" si="117"/>
        <v>0</v>
      </c>
      <c r="BR210" s="324">
        <f t="shared" si="118"/>
        <v>0</v>
      </c>
      <c r="BS210" s="324">
        <f t="shared" si="119"/>
        <v>0</v>
      </c>
      <c r="BT210" s="332">
        <f t="shared" si="120"/>
        <v>0</v>
      </c>
    </row>
    <row r="211" spans="1:72" ht="14.25">
      <c r="A211" s="297"/>
      <c r="B211" s="323"/>
      <c r="C211" s="323"/>
      <c r="D211" s="2215"/>
      <c r="E211" s="324">
        <f t="shared" si="92"/>
        <v>0</v>
      </c>
      <c r="F211" s="325"/>
      <c r="G211" s="326">
        <f t="shared" si="93"/>
        <v>0</v>
      </c>
      <c r="H211" s="327">
        <f t="shared" si="94"/>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95"/>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96"/>
        <v>0</v>
      </c>
      <c r="AW211" s="2210">
        <f t="shared" si="97"/>
        <v>0</v>
      </c>
      <c r="AX211" s="2210">
        <f t="shared" si="98"/>
        <v>0</v>
      </c>
      <c r="AY211" s="331">
        <f t="shared" si="99"/>
        <v>0</v>
      </c>
      <c r="AZ211" s="324">
        <f t="shared" si="100"/>
        <v>0</v>
      </c>
      <c r="BA211" s="324">
        <f t="shared" si="101"/>
        <v>0</v>
      </c>
      <c r="BB211" s="324">
        <f t="shared" si="102"/>
        <v>0</v>
      </c>
      <c r="BC211" s="324">
        <f t="shared" si="103"/>
        <v>0</v>
      </c>
      <c r="BD211" s="324">
        <f t="shared" si="104"/>
        <v>0</v>
      </c>
      <c r="BE211" s="324">
        <f t="shared" si="105"/>
        <v>0</v>
      </c>
      <c r="BF211" s="324">
        <f t="shared" si="106"/>
        <v>0</v>
      </c>
      <c r="BG211" s="324">
        <f t="shared" si="107"/>
        <v>0</v>
      </c>
      <c r="BH211" s="324">
        <f t="shared" si="108"/>
        <v>0</v>
      </c>
      <c r="BI211" s="324">
        <f t="shared" si="109"/>
        <v>0</v>
      </c>
      <c r="BJ211" s="324">
        <f t="shared" si="110"/>
        <v>0</v>
      </c>
      <c r="BK211" s="324">
        <f t="shared" si="111"/>
        <v>0</v>
      </c>
      <c r="BL211" s="324">
        <f t="shared" si="112"/>
        <v>0</v>
      </c>
      <c r="BM211" s="324">
        <f t="shared" si="113"/>
        <v>0</v>
      </c>
      <c r="BN211" s="324">
        <f t="shared" si="114"/>
        <v>0</v>
      </c>
      <c r="BO211" s="324">
        <f t="shared" si="115"/>
        <v>0</v>
      </c>
      <c r="BP211" s="324">
        <f t="shared" si="116"/>
        <v>0</v>
      </c>
      <c r="BQ211" s="324">
        <f t="shared" si="117"/>
        <v>0</v>
      </c>
      <c r="BR211" s="324">
        <f t="shared" si="118"/>
        <v>0</v>
      </c>
      <c r="BS211" s="324">
        <f t="shared" si="119"/>
        <v>0</v>
      </c>
      <c r="BT211" s="332">
        <f t="shared" si="120"/>
        <v>0</v>
      </c>
    </row>
    <row r="212" spans="1:72" ht="14.25">
      <c r="A212" s="297"/>
      <c r="B212" s="323"/>
      <c r="C212" s="323"/>
      <c r="D212" s="2215"/>
      <c r="E212" s="324">
        <f t="shared" si="92"/>
        <v>0</v>
      </c>
      <c r="F212" s="325"/>
      <c r="G212" s="326">
        <f t="shared" si="93"/>
        <v>0</v>
      </c>
      <c r="H212" s="327">
        <f t="shared" si="94"/>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95"/>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96"/>
        <v>0</v>
      </c>
      <c r="AW212" s="2210">
        <f t="shared" si="97"/>
        <v>0</v>
      </c>
      <c r="AX212" s="2210">
        <f t="shared" si="98"/>
        <v>0</v>
      </c>
      <c r="AY212" s="331">
        <f t="shared" si="99"/>
        <v>0</v>
      </c>
      <c r="AZ212" s="324">
        <f t="shared" si="100"/>
        <v>0</v>
      </c>
      <c r="BA212" s="324">
        <f t="shared" si="101"/>
        <v>0</v>
      </c>
      <c r="BB212" s="324">
        <f t="shared" si="102"/>
        <v>0</v>
      </c>
      <c r="BC212" s="324">
        <f t="shared" si="103"/>
        <v>0</v>
      </c>
      <c r="BD212" s="324">
        <f t="shared" si="104"/>
        <v>0</v>
      </c>
      <c r="BE212" s="324">
        <f t="shared" si="105"/>
        <v>0</v>
      </c>
      <c r="BF212" s="324">
        <f t="shared" si="106"/>
        <v>0</v>
      </c>
      <c r="BG212" s="324">
        <f t="shared" si="107"/>
        <v>0</v>
      </c>
      <c r="BH212" s="324">
        <f t="shared" si="108"/>
        <v>0</v>
      </c>
      <c r="BI212" s="324">
        <f t="shared" si="109"/>
        <v>0</v>
      </c>
      <c r="BJ212" s="324">
        <f t="shared" si="110"/>
        <v>0</v>
      </c>
      <c r="BK212" s="324">
        <f t="shared" si="111"/>
        <v>0</v>
      </c>
      <c r="BL212" s="324">
        <f t="shared" si="112"/>
        <v>0</v>
      </c>
      <c r="BM212" s="324">
        <f t="shared" si="113"/>
        <v>0</v>
      </c>
      <c r="BN212" s="324">
        <f t="shared" si="114"/>
        <v>0</v>
      </c>
      <c r="BO212" s="324">
        <f t="shared" si="115"/>
        <v>0</v>
      </c>
      <c r="BP212" s="324">
        <f t="shared" si="116"/>
        <v>0</v>
      </c>
      <c r="BQ212" s="324">
        <f t="shared" si="117"/>
        <v>0</v>
      </c>
      <c r="BR212" s="324">
        <f t="shared" si="118"/>
        <v>0</v>
      </c>
      <c r="BS212" s="324">
        <f t="shared" si="119"/>
        <v>0</v>
      </c>
      <c r="BT212" s="332">
        <f t="shared" si="120"/>
        <v>0</v>
      </c>
    </row>
    <row r="213" spans="1:72" ht="14.25">
      <c r="A213" s="297"/>
      <c r="B213" s="323"/>
      <c r="C213" s="323"/>
      <c r="D213" s="2215"/>
      <c r="E213" s="324">
        <f t="shared" si="92"/>
        <v>0</v>
      </c>
      <c r="F213" s="325"/>
      <c r="G213" s="326">
        <f t="shared" si="93"/>
        <v>0</v>
      </c>
      <c r="H213" s="327">
        <f t="shared" si="94"/>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95"/>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96"/>
        <v>0</v>
      </c>
      <c r="AW213" s="2210">
        <f t="shared" si="97"/>
        <v>0</v>
      </c>
      <c r="AX213" s="2210">
        <f t="shared" si="98"/>
        <v>0</v>
      </c>
      <c r="AY213" s="331">
        <f t="shared" si="99"/>
        <v>0</v>
      </c>
      <c r="AZ213" s="324">
        <f t="shared" si="100"/>
        <v>0</v>
      </c>
      <c r="BA213" s="324">
        <f t="shared" si="101"/>
        <v>0</v>
      </c>
      <c r="BB213" s="324">
        <f t="shared" si="102"/>
        <v>0</v>
      </c>
      <c r="BC213" s="324">
        <f t="shared" si="103"/>
        <v>0</v>
      </c>
      <c r="BD213" s="324">
        <f t="shared" si="104"/>
        <v>0</v>
      </c>
      <c r="BE213" s="324">
        <f t="shared" si="105"/>
        <v>0</v>
      </c>
      <c r="BF213" s="324">
        <f t="shared" si="106"/>
        <v>0</v>
      </c>
      <c r="BG213" s="324">
        <f t="shared" si="107"/>
        <v>0</v>
      </c>
      <c r="BH213" s="324">
        <f t="shared" si="108"/>
        <v>0</v>
      </c>
      <c r="BI213" s="324">
        <f t="shared" si="109"/>
        <v>0</v>
      </c>
      <c r="BJ213" s="324">
        <f t="shared" si="110"/>
        <v>0</v>
      </c>
      <c r="BK213" s="324">
        <f t="shared" si="111"/>
        <v>0</v>
      </c>
      <c r="BL213" s="324">
        <f t="shared" si="112"/>
        <v>0</v>
      </c>
      <c r="BM213" s="324">
        <f t="shared" si="113"/>
        <v>0</v>
      </c>
      <c r="BN213" s="324">
        <f t="shared" si="114"/>
        <v>0</v>
      </c>
      <c r="BO213" s="324">
        <f t="shared" si="115"/>
        <v>0</v>
      </c>
      <c r="BP213" s="324">
        <f t="shared" si="116"/>
        <v>0</v>
      </c>
      <c r="BQ213" s="324">
        <f t="shared" si="117"/>
        <v>0</v>
      </c>
      <c r="BR213" s="324">
        <f t="shared" si="118"/>
        <v>0</v>
      </c>
      <c r="BS213" s="324">
        <f t="shared" si="119"/>
        <v>0</v>
      </c>
      <c r="BT213" s="332">
        <f t="shared" si="120"/>
        <v>0</v>
      </c>
    </row>
    <row r="214" spans="1:72" ht="14.25">
      <c r="A214" s="297"/>
      <c r="B214" s="323"/>
      <c r="C214" s="323"/>
      <c r="D214" s="2215"/>
      <c r="E214" s="324">
        <f t="shared" si="92"/>
        <v>0</v>
      </c>
      <c r="F214" s="325"/>
      <c r="G214" s="326">
        <f t="shared" si="93"/>
        <v>0</v>
      </c>
      <c r="H214" s="327">
        <f t="shared" si="94"/>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95"/>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96"/>
        <v>0</v>
      </c>
      <c r="AW214" s="2210">
        <f t="shared" si="97"/>
        <v>0</v>
      </c>
      <c r="AX214" s="2210">
        <f t="shared" si="98"/>
        <v>0</v>
      </c>
      <c r="AY214" s="331">
        <f t="shared" si="99"/>
        <v>0</v>
      </c>
      <c r="AZ214" s="324">
        <f t="shared" si="100"/>
        <v>0</v>
      </c>
      <c r="BA214" s="324">
        <f t="shared" si="101"/>
        <v>0</v>
      </c>
      <c r="BB214" s="324">
        <f t="shared" si="102"/>
        <v>0</v>
      </c>
      <c r="BC214" s="324">
        <f t="shared" si="103"/>
        <v>0</v>
      </c>
      <c r="BD214" s="324">
        <f t="shared" si="104"/>
        <v>0</v>
      </c>
      <c r="BE214" s="324">
        <f t="shared" si="105"/>
        <v>0</v>
      </c>
      <c r="BF214" s="324">
        <f t="shared" si="106"/>
        <v>0</v>
      </c>
      <c r="BG214" s="324">
        <f t="shared" si="107"/>
        <v>0</v>
      </c>
      <c r="BH214" s="324">
        <f t="shared" si="108"/>
        <v>0</v>
      </c>
      <c r="BI214" s="324">
        <f t="shared" si="109"/>
        <v>0</v>
      </c>
      <c r="BJ214" s="324">
        <f t="shared" si="110"/>
        <v>0</v>
      </c>
      <c r="BK214" s="324">
        <f t="shared" si="111"/>
        <v>0</v>
      </c>
      <c r="BL214" s="324">
        <f t="shared" si="112"/>
        <v>0</v>
      </c>
      <c r="BM214" s="324">
        <f t="shared" si="113"/>
        <v>0</v>
      </c>
      <c r="BN214" s="324">
        <f t="shared" si="114"/>
        <v>0</v>
      </c>
      <c r="BO214" s="324">
        <f t="shared" si="115"/>
        <v>0</v>
      </c>
      <c r="BP214" s="324">
        <f t="shared" si="116"/>
        <v>0</v>
      </c>
      <c r="BQ214" s="324">
        <f t="shared" si="117"/>
        <v>0</v>
      </c>
      <c r="BR214" s="324">
        <f t="shared" si="118"/>
        <v>0</v>
      </c>
      <c r="BS214" s="324">
        <f t="shared" si="119"/>
        <v>0</v>
      </c>
      <c r="BT214" s="332">
        <f t="shared" si="120"/>
        <v>0</v>
      </c>
    </row>
    <row r="215" spans="1:72" ht="14.25">
      <c r="A215" s="297"/>
      <c r="B215" s="323"/>
      <c r="C215" s="323"/>
      <c r="D215" s="2215"/>
      <c r="E215" s="324">
        <f t="shared" si="92"/>
        <v>0</v>
      </c>
      <c r="F215" s="325"/>
      <c r="G215" s="326">
        <f t="shared" si="93"/>
        <v>0</v>
      </c>
      <c r="H215" s="327">
        <f t="shared" si="94"/>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95"/>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96"/>
        <v>0</v>
      </c>
      <c r="AW215" s="2210">
        <f t="shared" si="97"/>
        <v>0</v>
      </c>
      <c r="AX215" s="2210">
        <f t="shared" si="98"/>
        <v>0</v>
      </c>
      <c r="AY215" s="331">
        <f t="shared" si="99"/>
        <v>0</v>
      </c>
      <c r="AZ215" s="324">
        <f t="shared" si="100"/>
        <v>0</v>
      </c>
      <c r="BA215" s="324">
        <f t="shared" si="101"/>
        <v>0</v>
      </c>
      <c r="BB215" s="324">
        <f t="shared" si="102"/>
        <v>0</v>
      </c>
      <c r="BC215" s="324">
        <f t="shared" si="103"/>
        <v>0</v>
      </c>
      <c r="BD215" s="324">
        <f t="shared" si="104"/>
        <v>0</v>
      </c>
      <c r="BE215" s="324">
        <f t="shared" si="105"/>
        <v>0</v>
      </c>
      <c r="BF215" s="324">
        <f t="shared" si="106"/>
        <v>0</v>
      </c>
      <c r="BG215" s="324">
        <f t="shared" si="107"/>
        <v>0</v>
      </c>
      <c r="BH215" s="324">
        <f t="shared" si="108"/>
        <v>0</v>
      </c>
      <c r="BI215" s="324">
        <f t="shared" si="109"/>
        <v>0</v>
      </c>
      <c r="BJ215" s="324">
        <f t="shared" si="110"/>
        <v>0</v>
      </c>
      <c r="BK215" s="324">
        <f t="shared" si="111"/>
        <v>0</v>
      </c>
      <c r="BL215" s="324">
        <f t="shared" si="112"/>
        <v>0</v>
      </c>
      <c r="BM215" s="324">
        <f t="shared" si="113"/>
        <v>0</v>
      </c>
      <c r="BN215" s="324">
        <f t="shared" si="114"/>
        <v>0</v>
      </c>
      <c r="BO215" s="324">
        <f t="shared" si="115"/>
        <v>0</v>
      </c>
      <c r="BP215" s="324">
        <f t="shared" si="116"/>
        <v>0</v>
      </c>
      <c r="BQ215" s="324">
        <f t="shared" si="117"/>
        <v>0</v>
      </c>
      <c r="BR215" s="324">
        <f t="shared" si="118"/>
        <v>0</v>
      </c>
      <c r="BS215" s="324">
        <f t="shared" si="119"/>
        <v>0</v>
      </c>
      <c r="BT215" s="332">
        <f t="shared" si="120"/>
        <v>0</v>
      </c>
    </row>
    <row r="216" spans="1:72" ht="14.25">
      <c r="A216" s="297"/>
      <c r="B216" s="323"/>
      <c r="C216" s="323"/>
      <c r="D216" s="2215"/>
      <c r="E216" s="324">
        <f t="shared" si="92"/>
        <v>0</v>
      </c>
      <c r="F216" s="325"/>
      <c r="G216" s="326">
        <f t="shared" si="93"/>
        <v>0</v>
      </c>
      <c r="H216" s="327">
        <f t="shared" si="94"/>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95"/>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96"/>
        <v>0</v>
      </c>
      <c r="AW216" s="2210">
        <f t="shared" si="97"/>
        <v>0</v>
      </c>
      <c r="AX216" s="2210">
        <f t="shared" si="98"/>
        <v>0</v>
      </c>
      <c r="AY216" s="331">
        <f t="shared" si="99"/>
        <v>0</v>
      </c>
      <c r="AZ216" s="324">
        <f t="shared" si="100"/>
        <v>0</v>
      </c>
      <c r="BA216" s="324">
        <f t="shared" si="101"/>
        <v>0</v>
      </c>
      <c r="BB216" s="324">
        <f t="shared" si="102"/>
        <v>0</v>
      </c>
      <c r="BC216" s="324">
        <f t="shared" si="103"/>
        <v>0</v>
      </c>
      <c r="BD216" s="324">
        <f t="shared" si="104"/>
        <v>0</v>
      </c>
      <c r="BE216" s="324">
        <f t="shared" si="105"/>
        <v>0</v>
      </c>
      <c r="BF216" s="324">
        <f t="shared" si="106"/>
        <v>0</v>
      </c>
      <c r="BG216" s="324">
        <f t="shared" si="107"/>
        <v>0</v>
      </c>
      <c r="BH216" s="324">
        <f t="shared" si="108"/>
        <v>0</v>
      </c>
      <c r="BI216" s="324">
        <f t="shared" si="109"/>
        <v>0</v>
      </c>
      <c r="BJ216" s="324">
        <f t="shared" si="110"/>
        <v>0</v>
      </c>
      <c r="BK216" s="324">
        <f t="shared" si="111"/>
        <v>0</v>
      </c>
      <c r="BL216" s="324">
        <f t="shared" si="112"/>
        <v>0</v>
      </c>
      <c r="BM216" s="324">
        <f t="shared" si="113"/>
        <v>0</v>
      </c>
      <c r="BN216" s="324">
        <f t="shared" si="114"/>
        <v>0</v>
      </c>
      <c r="BO216" s="324">
        <f t="shared" si="115"/>
        <v>0</v>
      </c>
      <c r="BP216" s="324">
        <f t="shared" si="116"/>
        <v>0</v>
      </c>
      <c r="BQ216" s="324">
        <f t="shared" si="117"/>
        <v>0</v>
      </c>
      <c r="BR216" s="324">
        <f t="shared" si="118"/>
        <v>0</v>
      </c>
      <c r="BS216" s="324">
        <f t="shared" si="119"/>
        <v>0</v>
      </c>
      <c r="BT216" s="332">
        <f t="shared" si="120"/>
        <v>0</v>
      </c>
    </row>
    <row r="217" spans="1:72" ht="14.25">
      <c r="A217" s="297"/>
      <c r="B217" s="323"/>
      <c r="C217" s="323"/>
      <c r="D217" s="2215"/>
      <c r="E217" s="324">
        <f t="shared" si="92"/>
        <v>0</v>
      </c>
      <c r="F217" s="325"/>
      <c r="G217" s="326">
        <f t="shared" si="93"/>
        <v>0</v>
      </c>
      <c r="H217" s="327">
        <f t="shared" si="94"/>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95"/>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96"/>
        <v>0</v>
      </c>
      <c r="AW217" s="2210">
        <f t="shared" si="97"/>
        <v>0</v>
      </c>
      <c r="AX217" s="2210">
        <f t="shared" si="98"/>
        <v>0</v>
      </c>
      <c r="AY217" s="331">
        <f t="shared" si="99"/>
        <v>0</v>
      </c>
      <c r="AZ217" s="324">
        <f t="shared" si="100"/>
        <v>0</v>
      </c>
      <c r="BA217" s="324">
        <f t="shared" si="101"/>
        <v>0</v>
      </c>
      <c r="BB217" s="324">
        <f t="shared" si="102"/>
        <v>0</v>
      </c>
      <c r="BC217" s="324">
        <f t="shared" si="103"/>
        <v>0</v>
      </c>
      <c r="BD217" s="324">
        <f t="shared" si="104"/>
        <v>0</v>
      </c>
      <c r="BE217" s="324">
        <f t="shared" si="105"/>
        <v>0</v>
      </c>
      <c r="BF217" s="324">
        <f t="shared" si="106"/>
        <v>0</v>
      </c>
      <c r="BG217" s="324">
        <f t="shared" si="107"/>
        <v>0</v>
      </c>
      <c r="BH217" s="324">
        <f t="shared" si="108"/>
        <v>0</v>
      </c>
      <c r="BI217" s="324">
        <f t="shared" si="109"/>
        <v>0</v>
      </c>
      <c r="BJ217" s="324">
        <f t="shared" si="110"/>
        <v>0</v>
      </c>
      <c r="BK217" s="324">
        <f t="shared" si="111"/>
        <v>0</v>
      </c>
      <c r="BL217" s="324">
        <f t="shared" si="112"/>
        <v>0</v>
      </c>
      <c r="BM217" s="324">
        <f t="shared" si="113"/>
        <v>0</v>
      </c>
      <c r="BN217" s="324">
        <f t="shared" si="114"/>
        <v>0</v>
      </c>
      <c r="BO217" s="324">
        <f t="shared" si="115"/>
        <v>0</v>
      </c>
      <c r="BP217" s="324">
        <f t="shared" si="116"/>
        <v>0</v>
      </c>
      <c r="BQ217" s="324">
        <f t="shared" si="117"/>
        <v>0</v>
      </c>
      <c r="BR217" s="324">
        <f t="shared" si="118"/>
        <v>0</v>
      </c>
      <c r="BS217" s="324">
        <f t="shared" si="119"/>
        <v>0</v>
      </c>
      <c r="BT217" s="332">
        <f t="shared" si="120"/>
        <v>0</v>
      </c>
    </row>
    <row r="218" spans="1:72" ht="14.25">
      <c r="A218" s="297"/>
      <c r="B218" s="323"/>
      <c r="C218" s="323"/>
      <c r="D218" s="2215"/>
      <c r="E218" s="324">
        <f t="shared" si="92"/>
        <v>0</v>
      </c>
      <c r="F218" s="325"/>
      <c r="G218" s="326">
        <f t="shared" si="93"/>
        <v>0</v>
      </c>
      <c r="H218" s="327">
        <f t="shared" si="94"/>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95"/>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96"/>
        <v>0</v>
      </c>
      <c r="AW218" s="2210">
        <f t="shared" si="97"/>
        <v>0</v>
      </c>
      <c r="AX218" s="2210">
        <f t="shared" si="98"/>
        <v>0</v>
      </c>
      <c r="AY218" s="331">
        <f t="shared" si="99"/>
        <v>0</v>
      </c>
      <c r="AZ218" s="324">
        <f t="shared" si="100"/>
        <v>0</v>
      </c>
      <c r="BA218" s="324">
        <f t="shared" si="101"/>
        <v>0</v>
      </c>
      <c r="BB218" s="324">
        <f t="shared" si="102"/>
        <v>0</v>
      </c>
      <c r="BC218" s="324">
        <f t="shared" si="103"/>
        <v>0</v>
      </c>
      <c r="BD218" s="324">
        <f t="shared" si="104"/>
        <v>0</v>
      </c>
      <c r="BE218" s="324">
        <f t="shared" si="105"/>
        <v>0</v>
      </c>
      <c r="BF218" s="324">
        <f t="shared" si="106"/>
        <v>0</v>
      </c>
      <c r="BG218" s="324">
        <f t="shared" si="107"/>
        <v>0</v>
      </c>
      <c r="BH218" s="324">
        <f t="shared" si="108"/>
        <v>0</v>
      </c>
      <c r="BI218" s="324">
        <f t="shared" si="109"/>
        <v>0</v>
      </c>
      <c r="BJ218" s="324">
        <f t="shared" si="110"/>
        <v>0</v>
      </c>
      <c r="BK218" s="324">
        <f t="shared" si="111"/>
        <v>0</v>
      </c>
      <c r="BL218" s="324">
        <f t="shared" si="112"/>
        <v>0</v>
      </c>
      <c r="BM218" s="324">
        <f t="shared" si="113"/>
        <v>0</v>
      </c>
      <c r="BN218" s="324">
        <f t="shared" si="114"/>
        <v>0</v>
      </c>
      <c r="BO218" s="324">
        <f t="shared" si="115"/>
        <v>0</v>
      </c>
      <c r="BP218" s="324">
        <f t="shared" si="116"/>
        <v>0</v>
      </c>
      <c r="BQ218" s="324">
        <f t="shared" si="117"/>
        <v>0</v>
      </c>
      <c r="BR218" s="324">
        <f t="shared" si="118"/>
        <v>0</v>
      </c>
      <c r="BS218" s="324">
        <f t="shared" si="119"/>
        <v>0</v>
      </c>
      <c r="BT218" s="332">
        <f t="shared" si="120"/>
        <v>0</v>
      </c>
    </row>
    <row r="219" spans="1:72" ht="14.25">
      <c r="A219" s="297"/>
      <c r="B219" s="323"/>
      <c r="C219" s="323"/>
      <c r="D219" s="2215"/>
      <c r="E219" s="324">
        <f t="shared" si="92"/>
        <v>0</v>
      </c>
      <c r="F219" s="325"/>
      <c r="G219" s="326">
        <f t="shared" si="93"/>
        <v>0</v>
      </c>
      <c r="H219" s="327">
        <f t="shared" si="94"/>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95"/>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96"/>
        <v>0</v>
      </c>
      <c r="AW219" s="2210">
        <f t="shared" si="97"/>
        <v>0</v>
      </c>
      <c r="AX219" s="2210">
        <f t="shared" si="98"/>
        <v>0</v>
      </c>
      <c r="AY219" s="331">
        <f t="shared" si="99"/>
        <v>0</v>
      </c>
      <c r="AZ219" s="324">
        <f t="shared" si="100"/>
        <v>0</v>
      </c>
      <c r="BA219" s="324">
        <f t="shared" si="101"/>
        <v>0</v>
      </c>
      <c r="BB219" s="324">
        <f t="shared" si="102"/>
        <v>0</v>
      </c>
      <c r="BC219" s="324">
        <f t="shared" si="103"/>
        <v>0</v>
      </c>
      <c r="BD219" s="324">
        <f t="shared" si="104"/>
        <v>0</v>
      </c>
      <c r="BE219" s="324">
        <f t="shared" si="105"/>
        <v>0</v>
      </c>
      <c r="BF219" s="324">
        <f t="shared" si="106"/>
        <v>0</v>
      </c>
      <c r="BG219" s="324">
        <f t="shared" si="107"/>
        <v>0</v>
      </c>
      <c r="BH219" s="324">
        <f t="shared" si="108"/>
        <v>0</v>
      </c>
      <c r="BI219" s="324">
        <f t="shared" si="109"/>
        <v>0</v>
      </c>
      <c r="BJ219" s="324">
        <f t="shared" si="110"/>
        <v>0</v>
      </c>
      <c r="BK219" s="324">
        <f t="shared" si="111"/>
        <v>0</v>
      </c>
      <c r="BL219" s="324">
        <f t="shared" si="112"/>
        <v>0</v>
      </c>
      <c r="BM219" s="324">
        <f t="shared" si="113"/>
        <v>0</v>
      </c>
      <c r="BN219" s="324">
        <f t="shared" si="114"/>
        <v>0</v>
      </c>
      <c r="BO219" s="324">
        <f t="shared" si="115"/>
        <v>0</v>
      </c>
      <c r="BP219" s="324">
        <f t="shared" si="116"/>
        <v>0</v>
      </c>
      <c r="BQ219" s="324">
        <f t="shared" si="117"/>
        <v>0</v>
      </c>
      <c r="BR219" s="324">
        <f t="shared" si="118"/>
        <v>0</v>
      </c>
      <c r="BS219" s="324">
        <f t="shared" si="119"/>
        <v>0</v>
      </c>
      <c r="BT219" s="332">
        <f t="shared" si="120"/>
        <v>0</v>
      </c>
    </row>
    <row r="220" spans="1:72" ht="14.25">
      <c r="A220" s="297"/>
      <c r="B220" s="323"/>
      <c r="C220" s="323"/>
      <c r="D220" s="2215"/>
      <c r="E220" s="324">
        <f t="shared" si="92"/>
        <v>0</v>
      </c>
      <c r="F220" s="325"/>
      <c r="G220" s="326">
        <f t="shared" si="93"/>
        <v>0</v>
      </c>
      <c r="H220" s="327">
        <f t="shared" si="94"/>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95"/>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96"/>
        <v>0</v>
      </c>
      <c r="AW220" s="2210">
        <f t="shared" si="97"/>
        <v>0</v>
      </c>
      <c r="AX220" s="2210">
        <f t="shared" si="98"/>
        <v>0</v>
      </c>
      <c r="AY220" s="331">
        <f t="shared" si="99"/>
        <v>0</v>
      </c>
      <c r="AZ220" s="324">
        <f t="shared" si="100"/>
        <v>0</v>
      </c>
      <c r="BA220" s="324">
        <f t="shared" si="101"/>
        <v>0</v>
      </c>
      <c r="BB220" s="324">
        <f t="shared" si="102"/>
        <v>0</v>
      </c>
      <c r="BC220" s="324">
        <f t="shared" si="103"/>
        <v>0</v>
      </c>
      <c r="BD220" s="324">
        <f t="shared" si="104"/>
        <v>0</v>
      </c>
      <c r="BE220" s="324">
        <f t="shared" si="105"/>
        <v>0</v>
      </c>
      <c r="BF220" s="324">
        <f t="shared" si="106"/>
        <v>0</v>
      </c>
      <c r="BG220" s="324">
        <f t="shared" si="107"/>
        <v>0</v>
      </c>
      <c r="BH220" s="324">
        <f t="shared" si="108"/>
        <v>0</v>
      </c>
      <c r="BI220" s="324">
        <f t="shared" si="109"/>
        <v>0</v>
      </c>
      <c r="BJ220" s="324">
        <f t="shared" si="110"/>
        <v>0</v>
      </c>
      <c r="BK220" s="324">
        <f t="shared" si="111"/>
        <v>0</v>
      </c>
      <c r="BL220" s="324">
        <f t="shared" si="112"/>
        <v>0</v>
      </c>
      <c r="BM220" s="324">
        <f t="shared" si="113"/>
        <v>0</v>
      </c>
      <c r="BN220" s="324">
        <f t="shared" si="114"/>
        <v>0</v>
      </c>
      <c r="BO220" s="324">
        <f t="shared" si="115"/>
        <v>0</v>
      </c>
      <c r="BP220" s="324">
        <f t="shared" si="116"/>
        <v>0</v>
      </c>
      <c r="BQ220" s="324">
        <f t="shared" si="117"/>
        <v>0</v>
      </c>
      <c r="BR220" s="324">
        <f t="shared" si="118"/>
        <v>0</v>
      </c>
      <c r="BS220" s="324">
        <f t="shared" si="119"/>
        <v>0</v>
      </c>
      <c r="BT220" s="332">
        <f t="shared" si="120"/>
        <v>0</v>
      </c>
    </row>
    <row r="221" spans="1:72" ht="14.25">
      <c r="A221" s="297"/>
      <c r="B221" s="323"/>
      <c r="C221" s="323"/>
      <c r="D221" s="2215"/>
      <c r="E221" s="324">
        <f t="shared" si="92"/>
        <v>0</v>
      </c>
      <c r="F221" s="325"/>
      <c r="G221" s="326">
        <f t="shared" si="93"/>
        <v>0</v>
      </c>
      <c r="H221" s="327">
        <f t="shared" si="94"/>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95"/>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96"/>
        <v>0</v>
      </c>
      <c r="AW221" s="2210">
        <f t="shared" si="97"/>
        <v>0</v>
      </c>
      <c r="AX221" s="2210">
        <f t="shared" si="98"/>
        <v>0</v>
      </c>
      <c r="AY221" s="331">
        <f t="shared" si="99"/>
        <v>0</v>
      </c>
      <c r="AZ221" s="324">
        <f t="shared" si="100"/>
        <v>0</v>
      </c>
      <c r="BA221" s="324">
        <f t="shared" si="101"/>
        <v>0</v>
      </c>
      <c r="BB221" s="324">
        <f t="shared" si="102"/>
        <v>0</v>
      </c>
      <c r="BC221" s="324">
        <f t="shared" si="103"/>
        <v>0</v>
      </c>
      <c r="BD221" s="324">
        <f t="shared" si="104"/>
        <v>0</v>
      </c>
      <c r="BE221" s="324">
        <f t="shared" si="105"/>
        <v>0</v>
      </c>
      <c r="BF221" s="324">
        <f t="shared" si="106"/>
        <v>0</v>
      </c>
      <c r="BG221" s="324">
        <f t="shared" si="107"/>
        <v>0</v>
      </c>
      <c r="BH221" s="324">
        <f t="shared" si="108"/>
        <v>0</v>
      </c>
      <c r="BI221" s="324">
        <f t="shared" si="109"/>
        <v>0</v>
      </c>
      <c r="BJ221" s="324">
        <f t="shared" si="110"/>
        <v>0</v>
      </c>
      <c r="BK221" s="324">
        <f t="shared" si="111"/>
        <v>0</v>
      </c>
      <c r="BL221" s="324">
        <f t="shared" si="112"/>
        <v>0</v>
      </c>
      <c r="BM221" s="324">
        <f t="shared" si="113"/>
        <v>0</v>
      </c>
      <c r="BN221" s="324">
        <f t="shared" si="114"/>
        <v>0</v>
      </c>
      <c r="BO221" s="324">
        <f t="shared" si="115"/>
        <v>0</v>
      </c>
      <c r="BP221" s="324">
        <f t="shared" si="116"/>
        <v>0</v>
      </c>
      <c r="BQ221" s="324">
        <f t="shared" si="117"/>
        <v>0</v>
      </c>
      <c r="BR221" s="324">
        <f t="shared" si="118"/>
        <v>0</v>
      </c>
      <c r="BS221" s="324">
        <f t="shared" si="119"/>
        <v>0</v>
      </c>
      <c r="BT221" s="332">
        <f t="shared" si="120"/>
        <v>0</v>
      </c>
    </row>
    <row r="222" spans="1:72" ht="14.25">
      <c r="A222" s="297"/>
      <c r="B222" s="323"/>
      <c r="C222" s="323"/>
      <c r="D222" s="2215"/>
      <c r="E222" s="324">
        <f t="shared" si="92"/>
        <v>0</v>
      </c>
      <c r="F222" s="325"/>
      <c r="G222" s="326">
        <f t="shared" si="93"/>
        <v>0</v>
      </c>
      <c r="H222" s="327">
        <f t="shared" si="94"/>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95"/>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96"/>
        <v>0</v>
      </c>
      <c r="AW222" s="2210">
        <f t="shared" si="97"/>
        <v>0</v>
      </c>
      <c r="AX222" s="2210">
        <f t="shared" si="98"/>
        <v>0</v>
      </c>
      <c r="AY222" s="331">
        <f t="shared" si="99"/>
        <v>0</v>
      </c>
      <c r="AZ222" s="324">
        <f t="shared" si="100"/>
        <v>0</v>
      </c>
      <c r="BA222" s="324">
        <f t="shared" si="101"/>
        <v>0</v>
      </c>
      <c r="BB222" s="324">
        <f t="shared" si="102"/>
        <v>0</v>
      </c>
      <c r="BC222" s="324">
        <f t="shared" si="103"/>
        <v>0</v>
      </c>
      <c r="BD222" s="324">
        <f t="shared" si="104"/>
        <v>0</v>
      </c>
      <c r="BE222" s="324">
        <f t="shared" si="105"/>
        <v>0</v>
      </c>
      <c r="BF222" s="324">
        <f t="shared" si="106"/>
        <v>0</v>
      </c>
      <c r="BG222" s="324">
        <f t="shared" si="107"/>
        <v>0</v>
      </c>
      <c r="BH222" s="324">
        <f t="shared" si="108"/>
        <v>0</v>
      </c>
      <c r="BI222" s="324">
        <f t="shared" si="109"/>
        <v>0</v>
      </c>
      <c r="BJ222" s="324">
        <f t="shared" si="110"/>
        <v>0</v>
      </c>
      <c r="BK222" s="324">
        <f t="shared" si="111"/>
        <v>0</v>
      </c>
      <c r="BL222" s="324">
        <f t="shared" si="112"/>
        <v>0</v>
      </c>
      <c r="BM222" s="324">
        <f t="shared" si="113"/>
        <v>0</v>
      </c>
      <c r="BN222" s="324">
        <f t="shared" si="114"/>
        <v>0</v>
      </c>
      <c r="BO222" s="324">
        <f t="shared" si="115"/>
        <v>0</v>
      </c>
      <c r="BP222" s="324">
        <f t="shared" si="116"/>
        <v>0</v>
      </c>
      <c r="BQ222" s="324">
        <f t="shared" si="117"/>
        <v>0</v>
      </c>
      <c r="BR222" s="324">
        <f t="shared" si="118"/>
        <v>0</v>
      </c>
      <c r="BS222" s="324">
        <f t="shared" si="119"/>
        <v>0</v>
      </c>
      <c r="BT222" s="332">
        <f t="shared" si="120"/>
        <v>0</v>
      </c>
    </row>
    <row r="223" spans="1:72" ht="14.25">
      <c r="A223" s="297"/>
      <c r="B223" s="323"/>
      <c r="C223" s="323"/>
      <c r="D223" s="2215"/>
      <c r="E223" s="324">
        <f t="shared" si="92"/>
        <v>0</v>
      </c>
      <c r="F223" s="325"/>
      <c r="G223" s="326">
        <f t="shared" si="93"/>
        <v>0</v>
      </c>
      <c r="H223" s="327">
        <f t="shared" si="94"/>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95"/>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96"/>
        <v>0</v>
      </c>
      <c r="AW223" s="2210">
        <f t="shared" si="97"/>
        <v>0</v>
      </c>
      <c r="AX223" s="2210">
        <f t="shared" si="98"/>
        <v>0</v>
      </c>
      <c r="AY223" s="331">
        <f t="shared" si="99"/>
        <v>0</v>
      </c>
      <c r="AZ223" s="324">
        <f t="shared" si="100"/>
        <v>0</v>
      </c>
      <c r="BA223" s="324">
        <f t="shared" si="101"/>
        <v>0</v>
      </c>
      <c r="BB223" s="324">
        <f t="shared" si="102"/>
        <v>0</v>
      </c>
      <c r="BC223" s="324">
        <f t="shared" si="103"/>
        <v>0</v>
      </c>
      <c r="BD223" s="324">
        <f t="shared" si="104"/>
        <v>0</v>
      </c>
      <c r="BE223" s="324">
        <f t="shared" si="105"/>
        <v>0</v>
      </c>
      <c r="BF223" s="324">
        <f t="shared" si="106"/>
        <v>0</v>
      </c>
      <c r="BG223" s="324">
        <f t="shared" si="107"/>
        <v>0</v>
      </c>
      <c r="BH223" s="324">
        <f t="shared" si="108"/>
        <v>0</v>
      </c>
      <c r="BI223" s="324">
        <f t="shared" si="109"/>
        <v>0</v>
      </c>
      <c r="BJ223" s="324">
        <f t="shared" si="110"/>
        <v>0</v>
      </c>
      <c r="BK223" s="324">
        <f t="shared" si="111"/>
        <v>0</v>
      </c>
      <c r="BL223" s="324">
        <f t="shared" si="112"/>
        <v>0</v>
      </c>
      <c r="BM223" s="324">
        <f t="shared" si="113"/>
        <v>0</v>
      </c>
      <c r="BN223" s="324">
        <f t="shared" si="114"/>
        <v>0</v>
      </c>
      <c r="BO223" s="324">
        <f t="shared" si="115"/>
        <v>0</v>
      </c>
      <c r="BP223" s="324">
        <f t="shared" si="116"/>
        <v>0</v>
      </c>
      <c r="BQ223" s="324">
        <f t="shared" si="117"/>
        <v>0</v>
      </c>
      <c r="BR223" s="324">
        <f t="shared" si="118"/>
        <v>0</v>
      </c>
      <c r="BS223" s="324">
        <f t="shared" si="119"/>
        <v>0</v>
      </c>
      <c r="BT223" s="332">
        <f t="shared" si="120"/>
        <v>0</v>
      </c>
    </row>
    <row r="224" spans="1:72" ht="14.25">
      <c r="A224" s="297"/>
      <c r="B224" s="323"/>
      <c r="C224" s="323"/>
      <c r="D224" s="2215"/>
      <c r="E224" s="324">
        <f t="shared" si="92"/>
        <v>0</v>
      </c>
      <c r="F224" s="325"/>
      <c r="G224" s="326">
        <f t="shared" si="93"/>
        <v>0</v>
      </c>
      <c r="H224" s="327">
        <f t="shared" si="94"/>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95"/>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96"/>
        <v>0</v>
      </c>
      <c r="AW224" s="2210">
        <f t="shared" si="97"/>
        <v>0</v>
      </c>
      <c r="AX224" s="2210">
        <f t="shared" si="98"/>
        <v>0</v>
      </c>
      <c r="AY224" s="331">
        <f t="shared" si="99"/>
        <v>0</v>
      </c>
      <c r="AZ224" s="324">
        <f t="shared" si="100"/>
        <v>0</v>
      </c>
      <c r="BA224" s="324">
        <f t="shared" si="101"/>
        <v>0</v>
      </c>
      <c r="BB224" s="324">
        <f t="shared" si="102"/>
        <v>0</v>
      </c>
      <c r="BC224" s="324">
        <f t="shared" si="103"/>
        <v>0</v>
      </c>
      <c r="BD224" s="324">
        <f t="shared" si="104"/>
        <v>0</v>
      </c>
      <c r="BE224" s="324">
        <f t="shared" si="105"/>
        <v>0</v>
      </c>
      <c r="BF224" s="324">
        <f t="shared" si="106"/>
        <v>0</v>
      </c>
      <c r="BG224" s="324">
        <f t="shared" si="107"/>
        <v>0</v>
      </c>
      <c r="BH224" s="324">
        <f t="shared" si="108"/>
        <v>0</v>
      </c>
      <c r="BI224" s="324">
        <f t="shared" si="109"/>
        <v>0</v>
      </c>
      <c r="BJ224" s="324">
        <f t="shared" si="110"/>
        <v>0</v>
      </c>
      <c r="BK224" s="324">
        <f t="shared" si="111"/>
        <v>0</v>
      </c>
      <c r="BL224" s="324">
        <f t="shared" si="112"/>
        <v>0</v>
      </c>
      <c r="BM224" s="324">
        <f t="shared" si="113"/>
        <v>0</v>
      </c>
      <c r="BN224" s="324">
        <f t="shared" si="114"/>
        <v>0</v>
      </c>
      <c r="BO224" s="324">
        <f t="shared" si="115"/>
        <v>0</v>
      </c>
      <c r="BP224" s="324">
        <f t="shared" si="116"/>
        <v>0</v>
      </c>
      <c r="BQ224" s="324">
        <f t="shared" si="117"/>
        <v>0</v>
      </c>
      <c r="BR224" s="324">
        <f t="shared" si="118"/>
        <v>0</v>
      </c>
      <c r="BS224" s="324">
        <f t="shared" si="119"/>
        <v>0</v>
      </c>
      <c r="BT224" s="332">
        <f t="shared" si="120"/>
        <v>0</v>
      </c>
    </row>
    <row r="225" spans="1:72" ht="14.25">
      <c r="A225" s="297"/>
      <c r="B225" s="323"/>
      <c r="C225" s="323"/>
      <c r="D225" s="2215"/>
      <c r="E225" s="324">
        <f t="shared" si="92"/>
        <v>0</v>
      </c>
      <c r="F225" s="325"/>
      <c r="G225" s="326">
        <f t="shared" si="93"/>
        <v>0</v>
      </c>
      <c r="H225" s="327">
        <f t="shared" si="94"/>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95"/>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96"/>
        <v>0</v>
      </c>
      <c r="AW225" s="2210">
        <f t="shared" si="97"/>
        <v>0</v>
      </c>
      <c r="AX225" s="2210">
        <f t="shared" si="98"/>
        <v>0</v>
      </c>
      <c r="AY225" s="331">
        <f t="shared" si="99"/>
        <v>0</v>
      </c>
      <c r="AZ225" s="324">
        <f t="shared" si="100"/>
        <v>0</v>
      </c>
      <c r="BA225" s="324">
        <f t="shared" si="101"/>
        <v>0</v>
      </c>
      <c r="BB225" s="324">
        <f t="shared" si="102"/>
        <v>0</v>
      </c>
      <c r="BC225" s="324">
        <f t="shared" si="103"/>
        <v>0</v>
      </c>
      <c r="BD225" s="324">
        <f t="shared" si="104"/>
        <v>0</v>
      </c>
      <c r="BE225" s="324">
        <f t="shared" si="105"/>
        <v>0</v>
      </c>
      <c r="BF225" s="324">
        <f t="shared" si="106"/>
        <v>0</v>
      </c>
      <c r="BG225" s="324">
        <f t="shared" si="107"/>
        <v>0</v>
      </c>
      <c r="BH225" s="324">
        <f t="shared" si="108"/>
        <v>0</v>
      </c>
      <c r="BI225" s="324">
        <f t="shared" si="109"/>
        <v>0</v>
      </c>
      <c r="BJ225" s="324">
        <f t="shared" si="110"/>
        <v>0</v>
      </c>
      <c r="BK225" s="324">
        <f t="shared" si="111"/>
        <v>0</v>
      </c>
      <c r="BL225" s="324">
        <f t="shared" si="112"/>
        <v>0</v>
      </c>
      <c r="BM225" s="324">
        <f t="shared" si="113"/>
        <v>0</v>
      </c>
      <c r="BN225" s="324">
        <f t="shared" si="114"/>
        <v>0</v>
      </c>
      <c r="BO225" s="324">
        <f t="shared" si="115"/>
        <v>0</v>
      </c>
      <c r="BP225" s="324">
        <f t="shared" si="116"/>
        <v>0</v>
      </c>
      <c r="BQ225" s="324">
        <f t="shared" si="117"/>
        <v>0</v>
      </c>
      <c r="BR225" s="324">
        <f t="shared" si="118"/>
        <v>0</v>
      </c>
      <c r="BS225" s="324">
        <f t="shared" si="119"/>
        <v>0</v>
      </c>
      <c r="BT225" s="332">
        <f t="shared" si="120"/>
        <v>0</v>
      </c>
    </row>
    <row r="226" spans="1:72" ht="14.25">
      <c r="A226" s="297"/>
      <c r="B226" s="323"/>
      <c r="C226" s="323"/>
      <c r="D226" s="2215"/>
      <c r="E226" s="324">
        <f t="shared" si="92"/>
        <v>0</v>
      </c>
      <c r="F226" s="325"/>
      <c r="G226" s="326">
        <f t="shared" si="93"/>
        <v>0</v>
      </c>
      <c r="H226" s="327">
        <f t="shared" si="94"/>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95"/>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96"/>
        <v>0</v>
      </c>
      <c r="AW226" s="2210">
        <f t="shared" si="97"/>
        <v>0</v>
      </c>
      <c r="AX226" s="2210">
        <f t="shared" si="98"/>
        <v>0</v>
      </c>
      <c r="AY226" s="331">
        <f t="shared" si="99"/>
        <v>0</v>
      </c>
      <c r="AZ226" s="324">
        <f t="shared" si="100"/>
        <v>0</v>
      </c>
      <c r="BA226" s="324">
        <f t="shared" si="101"/>
        <v>0</v>
      </c>
      <c r="BB226" s="324">
        <f t="shared" si="102"/>
        <v>0</v>
      </c>
      <c r="BC226" s="324">
        <f t="shared" si="103"/>
        <v>0</v>
      </c>
      <c r="BD226" s="324">
        <f t="shared" si="104"/>
        <v>0</v>
      </c>
      <c r="BE226" s="324">
        <f t="shared" si="105"/>
        <v>0</v>
      </c>
      <c r="BF226" s="324">
        <f t="shared" si="106"/>
        <v>0</v>
      </c>
      <c r="BG226" s="324">
        <f t="shared" si="107"/>
        <v>0</v>
      </c>
      <c r="BH226" s="324">
        <f t="shared" si="108"/>
        <v>0</v>
      </c>
      <c r="BI226" s="324">
        <f t="shared" si="109"/>
        <v>0</v>
      </c>
      <c r="BJ226" s="324">
        <f t="shared" si="110"/>
        <v>0</v>
      </c>
      <c r="BK226" s="324">
        <f t="shared" si="111"/>
        <v>0</v>
      </c>
      <c r="BL226" s="324">
        <f t="shared" si="112"/>
        <v>0</v>
      </c>
      <c r="BM226" s="324">
        <f t="shared" si="113"/>
        <v>0</v>
      </c>
      <c r="BN226" s="324">
        <f t="shared" si="114"/>
        <v>0</v>
      </c>
      <c r="BO226" s="324">
        <f t="shared" si="115"/>
        <v>0</v>
      </c>
      <c r="BP226" s="324">
        <f t="shared" si="116"/>
        <v>0</v>
      </c>
      <c r="BQ226" s="324">
        <f t="shared" si="117"/>
        <v>0</v>
      </c>
      <c r="BR226" s="324">
        <f t="shared" si="118"/>
        <v>0</v>
      </c>
      <c r="BS226" s="324">
        <f t="shared" si="119"/>
        <v>0</v>
      </c>
      <c r="BT226" s="332">
        <f t="shared" si="120"/>
        <v>0</v>
      </c>
    </row>
    <row r="227" spans="1:72" ht="14.25">
      <c r="A227" s="297"/>
      <c r="B227" s="323"/>
      <c r="C227" s="323"/>
      <c r="D227" s="2215"/>
      <c r="E227" s="324">
        <f t="shared" si="92"/>
        <v>0</v>
      </c>
      <c r="F227" s="325"/>
      <c r="G227" s="326">
        <f t="shared" si="93"/>
        <v>0</v>
      </c>
      <c r="H227" s="327">
        <f t="shared" si="94"/>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95"/>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96"/>
        <v>0</v>
      </c>
      <c r="AW227" s="2210">
        <f t="shared" si="97"/>
        <v>0</v>
      </c>
      <c r="AX227" s="2210">
        <f t="shared" si="98"/>
        <v>0</v>
      </c>
      <c r="AY227" s="331">
        <f t="shared" si="99"/>
        <v>0</v>
      </c>
      <c r="AZ227" s="324">
        <f t="shared" si="100"/>
        <v>0</v>
      </c>
      <c r="BA227" s="324">
        <f t="shared" si="101"/>
        <v>0</v>
      </c>
      <c r="BB227" s="324">
        <f t="shared" si="102"/>
        <v>0</v>
      </c>
      <c r="BC227" s="324">
        <f t="shared" si="103"/>
        <v>0</v>
      </c>
      <c r="BD227" s="324">
        <f t="shared" si="104"/>
        <v>0</v>
      </c>
      <c r="BE227" s="324">
        <f t="shared" si="105"/>
        <v>0</v>
      </c>
      <c r="BF227" s="324">
        <f t="shared" si="106"/>
        <v>0</v>
      </c>
      <c r="BG227" s="324">
        <f t="shared" si="107"/>
        <v>0</v>
      </c>
      <c r="BH227" s="324">
        <f t="shared" si="108"/>
        <v>0</v>
      </c>
      <c r="BI227" s="324">
        <f t="shared" si="109"/>
        <v>0</v>
      </c>
      <c r="BJ227" s="324">
        <f t="shared" si="110"/>
        <v>0</v>
      </c>
      <c r="BK227" s="324">
        <f t="shared" si="111"/>
        <v>0</v>
      </c>
      <c r="BL227" s="324">
        <f t="shared" si="112"/>
        <v>0</v>
      </c>
      <c r="BM227" s="324">
        <f t="shared" si="113"/>
        <v>0</v>
      </c>
      <c r="BN227" s="324">
        <f t="shared" si="114"/>
        <v>0</v>
      </c>
      <c r="BO227" s="324">
        <f t="shared" si="115"/>
        <v>0</v>
      </c>
      <c r="BP227" s="324">
        <f t="shared" si="116"/>
        <v>0</v>
      </c>
      <c r="BQ227" s="324">
        <f t="shared" si="117"/>
        <v>0</v>
      </c>
      <c r="BR227" s="324">
        <f t="shared" si="118"/>
        <v>0</v>
      </c>
      <c r="BS227" s="324">
        <f t="shared" si="119"/>
        <v>0</v>
      </c>
      <c r="BT227" s="332">
        <f t="shared" si="120"/>
        <v>0</v>
      </c>
    </row>
    <row r="228" spans="1:72" ht="14.25">
      <c r="A228" s="297"/>
      <c r="B228" s="323"/>
      <c r="C228" s="323"/>
      <c r="D228" s="2215"/>
      <c r="E228" s="324">
        <f t="shared" si="92"/>
        <v>0</v>
      </c>
      <c r="F228" s="325"/>
      <c r="G228" s="326">
        <f t="shared" si="93"/>
        <v>0</v>
      </c>
      <c r="H228" s="327">
        <f t="shared" si="94"/>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95"/>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96"/>
        <v>0</v>
      </c>
      <c r="AW228" s="2210">
        <f t="shared" si="97"/>
        <v>0</v>
      </c>
      <c r="AX228" s="2210">
        <f t="shared" si="98"/>
        <v>0</v>
      </c>
      <c r="AY228" s="331">
        <f t="shared" si="99"/>
        <v>0</v>
      </c>
      <c r="AZ228" s="324">
        <f t="shared" si="100"/>
        <v>0</v>
      </c>
      <c r="BA228" s="324">
        <f t="shared" si="101"/>
        <v>0</v>
      </c>
      <c r="BB228" s="324">
        <f t="shared" si="102"/>
        <v>0</v>
      </c>
      <c r="BC228" s="324">
        <f t="shared" si="103"/>
        <v>0</v>
      </c>
      <c r="BD228" s="324">
        <f t="shared" si="104"/>
        <v>0</v>
      </c>
      <c r="BE228" s="324">
        <f t="shared" si="105"/>
        <v>0</v>
      </c>
      <c r="BF228" s="324">
        <f t="shared" si="106"/>
        <v>0</v>
      </c>
      <c r="BG228" s="324">
        <f t="shared" si="107"/>
        <v>0</v>
      </c>
      <c r="BH228" s="324">
        <f t="shared" si="108"/>
        <v>0</v>
      </c>
      <c r="BI228" s="324">
        <f t="shared" si="109"/>
        <v>0</v>
      </c>
      <c r="BJ228" s="324">
        <f t="shared" si="110"/>
        <v>0</v>
      </c>
      <c r="BK228" s="324">
        <f t="shared" si="111"/>
        <v>0</v>
      </c>
      <c r="BL228" s="324">
        <f t="shared" si="112"/>
        <v>0</v>
      </c>
      <c r="BM228" s="324">
        <f t="shared" si="113"/>
        <v>0</v>
      </c>
      <c r="BN228" s="324">
        <f t="shared" si="114"/>
        <v>0</v>
      </c>
      <c r="BO228" s="324">
        <f t="shared" si="115"/>
        <v>0</v>
      </c>
      <c r="BP228" s="324">
        <f t="shared" si="116"/>
        <v>0</v>
      </c>
      <c r="BQ228" s="324">
        <f t="shared" si="117"/>
        <v>0</v>
      </c>
      <c r="BR228" s="324">
        <f t="shared" si="118"/>
        <v>0</v>
      </c>
      <c r="BS228" s="324">
        <f t="shared" si="119"/>
        <v>0</v>
      </c>
      <c r="BT228" s="332">
        <f t="shared" si="120"/>
        <v>0</v>
      </c>
    </row>
    <row r="229" spans="1:72" ht="14.25">
      <c r="A229" s="297"/>
      <c r="B229" s="323"/>
      <c r="C229" s="323"/>
      <c r="D229" s="2215"/>
      <c r="E229" s="324">
        <f t="shared" si="92"/>
        <v>0</v>
      </c>
      <c r="F229" s="325"/>
      <c r="G229" s="326">
        <f t="shared" si="93"/>
        <v>0</v>
      </c>
      <c r="H229" s="327">
        <f t="shared" si="94"/>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95"/>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96"/>
        <v>0</v>
      </c>
      <c r="AW229" s="2210">
        <f t="shared" si="97"/>
        <v>0</v>
      </c>
      <c r="AX229" s="2210">
        <f t="shared" si="98"/>
        <v>0</v>
      </c>
      <c r="AY229" s="331">
        <f t="shared" si="99"/>
        <v>0</v>
      </c>
      <c r="AZ229" s="324">
        <f t="shared" si="100"/>
        <v>0</v>
      </c>
      <c r="BA229" s="324">
        <f t="shared" si="101"/>
        <v>0</v>
      </c>
      <c r="BB229" s="324">
        <f t="shared" si="102"/>
        <v>0</v>
      </c>
      <c r="BC229" s="324">
        <f t="shared" si="103"/>
        <v>0</v>
      </c>
      <c r="BD229" s="324">
        <f t="shared" si="104"/>
        <v>0</v>
      </c>
      <c r="BE229" s="324">
        <f t="shared" si="105"/>
        <v>0</v>
      </c>
      <c r="BF229" s="324">
        <f t="shared" si="106"/>
        <v>0</v>
      </c>
      <c r="BG229" s="324">
        <f t="shared" si="107"/>
        <v>0</v>
      </c>
      <c r="BH229" s="324">
        <f t="shared" si="108"/>
        <v>0</v>
      </c>
      <c r="BI229" s="324">
        <f t="shared" si="109"/>
        <v>0</v>
      </c>
      <c r="BJ229" s="324">
        <f t="shared" si="110"/>
        <v>0</v>
      </c>
      <c r="BK229" s="324">
        <f t="shared" si="111"/>
        <v>0</v>
      </c>
      <c r="BL229" s="324">
        <f t="shared" si="112"/>
        <v>0</v>
      </c>
      <c r="BM229" s="324">
        <f t="shared" si="113"/>
        <v>0</v>
      </c>
      <c r="BN229" s="324">
        <f t="shared" si="114"/>
        <v>0</v>
      </c>
      <c r="BO229" s="324">
        <f t="shared" si="115"/>
        <v>0</v>
      </c>
      <c r="BP229" s="324">
        <f t="shared" si="116"/>
        <v>0</v>
      </c>
      <c r="BQ229" s="324">
        <f t="shared" si="117"/>
        <v>0</v>
      </c>
      <c r="BR229" s="324">
        <f t="shared" si="118"/>
        <v>0</v>
      </c>
      <c r="BS229" s="324">
        <f t="shared" si="119"/>
        <v>0</v>
      </c>
      <c r="BT229" s="332">
        <f t="shared" si="120"/>
        <v>0</v>
      </c>
    </row>
    <row r="230" spans="1:72" ht="14.25">
      <c r="A230" s="297"/>
      <c r="B230" s="323"/>
      <c r="C230" s="323"/>
      <c r="D230" s="2215"/>
      <c r="E230" s="324">
        <f t="shared" si="92"/>
        <v>0</v>
      </c>
      <c r="F230" s="325"/>
      <c r="G230" s="326">
        <f t="shared" si="93"/>
        <v>0</v>
      </c>
      <c r="H230" s="327">
        <f t="shared" si="94"/>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95"/>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96"/>
        <v>0</v>
      </c>
      <c r="AW230" s="2210">
        <f t="shared" si="97"/>
        <v>0</v>
      </c>
      <c r="AX230" s="2210">
        <f t="shared" si="98"/>
        <v>0</v>
      </c>
      <c r="AY230" s="331">
        <f t="shared" si="99"/>
        <v>0</v>
      </c>
      <c r="AZ230" s="324">
        <f t="shared" si="100"/>
        <v>0</v>
      </c>
      <c r="BA230" s="324">
        <f t="shared" si="101"/>
        <v>0</v>
      </c>
      <c r="BB230" s="324">
        <f t="shared" si="102"/>
        <v>0</v>
      </c>
      <c r="BC230" s="324">
        <f t="shared" si="103"/>
        <v>0</v>
      </c>
      <c r="BD230" s="324">
        <f t="shared" si="104"/>
        <v>0</v>
      </c>
      <c r="BE230" s="324">
        <f t="shared" si="105"/>
        <v>0</v>
      </c>
      <c r="BF230" s="324">
        <f t="shared" si="106"/>
        <v>0</v>
      </c>
      <c r="BG230" s="324">
        <f t="shared" si="107"/>
        <v>0</v>
      </c>
      <c r="BH230" s="324">
        <f t="shared" si="108"/>
        <v>0</v>
      </c>
      <c r="BI230" s="324">
        <f t="shared" si="109"/>
        <v>0</v>
      </c>
      <c r="BJ230" s="324">
        <f t="shared" si="110"/>
        <v>0</v>
      </c>
      <c r="BK230" s="324">
        <f t="shared" si="111"/>
        <v>0</v>
      </c>
      <c r="BL230" s="324">
        <f t="shared" si="112"/>
        <v>0</v>
      </c>
      <c r="BM230" s="324">
        <f t="shared" si="113"/>
        <v>0</v>
      </c>
      <c r="BN230" s="324">
        <f t="shared" si="114"/>
        <v>0</v>
      </c>
      <c r="BO230" s="324">
        <f t="shared" si="115"/>
        <v>0</v>
      </c>
      <c r="BP230" s="324">
        <f t="shared" si="116"/>
        <v>0</v>
      </c>
      <c r="BQ230" s="324">
        <f t="shared" si="117"/>
        <v>0</v>
      </c>
      <c r="BR230" s="324">
        <f t="shared" si="118"/>
        <v>0</v>
      </c>
      <c r="BS230" s="324">
        <f t="shared" si="119"/>
        <v>0</v>
      </c>
      <c r="BT230" s="332">
        <f t="shared" si="120"/>
        <v>0</v>
      </c>
    </row>
    <row r="231" spans="1:72" ht="14.25">
      <c r="A231" s="297"/>
      <c r="B231" s="323"/>
      <c r="C231" s="323"/>
      <c r="D231" s="2215"/>
      <c r="E231" s="324">
        <f t="shared" si="92"/>
        <v>0</v>
      </c>
      <c r="F231" s="325"/>
      <c r="G231" s="326">
        <f t="shared" si="93"/>
        <v>0</v>
      </c>
      <c r="H231" s="327">
        <f t="shared" si="94"/>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95"/>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96"/>
        <v>0</v>
      </c>
      <c r="AW231" s="2210">
        <f t="shared" si="97"/>
        <v>0</v>
      </c>
      <c r="AX231" s="2210">
        <f t="shared" si="98"/>
        <v>0</v>
      </c>
      <c r="AY231" s="331">
        <f t="shared" si="99"/>
        <v>0</v>
      </c>
      <c r="AZ231" s="324">
        <f t="shared" si="100"/>
        <v>0</v>
      </c>
      <c r="BA231" s="324">
        <f t="shared" si="101"/>
        <v>0</v>
      </c>
      <c r="BB231" s="324">
        <f t="shared" si="102"/>
        <v>0</v>
      </c>
      <c r="BC231" s="324">
        <f t="shared" si="103"/>
        <v>0</v>
      </c>
      <c r="BD231" s="324">
        <f t="shared" si="104"/>
        <v>0</v>
      </c>
      <c r="BE231" s="324">
        <f t="shared" si="105"/>
        <v>0</v>
      </c>
      <c r="BF231" s="324">
        <f t="shared" si="106"/>
        <v>0</v>
      </c>
      <c r="BG231" s="324">
        <f t="shared" si="107"/>
        <v>0</v>
      </c>
      <c r="BH231" s="324">
        <f t="shared" si="108"/>
        <v>0</v>
      </c>
      <c r="BI231" s="324">
        <f t="shared" si="109"/>
        <v>0</v>
      </c>
      <c r="BJ231" s="324">
        <f t="shared" si="110"/>
        <v>0</v>
      </c>
      <c r="BK231" s="324">
        <f t="shared" si="111"/>
        <v>0</v>
      </c>
      <c r="BL231" s="324">
        <f t="shared" si="112"/>
        <v>0</v>
      </c>
      <c r="BM231" s="324">
        <f t="shared" si="113"/>
        <v>0</v>
      </c>
      <c r="BN231" s="324">
        <f t="shared" si="114"/>
        <v>0</v>
      </c>
      <c r="BO231" s="324">
        <f t="shared" si="115"/>
        <v>0</v>
      </c>
      <c r="BP231" s="324">
        <f t="shared" si="116"/>
        <v>0</v>
      </c>
      <c r="BQ231" s="324">
        <f t="shared" si="117"/>
        <v>0</v>
      </c>
      <c r="BR231" s="324">
        <f t="shared" si="118"/>
        <v>0</v>
      </c>
      <c r="BS231" s="324">
        <f t="shared" si="119"/>
        <v>0</v>
      </c>
      <c r="BT231" s="332">
        <f t="shared" si="120"/>
        <v>0</v>
      </c>
    </row>
    <row r="232" spans="1:72" ht="14.25">
      <c r="A232" s="297"/>
      <c r="B232" s="323"/>
      <c r="C232" s="323"/>
      <c r="D232" s="2215"/>
      <c r="E232" s="324">
        <f t="shared" si="92"/>
        <v>0</v>
      </c>
      <c r="F232" s="325"/>
      <c r="G232" s="326">
        <f t="shared" si="93"/>
        <v>0</v>
      </c>
      <c r="H232" s="327">
        <f t="shared" si="94"/>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95"/>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96"/>
        <v>0</v>
      </c>
      <c r="AW232" s="2210">
        <f t="shared" si="97"/>
        <v>0</v>
      </c>
      <c r="AX232" s="2210">
        <f t="shared" si="98"/>
        <v>0</v>
      </c>
      <c r="AY232" s="331">
        <f t="shared" si="99"/>
        <v>0</v>
      </c>
      <c r="AZ232" s="324">
        <f t="shared" si="100"/>
        <v>0</v>
      </c>
      <c r="BA232" s="324">
        <f t="shared" si="101"/>
        <v>0</v>
      </c>
      <c r="BB232" s="324">
        <f t="shared" si="102"/>
        <v>0</v>
      </c>
      <c r="BC232" s="324">
        <f t="shared" si="103"/>
        <v>0</v>
      </c>
      <c r="BD232" s="324">
        <f t="shared" si="104"/>
        <v>0</v>
      </c>
      <c r="BE232" s="324">
        <f t="shared" si="105"/>
        <v>0</v>
      </c>
      <c r="BF232" s="324">
        <f t="shared" si="106"/>
        <v>0</v>
      </c>
      <c r="BG232" s="324">
        <f t="shared" si="107"/>
        <v>0</v>
      </c>
      <c r="BH232" s="324">
        <f t="shared" si="108"/>
        <v>0</v>
      </c>
      <c r="BI232" s="324">
        <f t="shared" si="109"/>
        <v>0</v>
      </c>
      <c r="BJ232" s="324">
        <f t="shared" si="110"/>
        <v>0</v>
      </c>
      <c r="BK232" s="324">
        <f t="shared" si="111"/>
        <v>0</v>
      </c>
      <c r="BL232" s="324">
        <f t="shared" si="112"/>
        <v>0</v>
      </c>
      <c r="BM232" s="324">
        <f t="shared" si="113"/>
        <v>0</v>
      </c>
      <c r="BN232" s="324">
        <f t="shared" si="114"/>
        <v>0</v>
      </c>
      <c r="BO232" s="324">
        <f t="shared" si="115"/>
        <v>0</v>
      </c>
      <c r="BP232" s="324">
        <f t="shared" si="116"/>
        <v>0</v>
      </c>
      <c r="BQ232" s="324">
        <f t="shared" si="117"/>
        <v>0</v>
      </c>
      <c r="BR232" s="324">
        <f t="shared" si="118"/>
        <v>0</v>
      </c>
      <c r="BS232" s="324">
        <f t="shared" si="119"/>
        <v>0</v>
      </c>
      <c r="BT232" s="332">
        <f t="shared" si="120"/>
        <v>0</v>
      </c>
    </row>
    <row r="233" spans="1:72" ht="14.25">
      <c r="A233" s="297"/>
      <c r="B233" s="323"/>
      <c r="C233" s="323"/>
      <c r="D233" s="2215"/>
      <c r="E233" s="324">
        <f t="shared" si="92"/>
        <v>0</v>
      </c>
      <c r="F233" s="325"/>
      <c r="G233" s="326">
        <f t="shared" si="93"/>
        <v>0</v>
      </c>
      <c r="H233" s="327">
        <f t="shared" si="94"/>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95"/>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96"/>
        <v>0</v>
      </c>
      <c r="AW233" s="2210">
        <f t="shared" si="97"/>
        <v>0</v>
      </c>
      <c r="AX233" s="2210">
        <f t="shared" si="98"/>
        <v>0</v>
      </c>
      <c r="AY233" s="331">
        <f t="shared" si="99"/>
        <v>0</v>
      </c>
      <c r="AZ233" s="324">
        <f t="shared" si="100"/>
        <v>0</v>
      </c>
      <c r="BA233" s="324">
        <f t="shared" si="101"/>
        <v>0</v>
      </c>
      <c r="BB233" s="324">
        <f t="shared" si="102"/>
        <v>0</v>
      </c>
      <c r="BC233" s="324">
        <f t="shared" si="103"/>
        <v>0</v>
      </c>
      <c r="BD233" s="324">
        <f t="shared" si="104"/>
        <v>0</v>
      </c>
      <c r="BE233" s="324">
        <f t="shared" si="105"/>
        <v>0</v>
      </c>
      <c r="BF233" s="324">
        <f t="shared" si="106"/>
        <v>0</v>
      </c>
      <c r="BG233" s="324">
        <f t="shared" si="107"/>
        <v>0</v>
      </c>
      <c r="BH233" s="324">
        <f t="shared" si="108"/>
        <v>0</v>
      </c>
      <c r="BI233" s="324">
        <f t="shared" si="109"/>
        <v>0</v>
      </c>
      <c r="BJ233" s="324">
        <f t="shared" si="110"/>
        <v>0</v>
      </c>
      <c r="BK233" s="324">
        <f t="shared" si="111"/>
        <v>0</v>
      </c>
      <c r="BL233" s="324">
        <f t="shared" si="112"/>
        <v>0</v>
      </c>
      <c r="BM233" s="324">
        <f t="shared" si="113"/>
        <v>0</v>
      </c>
      <c r="BN233" s="324">
        <f t="shared" si="114"/>
        <v>0</v>
      </c>
      <c r="BO233" s="324">
        <f t="shared" si="115"/>
        <v>0</v>
      </c>
      <c r="BP233" s="324">
        <f t="shared" si="116"/>
        <v>0</v>
      </c>
      <c r="BQ233" s="324">
        <f t="shared" si="117"/>
        <v>0</v>
      </c>
      <c r="BR233" s="324">
        <f t="shared" si="118"/>
        <v>0</v>
      </c>
      <c r="BS233" s="324">
        <f t="shared" si="119"/>
        <v>0</v>
      </c>
      <c r="BT233" s="332">
        <f t="shared" si="120"/>
        <v>0</v>
      </c>
    </row>
    <row r="234" spans="1:72" ht="14.25">
      <c r="A234" s="297"/>
      <c r="B234" s="323"/>
      <c r="C234" s="323"/>
      <c r="D234" s="2215"/>
      <c r="E234" s="324">
        <f t="shared" si="92"/>
        <v>0</v>
      </c>
      <c r="F234" s="325"/>
      <c r="G234" s="326">
        <f t="shared" si="93"/>
        <v>0</v>
      </c>
      <c r="H234" s="327">
        <f t="shared" si="94"/>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95"/>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96"/>
        <v>0</v>
      </c>
      <c r="AW234" s="2210">
        <f t="shared" si="97"/>
        <v>0</v>
      </c>
      <c r="AX234" s="2210">
        <f t="shared" si="98"/>
        <v>0</v>
      </c>
      <c r="AY234" s="331">
        <f t="shared" si="99"/>
        <v>0</v>
      </c>
      <c r="AZ234" s="324">
        <f t="shared" si="100"/>
        <v>0</v>
      </c>
      <c r="BA234" s="324">
        <f t="shared" si="101"/>
        <v>0</v>
      </c>
      <c r="BB234" s="324">
        <f t="shared" si="102"/>
        <v>0</v>
      </c>
      <c r="BC234" s="324">
        <f t="shared" si="103"/>
        <v>0</v>
      </c>
      <c r="BD234" s="324">
        <f t="shared" si="104"/>
        <v>0</v>
      </c>
      <c r="BE234" s="324">
        <f t="shared" si="105"/>
        <v>0</v>
      </c>
      <c r="BF234" s="324">
        <f t="shared" si="106"/>
        <v>0</v>
      </c>
      <c r="BG234" s="324">
        <f t="shared" si="107"/>
        <v>0</v>
      </c>
      <c r="BH234" s="324">
        <f t="shared" si="108"/>
        <v>0</v>
      </c>
      <c r="BI234" s="324">
        <f t="shared" si="109"/>
        <v>0</v>
      </c>
      <c r="BJ234" s="324">
        <f t="shared" si="110"/>
        <v>0</v>
      </c>
      <c r="BK234" s="324">
        <f t="shared" si="111"/>
        <v>0</v>
      </c>
      <c r="BL234" s="324">
        <f t="shared" si="112"/>
        <v>0</v>
      </c>
      <c r="BM234" s="324">
        <f t="shared" si="113"/>
        <v>0</v>
      </c>
      <c r="BN234" s="324">
        <f t="shared" si="114"/>
        <v>0</v>
      </c>
      <c r="BO234" s="324">
        <f t="shared" si="115"/>
        <v>0</v>
      </c>
      <c r="BP234" s="324">
        <f t="shared" si="116"/>
        <v>0</v>
      </c>
      <c r="BQ234" s="324">
        <f t="shared" si="117"/>
        <v>0</v>
      </c>
      <c r="BR234" s="324">
        <f t="shared" si="118"/>
        <v>0</v>
      </c>
      <c r="BS234" s="324">
        <f t="shared" si="119"/>
        <v>0</v>
      </c>
      <c r="BT234" s="332">
        <f t="shared" si="120"/>
        <v>0</v>
      </c>
    </row>
    <row r="235" spans="1:72" ht="14.25">
      <c r="A235" s="297"/>
      <c r="B235" s="323"/>
      <c r="C235" s="323"/>
      <c r="D235" s="2215"/>
      <c r="E235" s="324">
        <f t="shared" si="92"/>
        <v>0</v>
      </c>
      <c r="F235" s="325"/>
      <c r="G235" s="326">
        <f t="shared" si="93"/>
        <v>0</v>
      </c>
      <c r="H235" s="327">
        <f t="shared" si="94"/>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95"/>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96"/>
        <v>0</v>
      </c>
      <c r="AW235" s="2210">
        <f t="shared" si="97"/>
        <v>0</v>
      </c>
      <c r="AX235" s="2210">
        <f t="shared" si="98"/>
        <v>0</v>
      </c>
      <c r="AY235" s="331">
        <f t="shared" si="99"/>
        <v>0</v>
      </c>
      <c r="AZ235" s="324">
        <f t="shared" si="100"/>
        <v>0</v>
      </c>
      <c r="BA235" s="324">
        <f t="shared" si="101"/>
        <v>0</v>
      </c>
      <c r="BB235" s="324">
        <f t="shared" si="102"/>
        <v>0</v>
      </c>
      <c r="BC235" s="324">
        <f t="shared" si="103"/>
        <v>0</v>
      </c>
      <c r="BD235" s="324">
        <f t="shared" si="104"/>
        <v>0</v>
      </c>
      <c r="BE235" s="324">
        <f t="shared" si="105"/>
        <v>0</v>
      </c>
      <c r="BF235" s="324">
        <f t="shared" si="106"/>
        <v>0</v>
      </c>
      <c r="BG235" s="324">
        <f t="shared" si="107"/>
        <v>0</v>
      </c>
      <c r="BH235" s="324">
        <f t="shared" si="108"/>
        <v>0</v>
      </c>
      <c r="BI235" s="324">
        <f t="shared" si="109"/>
        <v>0</v>
      </c>
      <c r="BJ235" s="324">
        <f t="shared" si="110"/>
        <v>0</v>
      </c>
      <c r="BK235" s="324">
        <f t="shared" si="111"/>
        <v>0</v>
      </c>
      <c r="BL235" s="324">
        <f t="shared" si="112"/>
        <v>0</v>
      </c>
      <c r="BM235" s="324">
        <f t="shared" si="113"/>
        <v>0</v>
      </c>
      <c r="BN235" s="324">
        <f t="shared" si="114"/>
        <v>0</v>
      </c>
      <c r="BO235" s="324">
        <f t="shared" si="115"/>
        <v>0</v>
      </c>
      <c r="BP235" s="324">
        <f t="shared" si="116"/>
        <v>0</v>
      </c>
      <c r="BQ235" s="324">
        <f t="shared" si="117"/>
        <v>0</v>
      </c>
      <c r="BR235" s="324">
        <f t="shared" si="118"/>
        <v>0</v>
      </c>
      <c r="BS235" s="324">
        <f t="shared" si="119"/>
        <v>0</v>
      </c>
      <c r="BT235" s="332">
        <f t="shared" si="120"/>
        <v>0</v>
      </c>
    </row>
    <row r="236" spans="1:72" ht="14.25">
      <c r="A236" s="297"/>
      <c r="B236" s="323"/>
      <c r="C236" s="323"/>
      <c r="D236" s="2215"/>
      <c r="E236" s="324">
        <f t="shared" si="92"/>
        <v>0</v>
      </c>
      <c r="F236" s="325"/>
      <c r="G236" s="326">
        <f t="shared" si="93"/>
        <v>0</v>
      </c>
      <c r="H236" s="327">
        <f t="shared" si="94"/>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95"/>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96"/>
        <v>0</v>
      </c>
      <c r="AW236" s="2210">
        <f t="shared" si="97"/>
        <v>0</v>
      </c>
      <c r="AX236" s="2210">
        <f t="shared" si="98"/>
        <v>0</v>
      </c>
      <c r="AY236" s="331">
        <f t="shared" si="99"/>
        <v>0</v>
      </c>
      <c r="AZ236" s="324">
        <f t="shared" si="100"/>
        <v>0</v>
      </c>
      <c r="BA236" s="324">
        <f t="shared" si="101"/>
        <v>0</v>
      </c>
      <c r="BB236" s="324">
        <f t="shared" si="102"/>
        <v>0</v>
      </c>
      <c r="BC236" s="324">
        <f t="shared" si="103"/>
        <v>0</v>
      </c>
      <c r="BD236" s="324">
        <f t="shared" si="104"/>
        <v>0</v>
      </c>
      <c r="BE236" s="324">
        <f t="shared" si="105"/>
        <v>0</v>
      </c>
      <c r="BF236" s="324">
        <f t="shared" si="106"/>
        <v>0</v>
      </c>
      <c r="BG236" s="324">
        <f t="shared" si="107"/>
        <v>0</v>
      </c>
      <c r="BH236" s="324">
        <f t="shared" si="108"/>
        <v>0</v>
      </c>
      <c r="BI236" s="324">
        <f t="shared" si="109"/>
        <v>0</v>
      </c>
      <c r="BJ236" s="324">
        <f t="shared" si="110"/>
        <v>0</v>
      </c>
      <c r="BK236" s="324">
        <f t="shared" si="111"/>
        <v>0</v>
      </c>
      <c r="BL236" s="324">
        <f t="shared" si="112"/>
        <v>0</v>
      </c>
      <c r="BM236" s="324">
        <f t="shared" si="113"/>
        <v>0</v>
      </c>
      <c r="BN236" s="324">
        <f t="shared" si="114"/>
        <v>0</v>
      </c>
      <c r="BO236" s="324">
        <f t="shared" si="115"/>
        <v>0</v>
      </c>
      <c r="BP236" s="324">
        <f t="shared" si="116"/>
        <v>0</v>
      </c>
      <c r="BQ236" s="324">
        <f t="shared" si="117"/>
        <v>0</v>
      </c>
      <c r="BR236" s="324">
        <f t="shared" si="118"/>
        <v>0</v>
      </c>
      <c r="BS236" s="324">
        <f t="shared" si="119"/>
        <v>0</v>
      </c>
      <c r="BT236" s="332">
        <f t="shared" si="120"/>
        <v>0</v>
      </c>
    </row>
    <row r="237" spans="1:72" ht="14.25">
      <c r="A237" s="297"/>
      <c r="B237" s="323"/>
      <c r="C237" s="323"/>
      <c r="D237" s="2215"/>
      <c r="E237" s="324">
        <f t="shared" si="92"/>
        <v>0</v>
      </c>
      <c r="F237" s="325"/>
      <c r="G237" s="326">
        <f t="shared" si="93"/>
        <v>0</v>
      </c>
      <c r="H237" s="327">
        <f t="shared" si="94"/>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95"/>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96"/>
        <v>0</v>
      </c>
      <c r="AW237" s="2210">
        <f t="shared" si="97"/>
        <v>0</v>
      </c>
      <c r="AX237" s="2210">
        <f t="shared" si="98"/>
        <v>0</v>
      </c>
      <c r="AY237" s="331">
        <f t="shared" si="99"/>
        <v>0</v>
      </c>
      <c r="AZ237" s="324">
        <f t="shared" si="100"/>
        <v>0</v>
      </c>
      <c r="BA237" s="324">
        <f t="shared" si="101"/>
        <v>0</v>
      </c>
      <c r="BB237" s="324">
        <f t="shared" si="102"/>
        <v>0</v>
      </c>
      <c r="BC237" s="324">
        <f t="shared" si="103"/>
        <v>0</v>
      </c>
      <c r="BD237" s="324">
        <f t="shared" si="104"/>
        <v>0</v>
      </c>
      <c r="BE237" s="324">
        <f t="shared" si="105"/>
        <v>0</v>
      </c>
      <c r="BF237" s="324">
        <f t="shared" si="106"/>
        <v>0</v>
      </c>
      <c r="BG237" s="324">
        <f t="shared" si="107"/>
        <v>0</v>
      </c>
      <c r="BH237" s="324">
        <f t="shared" si="108"/>
        <v>0</v>
      </c>
      <c r="BI237" s="324">
        <f t="shared" si="109"/>
        <v>0</v>
      </c>
      <c r="BJ237" s="324">
        <f t="shared" si="110"/>
        <v>0</v>
      </c>
      <c r="BK237" s="324">
        <f t="shared" si="111"/>
        <v>0</v>
      </c>
      <c r="BL237" s="324">
        <f t="shared" si="112"/>
        <v>0</v>
      </c>
      <c r="BM237" s="324">
        <f t="shared" si="113"/>
        <v>0</v>
      </c>
      <c r="BN237" s="324">
        <f t="shared" si="114"/>
        <v>0</v>
      </c>
      <c r="BO237" s="324">
        <f t="shared" si="115"/>
        <v>0</v>
      </c>
      <c r="BP237" s="324">
        <f t="shared" si="116"/>
        <v>0</v>
      </c>
      <c r="BQ237" s="324">
        <f t="shared" si="117"/>
        <v>0</v>
      </c>
      <c r="BR237" s="324">
        <f t="shared" si="118"/>
        <v>0</v>
      </c>
      <c r="BS237" s="324">
        <f t="shared" si="119"/>
        <v>0</v>
      </c>
      <c r="BT237" s="332">
        <f t="shared" si="120"/>
        <v>0</v>
      </c>
    </row>
    <row r="238" spans="1:72" ht="14.25">
      <c r="A238" s="297"/>
      <c r="B238" s="323"/>
      <c r="C238" s="323"/>
      <c r="D238" s="2215"/>
      <c r="E238" s="324">
        <f t="shared" si="92"/>
        <v>0</v>
      </c>
      <c r="F238" s="325"/>
      <c r="G238" s="326">
        <f t="shared" si="93"/>
        <v>0</v>
      </c>
      <c r="H238" s="327">
        <f t="shared" si="94"/>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95"/>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96"/>
        <v>0</v>
      </c>
      <c r="AW238" s="2210">
        <f t="shared" si="97"/>
        <v>0</v>
      </c>
      <c r="AX238" s="2210">
        <f t="shared" si="98"/>
        <v>0</v>
      </c>
      <c r="AY238" s="331">
        <f t="shared" si="99"/>
        <v>0</v>
      </c>
      <c r="AZ238" s="324">
        <f t="shared" si="100"/>
        <v>0</v>
      </c>
      <c r="BA238" s="324">
        <f t="shared" si="101"/>
        <v>0</v>
      </c>
      <c r="BB238" s="324">
        <f t="shared" si="102"/>
        <v>0</v>
      </c>
      <c r="BC238" s="324">
        <f t="shared" si="103"/>
        <v>0</v>
      </c>
      <c r="BD238" s="324">
        <f t="shared" si="104"/>
        <v>0</v>
      </c>
      <c r="BE238" s="324">
        <f t="shared" si="105"/>
        <v>0</v>
      </c>
      <c r="BF238" s="324">
        <f t="shared" si="106"/>
        <v>0</v>
      </c>
      <c r="BG238" s="324">
        <f t="shared" si="107"/>
        <v>0</v>
      </c>
      <c r="BH238" s="324">
        <f t="shared" si="108"/>
        <v>0</v>
      </c>
      <c r="BI238" s="324">
        <f t="shared" si="109"/>
        <v>0</v>
      </c>
      <c r="BJ238" s="324">
        <f t="shared" si="110"/>
        <v>0</v>
      </c>
      <c r="BK238" s="324">
        <f t="shared" si="111"/>
        <v>0</v>
      </c>
      <c r="BL238" s="324">
        <f t="shared" si="112"/>
        <v>0</v>
      </c>
      <c r="BM238" s="324">
        <f t="shared" si="113"/>
        <v>0</v>
      </c>
      <c r="BN238" s="324">
        <f t="shared" si="114"/>
        <v>0</v>
      </c>
      <c r="BO238" s="324">
        <f t="shared" si="115"/>
        <v>0</v>
      </c>
      <c r="BP238" s="324">
        <f t="shared" si="116"/>
        <v>0</v>
      </c>
      <c r="BQ238" s="324">
        <f t="shared" si="117"/>
        <v>0</v>
      </c>
      <c r="BR238" s="324">
        <f t="shared" si="118"/>
        <v>0</v>
      </c>
      <c r="BS238" s="324">
        <f t="shared" si="119"/>
        <v>0</v>
      </c>
      <c r="BT238" s="332">
        <f t="shared" si="120"/>
        <v>0</v>
      </c>
    </row>
    <row r="239" spans="1:72" ht="14.25">
      <c r="A239" s="297"/>
      <c r="B239" s="323"/>
      <c r="C239" s="323"/>
      <c r="D239" s="2215"/>
      <c r="E239" s="324">
        <f t="shared" si="92"/>
        <v>0</v>
      </c>
      <c r="F239" s="325"/>
      <c r="G239" s="326">
        <f t="shared" si="93"/>
        <v>0</v>
      </c>
      <c r="H239" s="327">
        <f t="shared" si="94"/>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95"/>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96"/>
        <v>0</v>
      </c>
      <c r="AW239" s="2210">
        <f t="shared" si="97"/>
        <v>0</v>
      </c>
      <c r="AX239" s="2210">
        <f t="shared" si="98"/>
        <v>0</v>
      </c>
      <c r="AY239" s="331">
        <f t="shared" si="99"/>
        <v>0</v>
      </c>
      <c r="AZ239" s="324">
        <f t="shared" si="100"/>
        <v>0</v>
      </c>
      <c r="BA239" s="324">
        <f t="shared" si="101"/>
        <v>0</v>
      </c>
      <c r="BB239" s="324">
        <f t="shared" si="102"/>
        <v>0</v>
      </c>
      <c r="BC239" s="324">
        <f t="shared" si="103"/>
        <v>0</v>
      </c>
      <c r="BD239" s="324">
        <f t="shared" si="104"/>
        <v>0</v>
      </c>
      <c r="BE239" s="324">
        <f t="shared" si="105"/>
        <v>0</v>
      </c>
      <c r="BF239" s="324">
        <f t="shared" si="106"/>
        <v>0</v>
      </c>
      <c r="BG239" s="324">
        <f t="shared" si="107"/>
        <v>0</v>
      </c>
      <c r="BH239" s="324">
        <f t="shared" si="108"/>
        <v>0</v>
      </c>
      <c r="BI239" s="324">
        <f t="shared" si="109"/>
        <v>0</v>
      </c>
      <c r="BJ239" s="324">
        <f t="shared" si="110"/>
        <v>0</v>
      </c>
      <c r="BK239" s="324">
        <f t="shared" si="111"/>
        <v>0</v>
      </c>
      <c r="BL239" s="324">
        <f t="shared" si="112"/>
        <v>0</v>
      </c>
      <c r="BM239" s="324">
        <f t="shared" si="113"/>
        <v>0</v>
      </c>
      <c r="BN239" s="324">
        <f t="shared" si="114"/>
        <v>0</v>
      </c>
      <c r="BO239" s="324">
        <f t="shared" si="115"/>
        <v>0</v>
      </c>
      <c r="BP239" s="324">
        <f t="shared" si="116"/>
        <v>0</v>
      </c>
      <c r="BQ239" s="324">
        <f t="shared" si="117"/>
        <v>0</v>
      </c>
      <c r="BR239" s="324">
        <f t="shared" si="118"/>
        <v>0</v>
      </c>
      <c r="BS239" s="324">
        <f t="shared" si="119"/>
        <v>0</v>
      </c>
      <c r="BT239" s="332">
        <f t="shared" si="120"/>
        <v>0</v>
      </c>
    </row>
    <row r="240" spans="1:72" ht="14.25">
      <c r="A240" s="297"/>
      <c r="B240" s="323"/>
      <c r="C240" s="323"/>
      <c r="D240" s="2215"/>
      <c r="E240" s="324">
        <f t="shared" si="92"/>
        <v>0</v>
      </c>
      <c r="F240" s="325"/>
      <c r="G240" s="326">
        <f t="shared" si="93"/>
        <v>0</v>
      </c>
      <c r="H240" s="327">
        <f t="shared" si="94"/>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95"/>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96"/>
        <v>0</v>
      </c>
      <c r="AW240" s="2210">
        <f t="shared" si="97"/>
        <v>0</v>
      </c>
      <c r="AX240" s="2210">
        <f t="shared" si="98"/>
        <v>0</v>
      </c>
      <c r="AY240" s="331">
        <f t="shared" si="99"/>
        <v>0</v>
      </c>
      <c r="AZ240" s="324">
        <f t="shared" si="100"/>
        <v>0</v>
      </c>
      <c r="BA240" s="324">
        <f t="shared" si="101"/>
        <v>0</v>
      </c>
      <c r="BB240" s="324">
        <f t="shared" si="102"/>
        <v>0</v>
      </c>
      <c r="BC240" s="324">
        <f t="shared" si="103"/>
        <v>0</v>
      </c>
      <c r="BD240" s="324">
        <f t="shared" si="104"/>
        <v>0</v>
      </c>
      <c r="BE240" s="324">
        <f t="shared" si="105"/>
        <v>0</v>
      </c>
      <c r="BF240" s="324">
        <f t="shared" si="106"/>
        <v>0</v>
      </c>
      <c r="BG240" s="324">
        <f t="shared" si="107"/>
        <v>0</v>
      </c>
      <c r="BH240" s="324">
        <f t="shared" si="108"/>
        <v>0</v>
      </c>
      <c r="BI240" s="324">
        <f t="shared" si="109"/>
        <v>0</v>
      </c>
      <c r="BJ240" s="324">
        <f t="shared" si="110"/>
        <v>0</v>
      </c>
      <c r="BK240" s="324">
        <f t="shared" si="111"/>
        <v>0</v>
      </c>
      <c r="BL240" s="324">
        <f t="shared" si="112"/>
        <v>0</v>
      </c>
      <c r="BM240" s="324">
        <f t="shared" si="113"/>
        <v>0</v>
      </c>
      <c r="BN240" s="324">
        <f t="shared" si="114"/>
        <v>0</v>
      </c>
      <c r="BO240" s="324">
        <f t="shared" si="115"/>
        <v>0</v>
      </c>
      <c r="BP240" s="324">
        <f t="shared" si="116"/>
        <v>0</v>
      </c>
      <c r="BQ240" s="324">
        <f t="shared" si="117"/>
        <v>0</v>
      </c>
      <c r="BR240" s="324">
        <f t="shared" si="118"/>
        <v>0</v>
      </c>
      <c r="BS240" s="324">
        <f t="shared" si="119"/>
        <v>0</v>
      </c>
      <c r="BT240" s="332">
        <f t="shared" si="120"/>
        <v>0</v>
      </c>
    </row>
    <row r="241" spans="1:72" ht="14.25">
      <c r="A241" s="297"/>
      <c r="B241" s="323"/>
      <c r="C241" s="323"/>
      <c r="D241" s="2215"/>
      <c r="E241" s="324">
        <f t="shared" si="92"/>
        <v>0</v>
      </c>
      <c r="F241" s="325"/>
      <c r="G241" s="326">
        <f t="shared" si="93"/>
        <v>0</v>
      </c>
      <c r="H241" s="327">
        <f t="shared" si="94"/>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95"/>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96"/>
        <v>0</v>
      </c>
      <c r="AW241" s="2210">
        <f t="shared" si="97"/>
        <v>0</v>
      </c>
      <c r="AX241" s="2210">
        <f t="shared" si="98"/>
        <v>0</v>
      </c>
      <c r="AY241" s="331">
        <f t="shared" si="99"/>
        <v>0</v>
      </c>
      <c r="AZ241" s="324">
        <f t="shared" si="100"/>
        <v>0</v>
      </c>
      <c r="BA241" s="324">
        <f t="shared" si="101"/>
        <v>0</v>
      </c>
      <c r="BB241" s="324">
        <f t="shared" si="102"/>
        <v>0</v>
      </c>
      <c r="BC241" s="324">
        <f t="shared" si="103"/>
        <v>0</v>
      </c>
      <c r="BD241" s="324">
        <f t="shared" si="104"/>
        <v>0</v>
      </c>
      <c r="BE241" s="324">
        <f t="shared" si="105"/>
        <v>0</v>
      </c>
      <c r="BF241" s="324">
        <f t="shared" si="106"/>
        <v>0</v>
      </c>
      <c r="BG241" s="324">
        <f t="shared" si="107"/>
        <v>0</v>
      </c>
      <c r="BH241" s="324">
        <f t="shared" si="108"/>
        <v>0</v>
      </c>
      <c r="BI241" s="324">
        <f t="shared" si="109"/>
        <v>0</v>
      </c>
      <c r="BJ241" s="324">
        <f t="shared" si="110"/>
        <v>0</v>
      </c>
      <c r="BK241" s="324">
        <f t="shared" si="111"/>
        <v>0</v>
      </c>
      <c r="BL241" s="324">
        <f t="shared" si="112"/>
        <v>0</v>
      </c>
      <c r="BM241" s="324">
        <f t="shared" si="113"/>
        <v>0</v>
      </c>
      <c r="BN241" s="324">
        <f t="shared" si="114"/>
        <v>0</v>
      </c>
      <c r="BO241" s="324">
        <f t="shared" si="115"/>
        <v>0</v>
      </c>
      <c r="BP241" s="324">
        <f t="shared" si="116"/>
        <v>0</v>
      </c>
      <c r="BQ241" s="324">
        <f t="shared" si="117"/>
        <v>0</v>
      </c>
      <c r="BR241" s="324">
        <f t="shared" si="118"/>
        <v>0</v>
      </c>
      <c r="BS241" s="324">
        <f t="shared" si="119"/>
        <v>0</v>
      </c>
      <c r="BT241" s="332">
        <f t="shared" si="120"/>
        <v>0</v>
      </c>
    </row>
    <row r="242" spans="1:72" ht="14.25">
      <c r="A242" s="297"/>
      <c r="B242" s="323"/>
      <c r="C242" s="323"/>
      <c r="D242" s="2215"/>
      <c r="E242" s="324">
        <f t="shared" si="92"/>
        <v>0</v>
      </c>
      <c r="F242" s="325"/>
      <c r="G242" s="326">
        <f t="shared" si="93"/>
        <v>0</v>
      </c>
      <c r="H242" s="327">
        <f t="shared" si="94"/>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95"/>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96"/>
        <v>0</v>
      </c>
      <c r="AW242" s="2210">
        <f t="shared" si="97"/>
        <v>0</v>
      </c>
      <c r="AX242" s="2210">
        <f t="shared" si="98"/>
        <v>0</v>
      </c>
      <c r="AY242" s="331">
        <f t="shared" si="99"/>
        <v>0</v>
      </c>
      <c r="AZ242" s="324">
        <f t="shared" si="100"/>
        <v>0</v>
      </c>
      <c r="BA242" s="324">
        <f t="shared" si="101"/>
        <v>0</v>
      </c>
      <c r="BB242" s="324">
        <f t="shared" si="102"/>
        <v>0</v>
      </c>
      <c r="BC242" s="324">
        <f t="shared" si="103"/>
        <v>0</v>
      </c>
      <c r="BD242" s="324">
        <f t="shared" si="104"/>
        <v>0</v>
      </c>
      <c r="BE242" s="324">
        <f t="shared" si="105"/>
        <v>0</v>
      </c>
      <c r="BF242" s="324">
        <f t="shared" si="106"/>
        <v>0</v>
      </c>
      <c r="BG242" s="324">
        <f t="shared" si="107"/>
        <v>0</v>
      </c>
      <c r="BH242" s="324">
        <f t="shared" si="108"/>
        <v>0</v>
      </c>
      <c r="BI242" s="324">
        <f t="shared" si="109"/>
        <v>0</v>
      </c>
      <c r="BJ242" s="324">
        <f t="shared" si="110"/>
        <v>0</v>
      </c>
      <c r="BK242" s="324">
        <f t="shared" si="111"/>
        <v>0</v>
      </c>
      <c r="BL242" s="324">
        <f t="shared" si="112"/>
        <v>0</v>
      </c>
      <c r="BM242" s="324">
        <f t="shared" si="113"/>
        <v>0</v>
      </c>
      <c r="BN242" s="324">
        <f t="shared" si="114"/>
        <v>0</v>
      </c>
      <c r="BO242" s="324">
        <f t="shared" si="115"/>
        <v>0</v>
      </c>
      <c r="BP242" s="324">
        <f t="shared" si="116"/>
        <v>0</v>
      </c>
      <c r="BQ242" s="324">
        <f t="shared" si="117"/>
        <v>0</v>
      </c>
      <c r="BR242" s="324">
        <f t="shared" si="118"/>
        <v>0</v>
      </c>
      <c r="BS242" s="324">
        <f t="shared" si="119"/>
        <v>0</v>
      </c>
      <c r="BT242" s="332">
        <f t="shared" si="120"/>
        <v>0</v>
      </c>
    </row>
    <row r="243" spans="1:72" ht="14.25">
      <c r="A243" s="297"/>
      <c r="B243" s="323"/>
      <c r="C243" s="323"/>
      <c r="D243" s="2215"/>
      <c r="E243" s="324">
        <f t="shared" si="92"/>
        <v>0</v>
      </c>
      <c r="F243" s="325"/>
      <c r="G243" s="326">
        <f t="shared" si="93"/>
        <v>0</v>
      </c>
      <c r="H243" s="327">
        <f t="shared" si="94"/>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95"/>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96"/>
        <v>0</v>
      </c>
      <c r="AW243" s="2210">
        <f t="shared" si="97"/>
        <v>0</v>
      </c>
      <c r="AX243" s="2210">
        <f t="shared" si="98"/>
        <v>0</v>
      </c>
      <c r="AY243" s="331">
        <f t="shared" si="99"/>
        <v>0</v>
      </c>
      <c r="AZ243" s="324">
        <f t="shared" si="100"/>
        <v>0</v>
      </c>
      <c r="BA243" s="324">
        <f t="shared" si="101"/>
        <v>0</v>
      </c>
      <c r="BB243" s="324">
        <f t="shared" si="102"/>
        <v>0</v>
      </c>
      <c r="BC243" s="324">
        <f t="shared" si="103"/>
        <v>0</v>
      </c>
      <c r="BD243" s="324">
        <f t="shared" si="104"/>
        <v>0</v>
      </c>
      <c r="BE243" s="324">
        <f t="shared" si="105"/>
        <v>0</v>
      </c>
      <c r="BF243" s="324">
        <f t="shared" si="106"/>
        <v>0</v>
      </c>
      <c r="BG243" s="324">
        <f t="shared" si="107"/>
        <v>0</v>
      </c>
      <c r="BH243" s="324">
        <f t="shared" si="108"/>
        <v>0</v>
      </c>
      <c r="BI243" s="324">
        <f t="shared" si="109"/>
        <v>0</v>
      </c>
      <c r="BJ243" s="324">
        <f t="shared" si="110"/>
        <v>0</v>
      </c>
      <c r="BK243" s="324">
        <f t="shared" si="111"/>
        <v>0</v>
      </c>
      <c r="BL243" s="324">
        <f t="shared" si="112"/>
        <v>0</v>
      </c>
      <c r="BM243" s="324">
        <f t="shared" si="113"/>
        <v>0</v>
      </c>
      <c r="BN243" s="324">
        <f t="shared" si="114"/>
        <v>0</v>
      </c>
      <c r="BO243" s="324">
        <f t="shared" si="115"/>
        <v>0</v>
      </c>
      <c r="BP243" s="324">
        <f t="shared" si="116"/>
        <v>0</v>
      </c>
      <c r="BQ243" s="324">
        <f t="shared" si="117"/>
        <v>0</v>
      </c>
      <c r="BR243" s="324">
        <f t="shared" si="118"/>
        <v>0</v>
      </c>
      <c r="BS243" s="324">
        <f t="shared" si="119"/>
        <v>0</v>
      </c>
      <c r="BT243" s="332">
        <f t="shared" si="120"/>
        <v>0</v>
      </c>
    </row>
    <row r="244" spans="1:72" ht="14.25">
      <c r="A244" s="297"/>
      <c r="B244" s="323"/>
      <c r="C244" s="323"/>
      <c r="D244" s="2215"/>
      <c r="E244" s="324">
        <f t="shared" si="92"/>
        <v>0</v>
      </c>
      <c r="F244" s="325"/>
      <c r="G244" s="326">
        <f t="shared" si="93"/>
        <v>0</v>
      </c>
      <c r="H244" s="327">
        <f t="shared" si="94"/>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95"/>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96"/>
        <v>0</v>
      </c>
      <c r="AW244" s="2210">
        <f t="shared" si="97"/>
        <v>0</v>
      </c>
      <c r="AX244" s="2210">
        <f t="shared" si="98"/>
        <v>0</v>
      </c>
      <c r="AY244" s="331">
        <f t="shared" si="99"/>
        <v>0</v>
      </c>
      <c r="AZ244" s="324">
        <f t="shared" si="100"/>
        <v>0</v>
      </c>
      <c r="BA244" s="324">
        <f t="shared" si="101"/>
        <v>0</v>
      </c>
      <c r="BB244" s="324">
        <f t="shared" si="102"/>
        <v>0</v>
      </c>
      <c r="BC244" s="324">
        <f t="shared" si="103"/>
        <v>0</v>
      </c>
      <c r="BD244" s="324">
        <f t="shared" si="104"/>
        <v>0</v>
      </c>
      <c r="BE244" s="324">
        <f t="shared" si="105"/>
        <v>0</v>
      </c>
      <c r="BF244" s="324">
        <f t="shared" si="106"/>
        <v>0</v>
      </c>
      <c r="BG244" s="324">
        <f t="shared" si="107"/>
        <v>0</v>
      </c>
      <c r="BH244" s="324">
        <f t="shared" si="108"/>
        <v>0</v>
      </c>
      <c r="BI244" s="324">
        <f t="shared" si="109"/>
        <v>0</v>
      </c>
      <c r="BJ244" s="324">
        <f t="shared" si="110"/>
        <v>0</v>
      </c>
      <c r="BK244" s="324">
        <f t="shared" si="111"/>
        <v>0</v>
      </c>
      <c r="BL244" s="324">
        <f t="shared" si="112"/>
        <v>0</v>
      </c>
      <c r="BM244" s="324">
        <f t="shared" si="113"/>
        <v>0</v>
      </c>
      <c r="BN244" s="324">
        <f t="shared" si="114"/>
        <v>0</v>
      </c>
      <c r="BO244" s="324">
        <f t="shared" si="115"/>
        <v>0</v>
      </c>
      <c r="BP244" s="324">
        <f t="shared" si="116"/>
        <v>0</v>
      </c>
      <c r="BQ244" s="324">
        <f t="shared" si="117"/>
        <v>0</v>
      </c>
      <c r="BR244" s="324">
        <f t="shared" si="118"/>
        <v>0</v>
      </c>
      <c r="BS244" s="324">
        <f t="shared" si="119"/>
        <v>0</v>
      </c>
      <c r="BT244" s="332">
        <f t="shared" si="120"/>
        <v>0</v>
      </c>
    </row>
    <row r="245" spans="1:72" ht="14.25">
      <c r="A245" s="297"/>
      <c r="B245" s="323"/>
      <c r="C245" s="323"/>
      <c r="D245" s="2215"/>
      <c r="E245" s="324">
        <f t="shared" si="92"/>
        <v>0</v>
      </c>
      <c r="F245" s="325"/>
      <c r="G245" s="326">
        <f t="shared" si="93"/>
        <v>0</v>
      </c>
      <c r="H245" s="327">
        <f t="shared" si="94"/>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95"/>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96"/>
        <v>0</v>
      </c>
      <c r="AW245" s="2210">
        <f t="shared" si="97"/>
        <v>0</v>
      </c>
      <c r="AX245" s="2210">
        <f t="shared" si="98"/>
        <v>0</v>
      </c>
      <c r="AY245" s="331">
        <f t="shared" si="99"/>
        <v>0</v>
      </c>
      <c r="AZ245" s="324">
        <f t="shared" si="100"/>
        <v>0</v>
      </c>
      <c r="BA245" s="324">
        <f t="shared" si="101"/>
        <v>0</v>
      </c>
      <c r="BB245" s="324">
        <f t="shared" si="102"/>
        <v>0</v>
      </c>
      <c r="BC245" s="324">
        <f t="shared" si="103"/>
        <v>0</v>
      </c>
      <c r="BD245" s="324">
        <f t="shared" si="104"/>
        <v>0</v>
      </c>
      <c r="BE245" s="324">
        <f t="shared" si="105"/>
        <v>0</v>
      </c>
      <c r="BF245" s="324">
        <f t="shared" si="106"/>
        <v>0</v>
      </c>
      <c r="BG245" s="324">
        <f t="shared" si="107"/>
        <v>0</v>
      </c>
      <c r="BH245" s="324">
        <f t="shared" si="108"/>
        <v>0</v>
      </c>
      <c r="BI245" s="324">
        <f t="shared" si="109"/>
        <v>0</v>
      </c>
      <c r="BJ245" s="324">
        <f t="shared" si="110"/>
        <v>0</v>
      </c>
      <c r="BK245" s="324">
        <f t="shared" si="111"/>
        <v>0</v>
      </c>
      <c r="BL245" s="324">
        <f t="shared" si="112"/>
        <v>0</v>
      </c>
      <c r="BM245" s="324">
        <f t="shared" si="113"/>
        <v>0</v>
      </c>
      <c r="BN245" s="324">
        <f t="shared" si="114"/>
        <v>0</v>
      </c>
      <c r="BO245" s="324">
        <f t="shared" si="115"/>
        <v>0</v>
      </c>
      <c r="BP245" s="324">
        <f t="shared" si="116"/>
        <v>0</v>
      </c>
      <c r="BQ245" s="324">
        <f t="shared" si="117"/>
        <v>0</v>
      </c>
      <c r="BR245" s="324">
        <f t="shared" si="118"/>
        <v>0</v>
      </c>
      <c r="BS245" s="324">
        <f t="shared" si="119"/>
        <v>0</v>
      </c>
      <c r="BT245" s="332">
        <f t="shared" si="120"/>
        <v>0</v>
      </c>
    </row>
    <row r="246" spans="1:72" ht="14.25">
      <c r="A246" s="297"/>
      <c r="B246" s="323"/>
      <c r="C246" s="323"/>
      <c r="D246" s="2215"/>
      <c r="E246" s="324">
        <f t="shared" si="92"/>
        <v>0</v>
      </c>
      <c r="F246" s="325"/>
      <c r="G246" s="326">
        <f t="shared" si="93"/>
        <v>0</v>
      </c>
      <c r="H246" s="327">
        <f t="shared" si="94"/>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95"/>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96"/>
        <v>0</v>
      </c>
      <c r="AW246" s="2210">
        <f t="shared" si="97"/>
        <v>0</v>
      </c>
      <c r="AX246" s="2210">
        <f t="shared" si="98"/>
        <v>0</v>
      </c>
      <c r="AY246" s="331">
        <f t="shared" si="99"/>
        <v>0</v>
      </c>
      <c r="AZ246" s="324">
        <f t="shared" si="100"/>
        <v>0</v>
      </c>
      <c r="BA246" s="324">
        <f t="shared" si="101"/>
        <v>0</v>
      </c>
      <c r="BB246" s="324">
        <f t="shared" si="102"/>
        <v>0</v>
      </c>
      <c r="BC246" s="324">
        <f t="shared" si="103"/>
        <v>0</v>
      </c>
      <c r="BD246" s="324">
        <f t="shared" si="104"/>
        <v>0</v>
      </c>
      <c r="BE246" s="324">
        <f t="shared" si="105"/>
        <v>0</v>
      </c>
      <c r="BF246" s="324">
        <f t="shared" si="106"/>
        <v>0</v>
      </c>
      <c r="BG246" s="324">
        <f t="shared" si="107"/>
        <v>0</v>
      </c>
      <c r="BH246" s="324">
        <f t="shared" si="108"/>
        <v>0</v>
      </c>
      <c r="BI246" s="324">
        <f t="shared" si="109"/>
        <v>0</v>
      </c>
      <c r="BJ246" s="324">
        <f t="shared" si="110"/>
        <v>0</v>
      </c>
      <c r="BK246" s="324">
        <f t="shared" si="111"/>
        <v>0</v>
      </c>
      <c r="BL246" s="324">
        <f t="shared" si="112"/>
        <v>0</v>
      </c>
      <c r="BM246" s="324">
        <f t="shared" si="113"/>
        <v>0</v>
      </c>
      <c r="BN246" s="324">
        <f t="shared" si="114"/>
        <v>0</v>
      </c>
      <c r="BO246" s="324">
        <f t="shared" si="115"/>
        <v>0</v>
      </c>
      <c r="BP246" s="324">
        <f t="shared" si="116"/>
        <v>0</v>
      </c>
      <c r="BQ246" s="324">
        <f t="shared" si="117"/>
        <v>0</v>
      </c>
      <c r="BR246" s="324">
        <f t="shared" si="118"/>
        <v>0</v>
      </c>
      <c r="BS246" s="324">
        <f t="shared" si="119"/>
        <v>0</v>
      </c>
      <c r="BT246" s="332">
        <f t="shared" si="120"/>
        <v>0</v>
      </c>
    </row>
    <row r="247" spans="1:72" ht="14.25">
      <c r="A247" s="297"/>
      <c r="B247" s="323"/>
      <c r="C247" s="323"/>
      <c r="D247" s="2215"/>
      <c r="E247" s="324">
        <f t="shared" si="92"/>
        <v>0</v>
      </c>
      <c r="F247" s="325"/>
      <c r="G247" s="326">
        <f t="shared" si="93"/>
        <v>0</v>
      </c>
      <c r="H247" s="327">
        <f t="shared" si="94"/>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95"/>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96"/>
        <v>0</v>
      </c>
      <c r="AW247" s="2210">
        <f t="shared" si="97"/>
        <v>0</v>
      </c>
      <c r="AX247" s="2210">
        <f t="shared" si="98"/>
        <v>0</v>
      </c>
      <c r="AY247" s="331">
        <f t="shared" si="99"/>
        <v>0</v>
      </c>
      <c r="AZ247" s="324">
        <f t="shared" si="100"/>
        <v>0</v>
      </c>
      <c r="BA247" s="324">
        <f t="shared" si="101"/>
        <v>0</v>
      </c>
      <c r="BB247" s="324">
        <f t="shared" si="102"/>
        <v>0</v>
      </c>
      <c r="BC247" s="324">
        <f t="shared" si="103"/>
        <v>0</v>
      </c>
      <c r="BD247" s="324">
        <f t="shared" si="104"/>
        <v>0</v>
      </c>
      <c r="BE247" s="324">
        <f t="shared" si="105"/>
        <v>0</v>
      </c>
      <c r="BF247" s="324">
        <f t="shared" si="106"/>
        <v>0</v>
      </c>
      <c r="BG247" s="324">
        <f t="shared" si="107"/>
        <v>0</v>
      </c>
      <c r="BH247" s="324">
        <f t="shared" si="108"/>
        <v>0</v>
      </c>
      <c r="BI247" s="324">
        <f t="shared" si="109"/>
        <v>0</v>
      </c>
      <c r="BJ247" s="324">
        <f t="shared" si="110"/>
        <v>0</v>
      </c>
      <c r="BK247" s="324">
        <f t="shared" si="111"/>
        <v>0</v>
      </c>
      <c r="BL247" s="324">
        <f t="shared" si="112"/>
        <v>0</v>
      </c>
      <c r="BM247" s="324">
        <f t="shared" si="113"/>
        <v>0</v>
      </c>
      <c r="BN247" s="324">
        <f t="shared" si="114"/>
        <v>0</v>
      </c>
      <c r="BO247" s="324">
        <f t="shared" si="115"/>
        <v>0</v>
      </c>
      <c r="BP247" s="324">
        <f t="shared" si="116"/>
        <v>0</v>
      </c>
      <c r="BQ247" s="324">
        <f t="shared" si="117"/>
        <v>0</v>
      </c>
      <c r="BR247" s="324">
        <f t="shared" si="118"/>
        <v>0</v>
      </c>
      <c r="BS247" s="324">
        <f t="shared" si="119"/>
        <v>0</v>
      </c>
      <c r="BT247" s="332">
        <f t="shared" si="120"/>
        <v>0</v>
      </c>
    </row>
    <row r="248" spans="1:72" ht="14.25">
      <c r="A248" s="297"/>
      <c r="B248" s="323"/>
      <c r="C248" s="323"/>
      <c r="D248" s="2215"/>
      <c r="E248" s="324">
        <f t="shared" si="92"/>
        <v>0</v>
      </c>
      <c r="F248" s="325"/>
      <c r="G248" s="326">
        <f t="shared" si="93"/>
        <v>0</v>
      </c>
      <c r="H248" s="327">
        <f t="shared" si="94"/>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95"/>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96"/>
        <v>0</v>
      </c>
      <c r="AW248" s="2210">
        <f t="shared" si="97"/>
        <v>0</v>
      </c>
      <c r="AX248" s="2210">
        <f t="shared" si="98"/>
        <v>0</v>
      </c>
      <c r="AY248" s="331">
        <f t="shared" si="99"/>
        <v>0</v>
      </c>
      <c r="AZ248" s="324">
        <f t="shared" si="100"/>
        <v>0</v>
      </c>
      <c r="BA248" s="324">
        <f t="shared" si="101"/>
        <v>0</v>
      </c>
      <c r="BB248" s="324">
        <f t="shared" si="102"/>
        <v>0</v>
      </c>
      <c r="BC248" s="324">
        <f t="shared" si="103"/>
        <v>0</v>
      </c>
      <c r="BD248" s="324">
        <f t="shared" si="104"/>
        <v>0</v>
      </c>
      <c r="BE248" s="324">
        <f t="shared" si="105"/>
        <v>0</v>
      </c>
      <c r="BF248" s="324">
        <f t="shared" si="106"/>
        <v>0</v>
      </c>
      <c r="BG248" s="324">
        <f t="shared" si="107"/>
        <v>0</v>
      </c>
      <c r="BH248" s="324">
        <f t="shared" si="108"/>
        <v>0</v>
      </c>
      <c r="BI248" s="324">
        <f t="shared" si="109"/>
        <v>0</v>
      </c>
      <c r="BJ248" s="324">
        <f t="shared" si="110"/>
        <v>0</v>
      </c>
      <c r="BK248" s="324">
        <f t="shared" si="111"/>
        <v>0</v>
      </c>
      <c r="BL248" s="324">
        <f t="shared" si="112"/>
        <v>0</v>
      </c>
      <c r="BM248" s="324">
        <f t="shared" si="113"/>
        <v>0</v>
      </c>
      <c r="BN248" s="324">
        <f t="shared" si="114"/>
        <v>0</v>
      </c>
      <c r="BO248" s="324">
        <f t="shared" si="115"/>
        <v>0</v>
      </c>
      <c r="BP248" s="324">
        <f t="shared" si="116"/>
        <v>0</v>
      </c>
      <c r="BQ248" s="324">
        <f t="shared" si="117"/>
        <v>0</v>
      </c>
      <c r="BR248" s="324">
        <f t="shared" si="118"/>
        <v>0</v>
      </c>
      <c r="BS248" s="324">
        <f t="shared" si="119"/>
        <v>0</v>
      </c>
      <c r="BT248" s="332">
        <f t="shared" si="120"/>
        <v>0</v>
      </c>
    </row>
    <row r="249" spans="1:72" ht="14.25">
      <c r="A249" s="297"/>
      <c r="B249" s="323"/>
      <c r="C249" s="323"/>
      <c r="D249" s="2215"/>
      <c r="E249" s="324">
        <f t="shared" si="92"/>
        <v>0</v>
      </c>
      <c r="F249" s="325"/>
      <c r="G249" s="326">
        <f t="shared" si="93"/>
        <v>0</v>
      </c>
      <c r="H249" s="327">
        <f t="shared" si="94"/>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95"/>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96"/>
        <v>0</v>
      </c>
      <c r="AW249" s="2210">
        <f t="shared" si="97"/>
        <v>0</v>
      </c>
      <c r="AX249" s="2210">
        <f t="shared" si="98"/>
        <v>0</v>
      </c>
      <c r="AY249" s="331">
        <f t="shared" si="99"/>
        <v>0</v>
      </c>
      <c r="AZ249" s="324">
        <f t="shared" si="100"/>
        <v>0</v>
      </c>
      <c r="BA249" s="324">
        <f t="shared" si="101"/>
        <v>0</v>
      </c>
      <c r="BB249" s="324">
        <f t="shared" si="102"/>
        <v>0</v>
      </c>
      <c r="BC249" s="324">
        <f t="shared" si="103"/>
        <v>0</v>
      </c>
      <c r="BD249" s="324">
        <f t="shared" si="104"/>
        <v>0</v>
      </c>
      <c r="BE249" s="324">
        <f t="shared" si="105"/>
        <v>0</v>
      </c>
      <c r="BF249" s="324">
        <f t="shared" si="106"/>
        <v>0</v>
      </c>
      <c r="BG249" s="324">
        <f t="shared" si="107"/>
        <v>0</v>
      </c>
      <c r="BH249" s="324">
        <f t="shared" si="108"/>
        <v>0</v>
      </c>
      <c r="BI249" s="324">
        <f t="shared" si="109"/>
        <v>0</v>
      </c>
      <c r="BJ249" s="324">
        <f t="shared" si="110"/>
        <v>0</v>
      </c>
      <c r="BK249" s="324">
        <f t="shared" si="111"/>
        <v>0</v>
      </c>
      <c r="BL249" s="324">
        <f t="shared" si="112"/>
        <v>0</v>
      </c>
      <c r="BM249" s="324">
        <f t="shared" si="113"/>
        <v>0</v>
      </c>
      <c r="BN249" s="324">
        <f t="shared" si="114"/>
        <v>0</v>
      </c>
      <c r="BO249" s="324">
        <f t="shared" si="115"/>
        <v>0</v>
      </c>
      <c r="BP249" s="324">
        <f t="shared" si="116"/>
        <v>0</v>
      </c>
      <c r="BQ249" s="324">
        <f t="shared" si="117"/>
        <v>0</v>
      </c>
      <c r="BR249" s="324">
        <f t="shared" si="118"/>
        <v>0</v>
      </c>
      <c r="BS249" s="324">
        <f t="shared" si="119"/>
        <v>0</v>
      </c>
      <c r="BT249" s="332">
        <f t="shared" si="120"/>
        <v>0</v>
      </c>
    </row>
    <row r="250" spans="1:72" ht="14.25">
      <c r="A250" s="297"/>
      <c r="B250" s="323"/>
      <c r="C250" s="323"/>
      <c r="D250" s="2215"/>
      <c r="E250" s="324">
        <f t="shared" si="92"/>
        <v>0</v>
      </c>
      <c r="F250" s="325"/>
      <c r="G250" s="326">
        <f t="shared" si="93"/>
        <v>0</v>
      </c>
      <c r="H250" s="327">
        <f t="shared" si="94"/>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95"/>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96"/>
        <v>0</v>
      </c>
      <c r="AW250" s="2210">
        <f t="shared" si="97"/>
        <v>0</v>
      </c>
      <c r="AX250" s="2210">
        <f t="shared" si="98"/>
        <v>0</v>
      </c>
      <c r="AY250" s="331">
        <f t="shared" si="99"/>
        <v>0</v>
      </c>
      <c r="AZ250" s="324">
        <f t="shared" si="100"/>
        <v>0</v>
      </c>
      <c r="BA250" s="324">
        <f t="shared" si="101"/>
        <v>0</v>
      </c>
      <c r="BB250" s="324">
        <f t="shared" si="102"/>
        <v>0</v>
      </c>
      <c r="BC250" s="324">
        <f t="shared" si="103"/>
        <v>0</v>
      </c>
      <c r="BD250" s="324">
        <f t="shared" si="104"/>
        <v>0</v>
      </c>
      <c r="BE250" s="324">
        <f t="shared" si="105"/>
        <v>0</v>
      </c>
      <c r="BF250" s="324">
        <f t="shared" si="106"/>
        <v>0</v>
      </c>
      <c r="BG250" s="324">
        <f t="shared" si="107"/>
        <v>0</v>
      </c>
      <c r="BH250" s="324">
        <f t="shared" si="108"/>
        <v>0</v>
      </c>
      <c r="BI250" s="324">
        <f t="shared" si="109"/>
        <v>0</v>
      </c>
      <c r="BJ250" s="324">
        <f t="shared" si="110"/>
        <v>0</v>
      </c>
      <c r="BK250" s="324">
        <f t="shared" si="111"/>
        <v>0</v>
      </c>
      <c r="BL250" s="324">
        <f t="shared" si="112"/>
        <v>0</v>
      </c>
      <c r="BM250" s="324">
        <f t="shared" si="113"/>
        <v>0</v>
      </c>
      <c r="BN250" s="324">
        <f t="shared" si="114"/>
        <v>0</v>
      </c>
      <c r="BO250" s="324">
        <f t="shared" si="115"/>
        <v>0</v>
      </c>
      <c r="BP250" s="324">
        <f t="shared" si="116"/>
        <v>0</v>
      </c>
      <c r="BQ250" s="324">
        <f t="shared" si="117"/>
        <v>0</v>
      </c>
      <c r="BR250" s="324">
        <f t="shared" si="118"/>
        <v>0</v>
      </c>
      <c r="BS250" s="324">
        <f t="shared" si="119"/>
        <v>0</v>
      </c>
      <c r="BT250" s="332">
        <f t="shared" si="120"/>
        <v>0</v>
      </c>
    </row>
    <row r="251" spans="1:72" ht="14.25">
      <c r="A251" s="297"/>
      <c r="B251" s="323"/>
      <c r="C251" s="323"/>
      <c r="D251" s="2215"/>
      <c r="E251" s="324">
        <f t="shared" si="92"/>
        <v>0</v>
      </c>
      <c r="F251" s="325"/>
      <c r="G251" s="326">
        <f t="shared" si="93"/>
        <v>0</v>
      </c>
      <c r="H251" s="327">
        <f t="shared" si="94"/>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95"/>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96"/>
        <v>0</v>
      </c>
      <c r="AW251" s="2210">
        <f t="shared" si="97"/>
        <v>0</v>
      </c>
      <c r="AX251" s="2210">
        <f t="shared" si="98"/>
        <v>0</v>
      </c>
      <c r="AY251" s="331">
        <f t="shared" si="99"/>
        <v>0</v>
      </c>
      <c r="AZ251" s="324">
        <f t="shared" si="100"/>
        <v>0</v>
      </c>
      <c r="BA251" s="324">
        <f t="shared" si="101"/>
        <v>0</v>
      </c>
      <c r="BB251" s="324">
        <f t="shared" si="102"/>
        <v>0</v>
      </c>
      <c r="BC251" s="324">
        <f t="shared" si="103"/>
        <v>0</v>
      </c>
      <c r="BD251" s="324">
        <f t="shared" si="104"/>
        <v>0</v>
      </c>
      <c r="BE251" s="324">
        <f t="shared" si="105"/>
        <v>0</v>
      </c>
      <c r="BF251" s="324">
        <f t="shared" si="106"/>
        <v>0</v>
      </c>
      <c r="BG251" s="324">
        <f t="shared" si="107"/>
        <v>0</v>
      </c>
      <c r="BH251" s="324">
        <f t="shared" si="108"/>
        <v>0</v>
      </c>
      <c r="BI251" s="324">
        <f t="shared" si="109"/>
        <v>0</v>
      </c>
      <c r="BJ251" s="324">
        <f t="shared" si="110"/>
        <v>0</v>
      </c>
      <c r="BK251" s="324">
        <f t="shared" si="111"/>
        <v>0</v>
      </c>
      <c r="BL251" s="324">
        <f t="shared" si="112"/>
        <v>0</v>
      </c>
      <c r="BM251" s="324">
        <f t="shared" si="113"/>
        <v>0</v>
      </c>
      <c r="BN251" s="324">
        <f t="shared" si="114"/>
        <v>0</v>
      </c>
      <c r="BO251" s="324">
        <f t="shared" si="115"/>
        <v>0</v>
      </c>
      <c r="BP251" s="324">
        <f t="shared" si="116"/>
        <v>0</v>
      </c>
      <c r="BQ251" s="324">
        <f t="shared" si="117"/>
        <v>0</v>
      </c>
      <c r="BR251" s="324">
        <f t="shared" si="118"/>
        <v>0</v>
      </c>
      <c r="BS251" s="324">
        <f t="shared" si="119"/>
        <v>0</v>
      </c>
      <c r="BT251" s="332">
        <f t="shared" si="120"/>
        <v>0</v>
      </c>
    </row>
    <row r="252" spans="1:72" ht="14.25">
      <c r="A252" s="297"/>
      <c r="B252" s="323"/>
      <c r="C252" s="323"/>
      <c r="D252" s="2215"/>
      <c r="E252" s="324">
        <f t="shared" si="92"/>
        <v>0</v>
      </c>
      <c r="F252" s="325"/>
      <c r="G252" s="326">
        <f t="shared" si="93"/>
        <v>0</v>
      </c>
      <c r="H252" s="327">
        <f t="shared" si="94"/>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95"/>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96"/>
        <v>0</v>
      </c>
      <c r="AW252" s="2210">
        <f t="shared" si="97"/>
        <v>0</v>
      </c>
      <c r="AX252" s="2210">
        <f t="shared" si="98"/>
        <v>0</v>
      </c>
      <c r="AY252" s="331">
        <f t="shared" si="99"/>
        <v>0</v>
      </c>
      <c r="AZ252" s="324">
        <f t="shared" si="100"/>
        <v>0</v>
      </c>
      <c r="BA252" s="324">
        <f t="shared" si="101"/>
        <v>0</v>
      </c>
      <c r="BB252" s="324">
        <f t="shared" si="102"/>
        <v>0</v>
      </c>
      <c r="BC252" s="324">
        <f t="shared" si="103"/>
        <v>0</v>
      </c>
      <c r="BD252" s="324">
        <f t="shared" si="104"/>
        <v>0</v>
      </c>
      <c r="BE252" s="324">
        <f t="shared" si="105"/>
        <v>0</v>
      </c>
      <c r="BF252" s="324">
        <f t="shared" si="106"/>
        <v>0</v>
      </c>
      <c r="BG252" s="324">
        <f t="shared" si="107"/>
        <v>0</v>
      </c>
      <c r="BH252" s="324">
        <f t="shared" si="108"/>
        <v>0</v>
      </c>
      <c r="BI252" s="324">
        <f t="shared" si="109"/>
        <v>0</v>
      </c>
      <c r="BJ252" s="324">
        <f t="shared" si="110"/>
        <v>0</v>
      </c>
      <c r="BK252" s="324">
        <f t="shared" si="111"/>
        <v>0</v>
      </c>
      <c r="BL252" s="324">
        <f t="shared" si="112"/>
        <v>0</v>
      </c>
      <c r="BM252" s="324">
        <f t="shared" si="113"/>
        <v>0</v>
      </c>
      <c r="BN252" s="324">
        <f t="shared" si="114"/>
        <v>0</v>
      </c>
      <c r="BO252" s="324">
        <f t="shared" si="115"/>
        <v>0</v>
      </c>
      <c r="BP252" s="324">
        <f t="shared" si="116"/>
        <v>0</v>
      </c>
      <c r="BQ252" s="324">
        <f t="shared" si="117"/>
        <v>0</v>
      </c>
      <c r="BR252" s="324">
        <f t="shared" si="118"/>
        <v>0</v>
      </c>
      <c r="BS252" s="324">
        <f t="shared" si="119"/>
        <v>0</v>
      </c>
      <c r="BT252" s="332">
        <f t="shared" si="120"/>
        <v>0</v>
      </c>
    </row>
    <row r="253" spans="1:72" ht="14.25">
      <c r="A253" s="297"/>
      <c r="B253" s="323"/>
      <c r="C253" s="323"/>
      <c r="D253" s="2215"/>
      <c r="E253" s="324">
        <f t="shared" si="92"/>
        <v>0</v>
      </c>
      <c r="F253" s="325"/>
      <c r="G253" s="326">
        <f t="shared" si="93"/>
        <v>0</v>
      </c>
      <c r="H253" s="327">
        <f t="shared" si="94"/>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95"/>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96"/>
        <v>0</v>
      </c>
      <c r="AW253" s="2210">
        <f t="shared" si="97"/>
        <v>0</v>
      </c>
      <c r="AX253" s="2210">
        <f t="shared" si="98"/>
        <v>0</v>
      </c>
      <c r="AY253" s="331">
        <f t="shared" si="99"/>
        <v>0</v>
      </c>
      <c r="AZ253" s="324">
        <f t="shared" si="100"/>
        <v>0</v>
      </c>
      <c r="BA253" s="324">
        <f t="shared" si="101"/>
        <v>0</v>
      </c>
      <c r="BB253" s="324">
        <f t="shared" si="102"/>
        <v>0</v>
      </c>
      <c r="BC253" s="324">
        <f t="shared" si="103"/>
        <v>0</v>
      </c>
      <c r="BD253" s="324">
        <f t="shared" si="104"/>
        <v>0</v>
      </c>
      <c r="BE253" s="324">
        <f t="shared" si="105"/>
        <v>0</v>
      </c>
      <c r="BF253" s="324">
        <f t="shared" si="106"/>
        <v>0</v>
      </c>
      <c r="BG253" s="324">
        <f t="shared" si="107"/>
        <v>0</v>
      </c>
      <c r="BH253" s="324">
        <f t="shared" si="108"/>
        <v>0</v>
      </c>
      <c r="BI253" s="324">
        <f t="shared" si="109"/>
        <v>0</v>
      </c>
      <c r="BJ253" s="324">
        <f t="shared" si="110"/>
        <v>0</v>
      </c>
      <c r="BK253" s="324">
        <f t="shared" si="111"/>
        <v>0</v>
      </c>
      <c r="BL253" s="324">
        <f t="shared" si="112"/>
        <v>0</v>
      </c>
      <c r="BM253" s="324">
        <f t="shared" si="113"/>
        <v>0</v>
      </c>
      <c r="BN253" s="324">
        <f t="shared" si="114"/>
        <v>0</v>
      </c>
      <c r="BO253" s="324">
        <f t="shared" si="115"/>
        <v>0</v>
      </c>
      <c r="BP253" s="324">
        <f t="shared" si="116"/>
        <v>0</v>
      </c>
      <c r="BQ253" s="324">
        <f t="shared" si="117"/>
        <v>0</v>
      </c>
      <c r="BR253" s="324">
        <f t="shared" si="118"/>
        <v>0</v>
      </c>
      <c r="BS253" s="324">
        <f t="shared" si="119"/>
        <v>0</v>
      </c>
      <c r="BT253" s="332">
        <f t="shared" si="120"/>
        <v>0</v>
      </c>
    </row>
    <row r="254" spans="1:72" ht="14.25">
      <c r="A254" s="297"/>
      <c r="B254" s="323"/>
      <c r="C254" s="323"/>
      <c r="D254" s="2215"/>
      <c r="E254" s="324">
        <f t="shared" si="92"/>
        <v>0</v>
      </c>
      <c r="F254" s="325"/>
      <c r="G254" s="326">
        <f t="shared" si="93"/>
        <v>0</v>
      </c>
      <c r="H254" s="327">
        <f t="shared" si="94"/>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95"/>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96"/>
        <v>0</v>
      </c>
      <c r="AW254" s="2210">
        <f t="shared" si="97"/>
        <v>0</v>
      </c>
      <c r="AX254" s="2210">
        <f t="shared" si="98"/>
        <v>0</v>
      </c>
      <c r="AY254" s="331">
        <f t="shared" si="99"/>
        <v>0</v>
      </c>
      <c r="AZ254" s="324">
        <f t="shared" si="100"/>
        <v>0</v>
      </c>
      <c r="BA254" s="324">
        <f t="shared" si="101"/>
        <v>0</v>
      </c>
      <c r="BB254" s="324">
        <f t="shared" si="102"/>
        <v>0</v>
      </c>
      <c r="BC254" s="324">
        <f t="shared" si="103"/>
        <v>0</v>
      </c>
      <c r="BD254" s="324">
        <f t="shared" si="104"/>
        <v>0</v>
      </c>
      <c r="BE254" s="324">
        <f t="shared" si="105"/>
        <v>0</v>
      </c>
      <c r="BF254" s="324">
        <f t="shared" si="106"/>
        <v>0</v>
      </c>
      <c r="BG254" s="324">
        <f t="shared" si="107"/>
        <v>0</v>
      </c>
      <c r="BH254" s="324">
        <f t="shared" si="108"/>
        <v>0</v>
      </c>
      <c r="BI254" s="324">
        <f t="shared" si="109"/>
        <v>0</v>
      </c>
      <c r="BJ254" s="324">
        <f t="shared" si="110"/>
        <v>0</v>
      </c>
      <c r="BK254" s="324">
        <f t="shared" si="111"/>
        <v>0</v>
      </c>
      <c r="BL254" s="324">
        <f t="shared" si="112"/>
        <v>0</v>
      </c>
      <c r="BM254" s="324">
        <f t="shared" si="113"/>
        <v>0</v>
      </c>
      <c r="BN254" s="324">
        <f t="shared" si="114"/>
        <v>0</v>
      </c>
      <c r="BO254" s="324">
        <f t="shared" si="115"/>
        <v>0</v>
      </c>
      <c r="BP254" s="324">
        <f t="shared" si="116"/>
        <v>0</v>
      </c>
      <c r="BQ254" s="324">
        <f t="shared" si="117"/>
        <v>0</v>
      </c>
      <c r="BR254" s="324">
        <f t="shared" si="118"/>
        <v>0</v>
      </c>
      <c r="BS254" s="324">
        <f t="shared" si="119"/>
        <v>0</v>
      </c>
      <c r="BT254" s="332">
        <f t="shared" si="120"/>
        <v>0</v>
      </c>
    </row>
    <row r="255" spans="1:72" ht="14.25">
      <c r="A255" s="297"/>
      <c r="B255" s="323"/>
      <c r="C255" s="323"/>
      <c r="D255" s="2215"/>
      <c r="E255" s="324">
        <f t="shared" si="92"/>
        <v>0</v>
      </c>
      <c r="F255" s="325"/>
      <c r="G255" s="326">
        <f t="shared" si="93"/>
        <v>0</v>
      </c>
      <c r="H255" s="327">
        <f t="shared" si="94"/>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95"/>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96"/>
        <v>0</v>
      </c>
      <c r="AW255" s="2210">
        <f t="shared" si="97"/>
        <v>0</v>
      </c>
      <c r="AX255" s="2210">
        <f t="shared" si="98"/>
        <v>0</v>
      </c>
      <c r="AY255" s="331">
        <f t="shared" si="99"/>
        <v>0</v>
      </c>
      <c r="AZ255" s="324">
        <f t="shared" si="100"/>
        <v>0</v>
      </c>
      <c r="BA255" s="324">
        <f t="shared" si="101"/>
        <v>0</v>
      </c>
      <c r="BB255" s="324">
        <f t="shared" si="102"/>
        <v>0</v>
      </c>
      <c r="BC255" s="324">
        <f t="shared" si="103"/>
        <v>0</v>
      </c>
      <c r="BD255" s="324">
        <f t="shared" si="104"/>
        <v>0</v>
      </c>
      <c r="BE255" s="324">
        <f t="shared" si="105"/>
        <v>0</v>
      </c>
      <c r="BF255" s="324">
        <f t="shared" si="106"/>
        <v>0</v>
      </c>
      <c r="BG255" s="324">
        <f t="shared" si="107"/>
        <v>0</v>
      </c>
      <c r="BH255" s="324">
        <f t="shared" si="108"/>
        <v>0</v>
      </c>
      <c r="BI255" s="324">
        <f t="shared" si="109"/>
        <v>0</v>
      </c>
      <c r="BJ255" s="324">
        <f t="shared" si="110"/>
        <v>0</v>
      </c>
      <c r="BK255" s="324">
        <f t="shared" si="111"/>
        <v>0</v>
      </c>
      <c r="BL255" s="324">
        <f t="shared" si="112"/>
        <v>0</v>
      </c>
      <c r="BM255" s="324">
        <f t="shared" si="113"/>
        <v>0</v>
      </c>
      <c r="BN255" s="324">
        <f t="shared" si="114"/>
        <v>0</v>
      </c>
      <c r="BO255" s="324">
        <f t="shared" si="115"/>
        <v>0</v>
      </c>
      <c r="BP255" s="324">
        <f t="shared" si="116"/>
        <v>0</v>
      </c>
      <c r="BQ255" s="324">
        <f t="shared" si="117"/>
        <v>0</v>
      </c>
      <c r="BR255" s="324">
        <f t="shared" si="118"/>
        <v>0</v>
      </c>
      <c r="BS255" s="324">
        <f t="shared" si="119"/>
        <v>0</v>
      </c>
      <c r="BT255" s="332">
        <f t="shared" si="120"/>
        <v>0</v>
      </c>
    </row>
    <row r="256" spans="1:72" ht="14.25">
      <c r="A256" s="297"/>
      <c r="B256" s="323"/>
      <c r="C256" s="323"/>
      <c r="D256" s="2215"/>
      <c r="E256" s="324">
        <f t="shared" si="92"/>
        <v>0</v>
      </c>
      <c r="F256" s="325"/>
      <c r="G256" s="326">
        <f t="shared" si="93"/>
        <v>0</v>
      </c>
      <c r="H256" s="327">
        <f t="shared" si="94"/>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95"/>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96"/>
        <v>0</v>
      </c>
      <c r="AW256" s="2210">
        <f t="shared" si="97"/>
        <v>0</v>
      </c>
      <c r="AX256" s="2210">
        <f t="shared" si="98"/>
        <v>0</v>
      </c>
      <c r="AY256" s="331">
        <f t="shared" si="99"/>
        <v>0</v>
      </c>
      <c r="AZ256" s="324">
        <f t="shared" si="100"/>
        <v>0</v>
      </c>
      <c r="BA256" s="324">
        <f t="shared" si="101"/>
        <v>0</v>
      </c>
      <c r="BB256" s="324">
        <f t="shared" si="102"/>
        <v>0</v>
      </c>
      <c r="BC256" s="324">
        <f t="shared" si="103"/>
        <v>0</v>
      </c>
      <c r="BD256" s="324">
        <f t="shared" si="104"/>
        <v>0</v>
      </c>
      <c r="BE256" s="324">
        <f t="shared" si="105"/>
        <v>0</v>
      </c>
      <c r="BF256" s="324">
        <f t="shared" si="106"/>
        <v>0</v>
      </c>
      <c r="BG256" s="324">
        <f t="shared" si="107"/>
        <v>0</v>
      </c>
      <c r="BH256" s="324">
        <f t="shared" si="108"/>
        <v>0</v>
      </c>
      <c r="BI256" s="324">
        <f t="shared" si="109"/>
        <v>0</v>
      </c>
      <c r="BJ256" s="324">
        <f t="shared" si="110"/>
        <v>0</v>
      </c>
      <c r="BK256" s="324">
        <f t="shared" si="111"/>
        <v>0</v>
      </c>
      <c r="BL256" s="324">
        <f t="shared" si="112"/>
        <v>0</v>
      </c>
      <c r="BM256" s="324">
        <f t="shared" si="113"/>
        <v>0</v>
      </c>
      <c r="BN256" s="324">
        <f t="shared" si="114"/>
        <v>0</v>
      </c>
      <c r="BO256" s="324">
        <f t="shared" si="115"/>
        <v>0</v>
      </c>
      <c r="BP256" s="324">
        <f t="shared" si="116"/>
        <v>0</v>
      </c>
      <c r="BQ256" s="324">
        <f t="shared" si="117"/>
        <v>0</v>
      </c>
      <c r="BR256" s="324">
        <f t="shared" si="118"/>
        <v>0</v>
      </c>
      <c r="BS256" s="324">
        <f t="shared" si="119"/>
        <v>0</v>
      </c>
      <c r="BT256" s="332">
        <f t="shared" si="120"/>
        <v>0</v>
      </c>
    </row>
    <row r="257" spans="1:72" ht="14.25">
      <c r="A257" s="297"/>
      <c r="B257" s="323"/>
      <c r="C257" s="323"/>
      <c r="D257" s="2215"/>
      <c r="E257" s="324">
        <f t="shared" si="92"/>
        <v>0</v>
      </c>
      <c r="F257" s="325"/>
      <c r="G257" s="326">
        <f t="shared" si="93"/>
        <v>0</v>
      </c>
      <c r="H257" s="327">
        <f t="shared" si="94"/>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95"/>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96"/>
        <v>0</v>
      </c>
      <c r="AW257" s="2210">
        <f t="shared" si="97"/>
        <v>0</v>
      </c>
      <c r="AX257" s="2210">
        <f t="shared" si="98"/>
        <v>0</v>
      </c>
      <c r="AY257" s="331">
        <f t="shared" si="99"/>
        <v>0</v>
      </c>
      <c r="AZ257" s="324">
        <f t="shared" si="100"/>
        <v>0</v>
      </c>
      <c r="BA257" s="324">
        <f t="shared" si="101"/>
        <v>0</v>
      </c>
      <c r="BB257" s="324">
        <f t="shared" si="102"/>
        <v>0</v>
      </c>
      <c r="BC257" s="324">
        <f t="shared" si="103"/>
        <v>0</v>
      </c>
      <c r="BD257" s="324">
        <f t="shared" si="104"/>
        <v>0</v>
      </c>
      <c r="BE257" s="324">
        <f t="shared" si="105"/>
        <v>0</v>
      </c>
      <c r="BF257" s="324">
        <f t="shared" si="106"/>
        <v>0</v>
      </c>
      <c r="BG257" s="324">
        <f t="shared" si="107"/>
        <v>0</v>
      </c>
      <c r="BH257" s="324">
        <f t="shared" si="108"/>
        <v>0</v>
      </c>
      <c r="BI257" s="324">
        <f t="shared" si="109"/>
        <v>0</v>
      </c>
      <c r="BJ257" s="324">
        <f t="shared" si="110"/>
        <v>0</v>
      </c>
      <c r="BK257" s="324">
        <f t="shared" si="111"/>
        <v>0</v>
      </c>
      <c r="BL257" s="324">
        <f t="shared" si="112"/>
        <v>0</v>
      </c>
      <c r="BM257" s="324">
        <f t="shared" si="113"/>
        <v>0</v>
      </c>
      <c r="BN257" s="324">
        <f t="shared" si="114"/>
        <v>0</v>
      </c>
      <c r="BO257" s="324">
        <f t="shared" si="115"/>
        <v>0</v>
      </c>
      <c r="BP257" s="324">
        <f t="shared" si="116"/>
        <v>0</v>
      </c>
      <c r="BQ257" s="324">
        <f t="shared" si="117"/>
        <v>0</v>
      </c>
      <c r="BR257" s="324">
        <f t="shared" si="118"/>
        <v>0</v>
      </c>
      <c r="BS257" s="324">
        <f t="shared" si="119"/>
        <v>0</v>
      </c>
      <c r="BT257" s="332">
        <f t="shared" si="120"/>
        <v>0</v>
      </c>
    </row>
    <row r="258" spans="1:72" ht="14.25">
      <c r="A258" s="297"/>
      <c r="B258" s="323"/>
      <c r="C258" s="323"/>
      <c r="D258" s="2215"/>
      <c r="E258" s="324">
        <f t="shared" si="92"/>
        <v>0</v>
      </c>
      <c r="F258" s="325"/>
      <c r="G258" s="326">
        <f t="shared" si="93"/>
        <v>0</v>
      </c>
      <c r="H258" s="327">
        <f t="shared" si="94"/>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95"/>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96"/>
        <v>0</v>
      </c>
      <c r="AW258" s="2210">
        <f t="shared" si="97"/>
        <v>0</v>
      </c>
      <c r="AX258" s="2210">
        <f t="shared" si="98"/>
        <v>0</v>
      </c>
      <c r="AY258" s="331">
        <f t="shared" si="99"/>
        <v>0</v>
      </c>
      <c r="AZ258" s="324">
        <f t="shared" si="100"/>
        <v>0</v>
      </c>
      <c r="BA258" s="324">
        <f t="shared" si="101"/>
        <v>0</v>
      </c>
      <c r="BB258" s="324">
        <f t="shared" si="102"/>
        <v>0</v>
      </c>
      <c r="BC258" s="324">
        <f t="shared" si="103"/>
        <v>0</v>
      </c>
      <c r="BD258" s="324">
        <f t="shared" si="104"/>
        <v>0</v>
      </c>
      <c r="BE258" s="324">
        <f t="shared" si="105"/>
        <v>0</v>
      </c>
      <c r="BF258" s="324">
        <f t="shared" si="106"/>
        <v>0</v>
      </c>
      <c r="BG258" s="324">
        <f t="shared" si="107"/>
        <v>0</v>
      </c>
      <c r="BH258" s="324">
        <f t="shared" si="108"/>
        <v>0</v>
      </c>
      <c r="BI258" s="324">
        <f t="shared" si="109"/>
        <v>0</v>
      </c>
      <c r="BJ258" s="324">
        <f t="shared" si="110"/>
        <v>0</v>
      </c>
      <c r="BK258" s="324">
        <f t="shared" si="111"/>
        <v>0</v>
      </c>
      <c r="BL258" s="324">
        <f t="shared" si="112"/>
        <v>0</v>
      </c>
      <c r="BM258" s="324">
        <f t="shared" si="113"/>
        <v>0</v>
      </c>
      <c r="BN258" s="324">
        <f t="shared" si="114"/>
        <v>0</v>
      </c>
      <c r="BO258" s="324">
        <f t="shared" si="115"/>
        <v>0</v>
      </c>
      <c r="BP258" s="324">
        <f t="shared" si="116"/>
        <v>0</v>
      </c>
      <c r="BQ258" s="324">
        <f t="shared" si="117"/>
        <v>0</v>
      </c>
      <c r="BR258" s="324">
        <f t="shared" si="118"/>
        <v>0</v>
      </c>
      <c r="BS258" s="324">
        <f t="shared" si="119"/>
        <v>0</v>
      </c>
      <c r="BT258" s="332">
        <f t="shared" si="120"/>
        <v>0</v>
      </c>
    </row>
    <row r="259" spans="1:72" ht="14.25">
      <c r="A259" s="297"/>
      <c r="B259" s="323"/>
      <c r="C259" s="323"/>
      <c r="D259" s="2215"/>
      <c r="E259" s="324">
        <f t="shared" si="92"/>
        <v>0</v>
      </c>
      <c r="F259" s="325"/>
      <c r="G259" s="326">
        <f t="shared" si="93"/>
        <v>0</v>
      </c>
      <c r="H259" s="327">
        <f t="shared" si="94"/>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95"/>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96"/>
        <v>0</v>
      </c>
      <c r="AW259" s="2210">
        <f t="shared" si="97"/>
        <v>0</v>
      </c>
      <c r="AX259" s="2210">
        <f t="shared" si="98"/>
        <v>0</v>
      </c>
      <c r="AY259" s="331">
        <f t="shared" si="99"/>
        <v>0</v>
      </c>
      <c r="AZ259" s="324">
        <f t="shared" si="100"/>
        <v>0</v>
      </c>
      <c r="BA259" s="324">
        <f t="shared" si="101"/>
        <v>0</v>
      </c>
      <c r="BB259" s="324">
        <f t="shared" si="102"/>
        <v>0</v>
      </c>
      <c r="BC259" s="324">
        <f t="shared" si="103"/>
        <v>0</v>
      </c>
      <c r="BD259" s="324">
        <f t="shared" si="104"/>
        <v>0</v>
      </c>
      <c r="BE259" s="324">
        <f t="shared" si="105"/>
        <v>0</v>
      </c>
      <c r="BF259" s="324">
        <f t="shared" si="106"/>
        <v>0</v>
      </c>
      <c r="BG259" s="324">
        <f t="shared" si="107"/>
        <v>0</v>
      </c>
      <c r="BH259" s="324">
        <f t="shared" si="108"/>
        <v>0</v>
      </c>
      <c r="BI259" s="324">
        <f t="shared" si="109"/>
        <v>0</v>
      </c>
      <c r="BJ259" s="324">
        <f t="shared" si="110"/>
        <v>0</v>
      </c>
      <c r="BK259" s="324">
        <f t="shared" si="111"/>
        <v>0</v>
      </c>
      <c r="BL259" s="324">
        <f t="shared" si="112"/>
        <v>0</v>
      </c>
      <c r="BM259" s="324">
        <f t="shared" si="113"/>
        <v>0</v>
      </c>
      <c r="BN259" s="324">
        <f t="shared" si="114"/>
        <v>0</v>
      </c>
      <c r="BO259" s="324">
        <f t="shared" si="115"/>
        <v>0</v>
      </c>
      <c r="BP259" s="324">
        <f t="shared" si="116"/>
        <v>0</v>
      </c>
      <c r="BQ259" s="324">
        <f t="shared" si="117"/>
        <v>0</v>
      </c>
      <c r="BR259" s="324">
        <f t="shared" si="118"/>
        <v>0</v>
      </c>
      <c r="BS259" s="324">
        <f t="shared" si="119"/>
        <v>0</v>
      </c>
      <c r="BT259" s="332">
        <f t="shared" si="120"/>
        <v>0</v>
      </c>
    </row>
    <row r="260" spans="1:72" ht="14.25">
      <c r="A260" s="297"/>
      <c r="B260" s="323"/>
      <c r="C260" s="323"/>
      <c r="D260" s="2215"/>
      <c r="E260" s="324">
        <f t="shared" si="92"/>
        <v>0</v>
      </c>
      <c r="F260" s="325"/>
      <c r="G260" s="326">
        <f t="shared" si="93"/>
        <v>0</v>
      </c>
      <c r="H260" s="327">
        <f t="shared" si="94"/>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95"/>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96"/>
        <v>0</v>
      </c>
      <c r="AW260" s="2210">
        <f t="shared" si="97"/>
        <v>0</v>
      </c>
      <c r="AX260" s="2210">
        <f t="shared" si="98"/>
        <v>0</v>
      </c>
      <c r="AY260" s="331">
        <f t="shared" si="99"/>
        <v>0</v>
      </c>
      <c r="AZ260" s="324">
        <f t="shared" si="100"/>
        <v>0</v>
      </c>
      <c r="BA260" s="324">
        <f t="shared" si="101"/>
        <v>0</v>
      </c>
      <c r="BB260" s="324">
        <f t="shared" si="102"/>
        <v>0</v>
      </c>
      <c r="BC260" s="324">
        <f t="shared" si="103"/>
        <v>0</v>
      </c>
      <c r="BD260" s="324">
        <f t="shared" si="104"/>
        <v>0</v>
      </c>
      <c r="BE260" s="324">
        <f t="shared" si="105"/>
        <v>0</v>
      </c>
      <c r="BF260" s="324">
        <f t="shared" si="106"/>
        <v>0</v>
      </c>
      <c r="BG260" s="324">
        <f t="shared" si="107"/>
        <v>0</v>
      </c>
      <c r="BH260" s="324">
        <f t="shared" si="108"/>
        <v>0</v>
      </c>
      <c r="BI260" s="324">
        <f t="shared" si="109"/>
        <v>0</v>
      </c>
      <c r="BJ260" s="324">
        <f t="shared" si="110"/>
        <v>0</v>
      </c>
      <c r="BK260" s="324">
        <f t="shared" si="111"/>
        <v>0</v>
      </c>
      <c r="BL260" s="324">
        <f t="shared" si="112"/>
        <v>0</v>
      </c>
      <c r="BM260" s="324">
        <f t="shared" si="113"/>
        <v>0</v>
      </c>
      <c r="BN260" s="324">
        <f t="shared" si="114"/>
        <v>0</v>
      </c>
      <c r="BO260" s="324">
        <f t="shared" si="115"/>
        <v>0</v>
      </c>
      <c r="BP260" s="324">
        <f t="shared" si="116"/>
        <v>0</v>
      </c>
      <c r="BQ260" s="324">
        <f t="shared" si="117"/>
        <v>0</v>
      </c>
      <c r="BR260" s="324">
        <f t="shared" si="118"/>
        <v>0</v>
      </c>
      <c r="BS260" s="324">
        <f t="shared" si="119"/>
        <v>0</v>
      </c>
      <c r="BT260" s="332">
        <f t="shared" si="120"/>
        <v>0</v>
      </c>
    </row>
    <row r="261" spans="1:72" ht="14.25">
      <c r="A261" s="297"/>
      <c r="B261" s="323"/>
      <c r="C261" s="323"/>
      <c r="D261" s="2215"/>
      <c r="E261" s="324">
        <f t="shared" si="92"/>
        <v>0</v>
      </c>
      <c r="F261" s="325"/>
      <c r="G261" s="326">
        <f t="shared" si="93"/>
        <v>0</v>
      </c>
      <c r="H261" s="327">
        <f t="shared" si="94"/>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95"/>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96"/>
        <v>0</v>
      </c>
      <c r="AW261" s="2210">
        <f t="shared" si="97"/>
        <v>0</v>
      </c>
      <c r="AX261" s="2210">
        <f t="shared" si="98"/>
        <v>0</v>
      </c>
      <c r="AY261" s="331">
        <f t="shared" si="99"/>
        <v>0</v>
      </c>
      <c r="AZ261" s="324">
        <f t="shared" si="100"/>
        <v>0</v>
      </c>
      <c r="BA261" s="324">
        <f t="shared" si="101"/>
        <v>0</v>
      </c>
      <c r="BB261" s="324">
        <f t="shared" si="102"/>
        <v>0</v>
      </c>
      <c r="BC261" s="324">
        <f t="shared" si="103"/>
        <v>0</v>
      </c>
      <c r="BD261" s="324">
        <f t="shared" si="104"/>
        <v>0</v>
      </c>
      <c r="BE261" s="324">
        <f t="shared" si="105"/>
        <v>0</v>
      </c>
      <c r="BF261" s="324">
        <f t="shared" si="106"/>
        <v>0</v>
      </c>
      <c r="BG261" s="324">
        <f t="shared" si="107"/>
        <v>0</v>
      </c>
      <c r="BH261" s="324">
        <f t="shared" si="108"/>
        <v>0</v>
      </c>
      <c r="BI261" s="324">
        <f t="shared" si="109"/>
        <v>0</v>
      </c>
      <c r="BJ261" s="324">
        <f t="shared" si="110"/>
        <v>0</v>
      </c>
      <c r="BK261" s="324">
        <f t="shared" si="111"/>
        <v>0</v>
      </c>
      <c r="BL261" s="324">
        <f t="shared" si="112"/>
        <v>0</v>
      </c>
      <c r="BM261" s="324">
        <f t="shared" si="113"/>
        <v>0</v>
      </c>
      <c r="BN261" s="324">
        <f t="shared" si="114"/>
        <v>0</v>
      </c>
      <c r="BO261" s="324">
        <f t="shared" si="115"/>
        <v>0</v>
      </c>
      <c r="BP261" s="324">
        <f t="shared" si="116"/>
        <v>0</v>
      </c>
      <c r="BQ261" s="324">
        <f t="shared" si="117"/>
        <v>0</v>
      </c>
      <c r="BR261" s="324">
        <f t="shared" si="118"/>
        <v>0</v>
      </c>
      <c r="BS261" s="324">
        <f t="shared" si="119"/>
        <v>0</v>
      </c>
      <c r="BT261" s="332">
        <f t="shared" si="120"/>
        <v>0</v>
      </c>
    </row>
    <row r="262" spans="1:72" ht="14.25">
      <c r="A262" s="297"/>
      <c r="B262" s="323"/>
      <c r="C262" s="323"/>
      <c r="D262" s="2215"/>
      <c r="E262" s="324">
        <f t="shared" si="92"/>
        <v>0</v>
      </c>
      <c r="F262" s="325"/>
      <c r="G262" s="326">
        <f t="shared" si="93"/>
        <v>0</v>
      </c>
      <c r="H262" s="327">
        <f t="shared" si="94"/>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95"/>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96"/>
        <v>0</v>
      </c>
      <c r="AW262" s="2210">
        <f t="shared" si="97"/>
        <v>0</v>
      </c>
      <c r="AX262" s="2210">
        <f t="shared" si="98"/>
        <v>0</v>
      </c>
      <c r="AY262" s="331">
        <f t="shared" si="99"/>
        <v>0</v>
      </c>
      <c r="AZ262" s="324">
        <f t="shared" si="100"/>
        <v>0</v>
      </c>
      <c r="BA262" s="324">
        <f t="shared" si="101"/>
        <v>0</v>
      </c>
      <c r="BB262" s="324">
        <f t="shared" si="102"/>
        <v>0</v>
      </c>
      <c r="BC262" s="324">
        <f t="shared" si="103"/>
        <v>0</v>
      </c>
      <c r="BD262" s="324">
        <f t="shared" si="104"/>
        <v>0</v>
      </c>
      <c r="BE262" s="324">
        <f t="shared" si="105"/>
        <v>0</v>
      </c>
      <c r="BF262" s="324">
        <f t="shared" si="106"/>
        <v>0</v>
      </c>
      <c r="BG262" s="324">
        <f t="shared" si="107"/>
        <v>0</v>
      </c>
      <c r="BH262" s="324">
        <f t="shared" si="108"/>
        <v>0</v>
      </c>
      <c r="BI262" s="324">
        <f t="shared" si="109"/>
        <v>0</v>
      </c>
      <c r="BJ262" s="324">
        <f t="shared" si="110"/>
        <v>0</v>
      </c>
      <c r="BK262" s="324">
        <f t="shared" si="111"/>
        <v>0</v>
      </c>
      <c r="BL262" s="324">
        <f t="shared" si="112"/>
        <v>0</v>
      </c>
      <c r="BM262" s="324">
        <f t="shared" si="113"/>
        <v>0</v>
      </c>
      <c r="BN262" s="324">
        <f t="shared" si="114"/>
        <v>0</v>
      </c>
      <c r="BO262" s="324">
        <f t="shared" si="115"/>
        <v>0</v>
      </c>
      <c r="BP262" s="324">
        <f t="shared" si="116"/>
        <v>0</v>
      </c>
      <c r="BQ262" s="324">
        <f t="shared" si="117"/>
        <v>0</v>
      </c>
      <c r="BR262" s="324">
        <f t="shared" si="118"/>
        <v>0</v>
      </c>
      <c r="BS262" s="324">
        <f t="shared" si="119"/>
        <v>0</v>
      </c>
      <c r="BT262" s="332">
        <f t="shared" si="120"/>
        <v>0</v>
      </c>
    </row>
    <row r="263" spans="1:72" ht="14.25">
      <c r="A263" s="297"/>
      <c r="B263" s="323"/>
      <c r="C263" s="323"/>
      <c r="D263" s="2215"/>
      <c r="E263" s="324">
        <f t="shared" si="92"/>
        <v>0</v>
      </c>
      <c r="F263" s="325"/>
      <c r="G263" s="326">
        <f t="shared" si="93"/>
        <v>0</v>
      </c>
      <c r="H263" s="327">
        <f t="shared" si="94"/>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95"/>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96"/>
        <v>0</v>
      </c>
      <c r="AW263" s="2210">
        <f t="shared" si="97"/>
        <v>0</v>
      </c>
      <c r="AX263" s="2210">
        <f t="shared" si="98"/>
        <v>0</v>
      </c>
      <c r="AY263" s="331">
        <f t="shared" si="99"/>
        <v>0</v>
      </c>
      <c r="AZ263" s="324">
        <f t="shared" si="100"/>
        <v>0</v>
      </c>
      <c r="BA263" s="324">
        <f t="shared" si="101"/>
        <v>0</v>
      </c>
      <c r="BB263" s="324">
        <f t="shared" si="102"/>
        <v>0</v>
      </c>
      <c r="BC263" s="324">
        <f t="shared" si="103"/>
        <v>0</v>
      </c>
      <c r="BD263" s="324">
        <f t="shared" si="104"/>
        <v>0</v>
      </c>
      <c r="BE263" s="324">
        <f t="shared" si="105"/>
        <v>0</v>
      </c>
      <c r="BF263" s="324">
        <f t="shared" si="106"/>
        <v>0</v>
      </c>
      <c r="BG263" s="324">
        <f t="shared" si="107"/>
        <v>0</v>
      </c>
      <c r="BH263" s="324">
        <f t="shared" si="108"/>
        <v>0</v>
      </c>
      <c r="BI263" s="324">
        <f t="shared" si="109"/>
        <v>0</v>
      </c>
      <c r="BJ263" s="324">
        <f t="shared" si="110"/>
        <v>0</v>
      </c>
      <c r="BK263" s="324">
        <f t="shared" si="111"/>
        <v>0</v>
      </c>
      <c r="BL263" s="324">
        <f t="shared" si="112"/>
        <v>0</v>
      </c>
      <c r="BM263" s="324">
        <f t="shared" si="113"/>
        <v>0</v>
      </c>
      <c r="BN263" s="324">
        <f t="shared" si="114"/>
        <v>0</v>
      </c>
      <c r="BO263" s="324">
        <f t="shared" si="115"/>
        <v>0</v>
      </c>
      <c r="BP263" s="324">
        <f t="shared" si="116"/>
        <v>0</v>
      </c>
      <c r="BQ263" s="324">
        <f t="shared" si="117"/>
        <v>0</v>
      </c>
      <c r="BR263" s="324">
        <f t="shared" si="118"/>
        <v>0</v>
      </c>
      <c r="BS263" s="324">
        <f t="shared" si="119"/>
        <v>0</v>
      </c>
      <c r="BT263" s="332">
        <f t="shared" si="120"/>
        <v>0</v>
      </c>
    </row>
    <row r="264" spans="1:72" ht="14.25">
      <c r="A264" s="297"/>
      <c r="B264" s="323"/>
      <c r="C264" s="323"/>
      <c r="D264" s="2215"/>
      <c r="E264" s="324">
        <f t="shared" si="92"/>
        <v>0</v>
      </c>
      <c r="F264" s="325"/>
      <c r="G264" s="326">
        <f t="shared" si="93"/>
        <v>0</v>
      </c>
      <c r="H264" s="327">
        <f t="shared" si="94"/>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95"/>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96"/>
        <v>0</v>
      </c>
      <c r="AW264" s="2210">
        <f t="shared" si="97"/>
        <v>0</v>
      </c>
      <c r="AX264" s="2210">
        <f t="shared" si="98"/>
        <v>0</v>
      </c>
      <c r="AY264" s="331">
        <f t="shared" si="99"/>
        <v>0</v>
      </c>
      <c r="AZ264" s="324">
        <f t="shared" si="100"/>
        <v>0</v>
      </c>
      <c r="BA264" s="324">
        <f t="shared" si="101"/>
        <v>0</v>
      </c>
      <c r="BB264" s="324">
        <f t="shared" si="102"/>
        <v>0</v>
      </c>
      <c r="BC264" s="324">
        <f t="shared" si="103"/>
        <v>0</v>
      </c>
      <c r="BD264" s="324">
        <f t="shared" si="104"/>
        <v>0</v>
      </c>
      <c r="BE264" s="324">
        <f t="shared" si="105"/>
        <v>0</v>
      </c>
      <c r="BF264" s="324">
        <f t="shared" si="106"/>
        <v>0</v>
      </c>
      <c r="BG264" s="324">
        <f t="shared" si="107"/>
        <v>0</v>
      </c>
      <c r="BH264" s="324">
        <f t="shared" si="108"/>
        <v>0</v>
      </c>
      <c r="BI264" s="324">
        <f t="shared" si="109"/>
        <v>0</v>
      </c>
      <c r="BJ264" s="324">
        <f t="shared" si="110"/>
        <v>0</v>
      </c>
      <c r="BK264" s="324">
        <f t="shared" si="111"/>
        <v>0</v>
      </c>
      <c r="BL264" s="324">
        <f t="shared" si="112"/>
        <v>0</v>
      </c>
      <c r="BM264" s="324">
        <f t="shared" si="113"/>
        <v>0</v>
      </c>
      <c r="BN264" s="324">
        <f t="shared" si="114"/>
        <v>0</v>
      </c>
      <c r="BO264" s="324">
        <f t="shared" si="115"/>
        <v>0</v>
      </c>
      <c r="BP264" s="324">
        <f t="shared" si="116"/>
        <v>0</v>
      </c>
      <c r="BQ264" s="324">
        <f t="shared" si="117"/>
        <v>0</v>
      </c>
      <c r="BR264" s="324">
        <f t="shared" si="118"/>
        <v>0</v>
      </c>
      <c r="BS264" s="324">
        <f t="shared" si="119"/>
        <v>0</v>
      </c>
      <c r="BT264" s="332">
        <f t="shared" si="120"/>
        <v>0</v>
      </c>
    </row>
    <row r="265" spans="1:72" ht="14.25">
      <c r="A265" s="297"/>
      <c r="B265" s="323"/>
      <c r="C265" s="323"/>
      <c r="D265" s="2215"/>
      <c r="E265" s="324">
        <f t="shared" si="92"/>
        <v>0</v>
      </c>
      <c r="F265" s="325"/>
      <c r="G265" s="326">
        <f t="shared" si="93"/>
        <v>0</v>
      </c>
      <c r="H265" s="327">
        <f t="shared" si="94"/>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95"/>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96"/>
        <v>0</v>
      </c>
      <c r="AW265" s="2210">
        <f t="shared" si="97"/>
        <v>0</v>
      </c>
      <c r="AX265" s="2210">
        <f t="shared" si="98"/>
        <v>0</v>
      </c>
      <c r="AY265" s="331">
        <f t="shared" si="99"/>
        <v>0</v>
      </c>
      <c r="AZ265" s="324">
        <f t="shared" si="100"/>
        <v>0</v>
      </c>
      <c r="BA265" s="324">
        <f t="shared" si="101"/>
        <v>0</v>
      </c>
      <c r="BB265" s="324">
        <f t="shared" si="102"/>
        <v>0</v>
      </c>
      <c r="BC265" s="324">
        <f t="shared" si="103"/>
        <v>0</v>
      </c>
      <c r="BD265" s="324">
        <f t="shared" si="104"/>
        <v>0</v>
      </c>
      <c r="BE265" s="324">
        <f t="shared" si="105"/>
        <v>0</v>
      </c>
      <c r="BF265" s="324">
        <f t="shared" si="106"/>
        <v>0</v>
      </c>
      <c r="BG265" s="324">
        <f t="shared" si="107"/>
        <v>0</v>
      </c>
      <c r="BH265" s="324">
        <f t="shared" si="108"/>
        <v>0</v>
      </c>
      <c r="BI265" s="324">
        <f t="shared" si="109"/>
        <v>0</v>
      </c>
      <c r="BJ265" s="324">
        <f t="shared" si="110"/>
        <v>0</v>
      </c>
      <c r="BK265" s="324">
        <f t="shared" si="111"/>
        <v>0</v>
      </c>
      <c r="BL265" s="324">
        <f t="shared" si="112"/>
        <v>0</v>
      </c>
      <c r="BM265" s="324">
        <f t="shared" si="113"/>
        <v>0</v>
      </c>
      <c r="BN265" s="324">
        <f t="shared" si="114"/>
        <v>0</v>
      </c>
      <c r="BO265" s="324">
        <f t="shared" si="115"/>
        <v>0</v>
      </c>
      <c r="BP265" s="324">
        <f t="shared" si="116"/>
        <v>0</v>
      </c>
      <c r="BQ265" s="324">
        <f t="shared" si="117"/>
        <v>0</v>
      </c>
      <c r="BR265" s="324">
        <f t="shared" si="118"/>
        <v>0</v>
      </c>
      <c r="BS265" s="324">
        <f t="shared" si="119"/>
        <v>0</v>
      </c>
      <c r="BT265" s="332">
        <f t="shared" si="120"/>
        <v>0</v>
      </c>
    </row>
    <row r="266" spans="1:72" ht="14.25">
      <c r="A266" s="297"/>
      <c r="B266" s="323"/>
      <c r="C266" s="323"/>
      <c r="D266" s="2215"/>
      <c r="E266" s="324">
        <f t="shared" si="92"/>
        <v>0</v>
      </c>
      <c r="F266" s="325"/>
      <c r="G266" s="326">
        <f t="shared" si="93"/>
        <v>0</v>
      </c>
      <c r="H266" s="327">
        <f t="shared" si="94"/>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95"/>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96"/>
        <v>0</v>
      </c>
      <c r="AW266" s="2210">
        <f t="shared" si="97"/>
        <v>0</v>
      </c>
      <c r="AX266" s="2210">
        <f t="shared" si="98"/>
        <v>0</v>
      </c>
      <c r="AY266" s="331">
        <f t="shared" si="99"/>
        <v>0</v>
      </c>
      <c r="AZ266" s="324">
        <f t="shared" si="100"/>
        <v>0</v>
      </c>
      <c r="BA266" s="324">
        <f t="shared" si="101"/>
        <v>0</v>
      </c>
      <c r="BB266" s="324">
        <f t="shared" si="102"/>
        <v>0</v>
      </c>
      <c r="BC266" s="324">
        <f t="shared" si="103"/>
        <v>0</v>
      </c>
      <c r="BD266" s="324">
        <f t="shared" si="104"/>
        <v>0</v>
      </c>
      <c r="BE266" s="324">
        <f t="shared" si="105"/>
        <v>0</v>
      </c>
      <c r="BF266" s="324">
        <f t="shared" si="106"/>
        <v>0</v>
      </c>
      <c r="BG266" s="324">
        <f t="shared" si="107"/>
        <v>0</v>
      </c>
      <c r="BH266" s="324">
        <f t="shared" si="108"/>
        <v>0</v>
      </c>
      <c r="BI266" s="324">
        <f t="shared" si="109"/>
        <v>0</v>
      </c>
      <c r="BJ266" s="324">
        <f t="shared" si="110"/>
        <v>0</v>
      </c>
      <c r="BK266" s="324">
        <f t="shared" si="111"/>
        <v>0</v>
      </c>
      <c r="BL266" s="324">
        <f t="shared" si="112"/>
        <v>0</v>
      </c>
      <c r="BM266" s="324">
        <f t="shared" si="113"/>
        <v>0</v>
      </c>
      <c r="BN266" s="324">
        <f t="shared" si="114"/>
        <v>0</v>
      </c>
      <c r="BO266" s="324">
        <f t="shared" si="115"/>
        <v>0</v>
      </c>
      <c r="BP266" s="324">
        <f t="shared" si="116"/>
        <v>0</v>
      </c>
      <c r="BQ266" s="324">
        <f t="shared" si="117"/>
        <v>0</v>
      </c>
      <c r="BR266" s="324">
        <f t="shared" si="118"/>
        <v>0</v>
      </c>
      <c r="BS266" s="324">
        <f t="shared" si="119"/>
        <v>0</v>
      </c>
      <c r="BT266" s="332">
        <f t="shared" si="120"/>
        <v>0</v>
      </c>
    </row>
    <row r="267" spans="1:72" ht="14.25">
      <c r="A267" s="297"/>
      <c r="B267" s="323"/>
      <c r="C267" s="323"/>
      <c r="D267" s="2215"/>
      <c r="E267" s="324">
        <f t="shared" si="92"/>
        <v>0</v>
      </c>
      <c r="F267" s="325"/>
      <c r="G267" s="326">
        <f t="shared" si="93"/>
        <v>0</v>
      </c>
      <c r="H267" s="327">
        <f t="shared" si="94"/>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95"/>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96"/>
        <v>0</v>
      </c>
      <c r="AW267" s="2210">
        <f t="shared" si="97"/>
        <v>0</v>
      </c>
      <c r="AX267" s="2210">
        <f t="shared" si="98"/>
        <v>0</v>
      </c>
      <c r="AY267" s="331">
        <f t="shared" si="99"/>
        <v>0</v>
      </c>
      <c r="AZ267" s="324">
        <f t="shared" si="100"/>
        <v>0</v>
      </c>
      <c r="BA267" s="324">
        <f t="shared" si="101"/>
        <v>0</v>
      </c>
      <c r="BB267" s="324">
        <f t="shared" si="102"/>
        <v>0</v>
      </c>
      <c r="BC267" s="324">
        <f t="shared" si="103"/>
        <v>0</v>
      </c>
      <c r="BD267" s="324">
        <f t="shared" si="104"/>
        <v>0</v>
      </c>
      <c r="BE267" s="324">
        <f t="shared" si="105"/>
        <v>0</v>
      </c>
      <c r="BF267" s="324">
        <f t="shared" si="106"/>
        <v>0</v>
      </c>
      <c r="BG267" s="324">
        <f t="shared" si="107"/>
        <v>0</v>
      </c>
      <c r="BH267" s="324">
        <f t="shared" si="108"/>
        <v>0</v>
      </c>
      <c r="BI267" s="324">
        <f t="shared" si="109"/>
        <v>0</v>
      </c>
      <c r="BJ267" s="324">
        <f t="shared" si="110"/>
        <v>0</v>
      </c>
      <c r="BK267" s="324">
        <f t="shared" si="111"/>
        <v>0</v>
      </c>
      <c r="BL267" s="324">
        <f t="shared" si="112"/>
        <v>0</v>
      </c>
      <c r="BM267" s="324">
        <f t="shared" si="113"/>
        <v>0</v>
      </c>
      <c r="BN267" s="324">
        <f t="shared" si="114"/>
        <v>0</v>
      </c>
      <c r="BO267" s="324">
        <f t="shared" si="115"/>
        <v>0</v>
      </c>
      <c r="BP267" s="324">
        <f t="shared" si="116"/>
        <v>0</v>
      </c>
      <c r="BQ267" s="324">
        <f t="shared" si="117"/>
        <v>0</v>
      </c>
      <c r="BR267" s="324">
        <f t="shared" si="118"/>
        <v>0</v>
      </c>
      <c r="BS267" s="324">
        <f t="shared" si="119"/>
        <v>0</v>
      </c>
      <c r="BT267" s="332">
        <f t="shared" si="120"/>
        <v>0</v>
      </c>
    </row>
    <row r="268" spans="1:72" ht="14.25">
      <c r="A268" s="297"/>
      <c r="B268" s="323"/>
      <c r="C268" s="323"/>
      <c r="D268" s="2215"/>
      <c r="E268" s="324">
        <f t="shared" si="92"/>
        <v>0</v>
      </c>
      <c r="F268" s="325"/>
      <c r="G268" s="326">
        <f t="shared" si="93"/>
        <v>0</v>
      </c>
      <c r="H268" s="327">
        <f t="shared" si="94"/>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95"/>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96"/>
        <v>0</v>
      </c>
      <c r="AW268" s="2210">
        <f t="shared" si="97"/>
        <v>0</v>
      </c>
      <c r="AX268" s="2210">
        <f t="shared" si="98"/>
        <v>0</v>
      </c>
      <c r="AY268" s="331">
        <f t="shared" si="99"/>
        <v>0</v>
      </c>
      <c r="AZ268" s="324">
        <f t="shared" si="100"/>
        <v>0</v>
      </c>
      <c r="BA268" s="324">
        <f t="shared" si="101"/>
        <v>0</v>
      </c>
      <c r="BB268" s="324">
        <f t="shared" si="102"/>
        <v>0</v>
      </c>
      <c r="BC268" s="324">
        <f t="shared" si="103"/>
        <v>0</v>
      </c>
      <c r="BD268" s="324">
        <f t="shared" si="104"/>
        <v>0</v>
      </c>
      <c r="BE268" s="324">
        <f t="shared" si="105"/>
        <v>0</v>
      </c>
      <c r="BF268" s="324">
        <f t="shared" si="106"/>
        <v>0</v>
      </c>
      <c r="BG268" s="324">
        <f t="shared" si="107"/>
        <v>0</v>
      </c>
      <c r="BH268" s="324">
        <f t="shared" si="108"/>
        <v>0</v>
      </c>
      <c r="BI268" s="324">
        <f t="shared" si="109"/>
        <v>0</v>
      </c>
      <c r="BJ268" s="324">
        <f t="shared" si="110"/>
        <v>0</v>
      </c>
      <c r="BK268" s="324">
        <f t="shared" si="111"/>
        <v>0</v>
      </c>
      <c r="BL268" s="324">
        <f t="shared" si="112"/>
        <v>0</v>
      </c>
      <c r="BM268" s="324">
        <f t="shared" si="113"/>
        <v>0</v>
      </c>
      <c r="BN268" s="324">
        <f t="shared" si="114"/>
        <v>0</v>
      </c>
      <c r="BO268" s="324">
        <f t="shared" si="115"/>
        <v>0</v>
      </c>
      <c r="BP268" s="324">
        <f t="shared" si="116"/>
        <v>0</v>
      </c>
      <c r="BQ268" s="324">
        <f t="shared" si="117"/>
        <v>0</v>
      </c>
      <c r="BR268" s="324">
        <f t="shared" si="118"/>
        <v>0</v>
      </c>
      <c r="BS268" s="324">
        <f t="shared" si="119"/>
        <v>0</v>
      </c>
      <c r="BT268" s="332">
        <f t="shared" si="120"/>
        <v>0</v>
      </c>
    </row>
    <row r="269" spans="1:72" ht="14.25">
      <c r="A269" s="297"/>
      <c r="B269" s="323"/>
      <c r="C269" s="323"/>
      <c r="D269" s="2215"/>
      <c r="E269" s="324">
        <f t="shared" ref="E269:E332" si="121">IF($C$3="是",ROUND($A$3*G269/$B$3,2),ROUND($A$3*(G269-AT269)/$B$3,2))</f>
        <v>0</v>
      </c>
      <c r="F269" s="325"/>
      <c r="G269" s="326">
        <f t="shared" ref="G269:G332" si="122">H269+AC269+AT269</f>
        <v>0</v>
      </c>
      <c r="H269" s="327">
        <f t="shared" ref="H269:H332" si="123">SUMIF(I$12:AB$12,"总值",I269:AB269)</f>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ref="AC269:AC332" si="124">SUMIF(AD$12:AS$12,"总值",AD269:AS269)</f>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ref="AV269:AV332" si="125">A269</f>
        <v>0</v>
      </c>
      <c r="AW269" s="2210">
        <f t="shared" ref="AW269:AW332" si="126">B269</f>
        <v>0</v>
      </c>
      <c r="AX269" s="2210">
        <f t="shared" ref="AX269:AX332" si="127">C269</f>
        <v>0</v>
      </c>
      <c r="AY269" s="331">
        <f t="shared" ref="AY269:AY332" si="128">ROUND($AY$6*AZ269/$AZ$5,2)</f>
        <v>0</v>
      </c>
      <c r="AZ269" s="324">
        <f t="shared" ref="AZ269:AZ332" si="129">BA269+BL269</f>
        <v>0</v>
      </c>
      <c r="BA269" s="324">
        <f t="shared" ref="BA269:BA332" si="130">SUM(BB269:BK269)</f>
        <v>0</v>
      </c>
      <c r="BB269" s="324">
        <f t="shared" ref="BB269:BB332" si="131">IF($D269="是",I269-J269,0)</f>
        <v>0</v>
      </c>
      <c r="BC269" s="324">
        <f t="shared" ref="BC269:BC332" si="132">IF($D269="是",K269-L269,0)</f>
        <v>0</v>
      </c>
      <c r="BD269" s="324">
        <f t="shared" ref="BD269:BD332" si="133">IF($D269="是",M269-N269,0)</f>
        <v>0</v>
      </c>
      <c r="BE269" s="324">
        <f t="shared" ref="BE269:BE332" si="134">IF($D269="是",O269-P269,0)</f>
        <v>0</v>
      </c>
      <c r="BF269" s="324">
        <f t="shared" ref="BF269:BF332" si="135">IF($D269="是",Q269-R269,0)</f>
        <v>0</v>
      </c>
      <c r="BG269" s="324">
        <f t="shared" ref="BG269:BG332" si="136">IF($D269="是",S269-T269,0)</f>
        <v>0</v>
      </c>
      <c r="BH269" s="324">
        <f t="shared" ref="BH269:BH332" si="137">IF($D269="是",U269-V269,0)</f>
        <v>0</v>
      </c>
      <c r="BI269" s="324">
        <f t="shared" ref="BI269:BI332" si="138">IF($D269="是",W269-X269,0)</f>
        <v>0</v>
      </c>
      <c r="BJ269" s="324">
        <f t="shared" ref="BJ269:BJ332" si="139">IF($D269="是",Y269-Z269,0)</f>
        <v>0</v>
      </c>
      <c r="BK269" s="324">
        <f t="shared" ref="BK269:BK332" si="140">IF($D269="是",AA269-AB269,0)</f>
        <v>0</v>
      </c>
      <c r="BL269" s="324">
        <f t="shared" ref="BL269:BL332" si="141">SUM(BM269:BT269)</f>
        <v>0</v>
      </c>
      <c r="BM269" s="324">
        <f t="shared" ref="BM269:BM332" si="142">IF($D269="是",AD269-AE269,0)</f>
        <v>0</v>
      </c>
      <c r="BN269" s="324">
        <f t="shared" ref="BN269:BN332" si="143">IF($D269="是",AF269-AG269,0)</f>
        <v>0</v>
      </c>
      <c r="BO269" s="324">
        <f t="shared" ref="BO269:BO332" si="144">IF($D269="是",AH269-AI269,0)</f>
        <v>0</v>
      </c>
      <c r="BP269" s="324">
        <f t="shared" ref="BP269:BP332" si="145">IF($D269="是",AJ269-AK269,0)</f>
        <v>0</v>
      </c>
      <c r="BQ269" s="324">
        <f t="shared" ref="BQ269:BQ332" si="146">IF($D269="是",AL269-AM269,0)</f>
        <v>0</v>
      </c>
      <c r="BR269" s="324">
        <f t="shared" ref="BR269:BR332" si="147">IF($D269="是",AN269-AO269,0)</f>
        <v>0</v>
      </c>
      <c r="BS269" s="324">
        <f t="shared" ref="BS269:BS332" si="148">IF($D269="是",AP269-AQ269,0)</f>
        <v>0</v>
      </c>
      <c r="BT269" s="332">
        <f t="shared" ref="BT269:BT332" si="149">IF($D269="是",AR269-AS269,0)</f>
        <v>0</v>
      </c>
    </row>
    <row r="270" spans="1:72" ht="14.25">
      <c r="A270" s="297"/>
      <c r="B270" s="323"/>
      <c r="C270" s="323"/>
      <c r="D270" s="2215"/>
      <c r="E270" s="324">
        <f t="shared" si="121"/>
        <v>0</v>
      </c>
      <c r="F270" s="325"/>
      <c r="G270" s="326">
        <f t="shared" si="122"/>
        <v>0</v>
      </c>
      <c r="H270" s="327">
        <f t="shared" si="123"/>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4"/>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5"/>
        <v>0</v>
      </c>
      <c r="AW270" s="2210">
        <f t="shared" si="126"/>
        <v>0</v>
      </c>
      <c r="AX270" s="2210">
        <f t="shared" si="127"/>
        <v>0</v>
      </c>
      <c r="AY270" s="331">
        <f t="shared" si="128"/>
        <v>0</v>
      </c>
      <c r="AZ270" s="324">
        <f t="shared" si="129"/>
        <v>0</v>
      </c>
      <c r="BA270" s="324">
        <f t="shared" si="130"/>
        <v>0</v>
      </c>
      <c r="BB270" s="324">
        <f t="shared" si="131"/>
        <v>0</v>
      </c>
      <c r="BC270" s="324">
        <f t="shared" si="132"/>
        <v>0</v>
      </c>
      <c r="BD270" s="324">
        <f t="shared" si="133"/>
        <v>0</v>
      </c>
      <c r="BE270" s="324">
        <f t="shared" si="134"/>
        <v>0</v>
      </c>
      <c r="BF270" s="324">
        <f t="shared" si="135"/>
        <v>0</v>
      </c>
      <c r="BG270" s="324">
        <f t="shared" si="136"/>
        <v>0</v>
      </c>
      <c r="BH270" s="324">
        <f t="shared" si="137"/>
        <v>0</v>
      </c>
      <c r="BI270" s="324">
        <f t="shared" si="138"/>
        <v>0</v>
      </c>
      <c r="BJ270" s="324">
        <f t="shared" si="139"/>
        <v>0</v>
      </c>
      <c r="BK270" s="324">
        <f t="shared" si="140"/>
        <v>0</v>
      </c>
      <c r="BL270" s="324">
        <f t="shared" si="141"/>
        <v>0</v>
      </c>
      <c r="BM270" s="324">
        <f t="shared" si="142"/>
        <v>0</v>
      </c>
      <c r="BN270" s="324">
        <f t="shared" si="143"/>
        <v>0</v>
      </c>
      <c r="BO270" s="324">
        <f t="shared" si="144"/>
        <v>0</v>
      </c>
      <c r="BP270" s="324">
        <f t="shared" si="145"/>
        <v>0</v>
      </c>
      <c r="BQ270" s="324">
        <f t="shared" si="146"/>
        <v>0</v>
      </c>
      <c r="BR270" s="324">
        <f t="shared" si="147"/>
        <v>0</v>
      </c>
      <c r="BS270" s="324">
        <f t="shared" si="148"/>
        <v>0</v>
      </c>
      <c r="BT270" s="332">
        <f t="shared" si="149"/>
        <v>0</v>
      </c>
    </row>
    <row r="271" spans="1:72" ht="14.25">
      <c r="A271" s="297"/>
      <c r="B271" s="323"/>
      <c r="C271" s="323"/>
      <c r="D271" s="2215"/>
      <c r="E271" s="324">
        <f t="shared" si="121"/>
        <v>0</v>
      </c>
      <c r="F271" s="325"/>
      <c r="G271" s="326">
        <f t="shared" si="122"/>
        <v>0</v>
      </c>
      <c r="H271" s="327">
        <f t="shared" si="123"/>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4"/>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5"/>
        <v>0</v>
      </c>
      <c r="AW271" s="2210">
        <f t="shared" si="126"/>
        <v>0</v>
      </c>
      <c r="AX271" s="2210">
        <f t="shared" si="127"/>
        <v>0</v>
      </c>
      <c r="AY271" s="331">
        <f t="shared" si="128"/>
        <v>0</v>
      </c>
      <c r="AZ271" s="324">
        <f t="shared" si="129"/>
        <v>0</v>
      </c>
      <c r="BA271" s="324">
        <f t="shared" si="130"/>
        <v>0</v>
      </c>
      <c r="BB271" s="324">
        <f t="shared" si="131"/>
        <v>0</v>
      </c>
      <c r="BC271" s="324">
        <f t="shared" si="132"/>
        <v>0</v>
      </c>
      <c r="BD271" s="324">
        <f t="shared" si="133"/>
        <v>0</v>
      </c>
      <c r="BE271" s="324">
        <f t="shared" si="134"/>
        <v>0</v>
      </c>
      <c r="BF271" s="324">
        <f t="shared" si="135"/>
        <v>0</v>
      </c>
      <c r="BG271" s="324">
        <f t="shared" si="136"/>
        <v>0</v>
      </c>
      <c r="BH271" s="324">
        <f t="shared" si="137"/>
        <v>0</v>
      </c>
      <c r="BI271" s="324">
        <f t="shared" si="138"/>
        <v>0</v>
      </c>
      <c r="BJ271" s="324">
        <f t="shared" si="139"/>
        <v>0</v>
      </c>
      <c r="BK271" s="324">
        <f t="shared" si="140"/>
        <v>0</v>
      </c>
      <c r="BL271" s="324">
        <f t="shared" si="141"/>
        <v>0</v>
      </c>
      <c r="BM271" s="324">
        <f t="shared" si="142"/>
        <v>0</v>
      </c>
      <c r="BN271" s="324">
        <f t="shared" si="143"/>
        <v>0</v>
      </c>
      <c r="BO271" s="324">
        <f t="shared" si="144"/>
        <v>0</v>
      </c>
      <c r="BP271" s="324">
        <f t="shared" si="145"/>
        <v>0</v>
      </c>
      <c r="BQ271" s="324">
        <f t="shared" si="146"/>
        <v>0</v>
      </c>
      <c r="BR271" s="324">
        <f t="shared" si="147"/>
        <v>0</v>
      </c>
      <c r="BS271" s="324">
        <f t="shared" si="148"/>
        <v>0</v>
      </c>
      <c r="BT271" s="332">
        <f t="shared" si="149"/>
        <v>0</v>
      </c>
    </row>
    <row r="272" spans="1:72" ht="14.25">
      <c r="A272" s="297"/>
      <c r="B272" s="323"/>
      <c r="C272" s="323"/>
      <c r="D272" s="2215"/>
      <c r="E272" s="324">
        <f t="shared" si="121"/>
        <v>0</v>
      </c>
      <c r="F272" s="325"/>
      <c r="G272" s="326">
        <f t="shared" si="122"/>
        <v>0</v>
      </c>
      <c r="H272" s="327">
        <f t="shared" si="123"/>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4"/>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5"/>
        <v>0</v>
      </c>
      <c r="AW272" s="2210">
        <f t="shared" si="126"/>
        <v>0</v>
      </c>
      <c r="AX272" s="2210">
        <f t="shared" si="127"/>
        <v>0</v>
      </c>
      <c r="AY272" s="331">
        <f t="shared" si="128"/>
        <v>0</v>
      </c>
      <c r="AZ272" s="324">
        <f t="shared" si="129"/>
        <v>0</v>
      </c>
      <c r="BA272" s="324">
        <f t="shared" si="130"/>
        <v>0</v>
      </c>
      <c r="BB272" s="324">
        <f t="shared" si="131"/>
        <v>0</v>
      </c>
      <c r="BC272" s="324">
        <f t="shared" si="132"/>
        <v>0</v>
      </c>
      <c r="BD272" s="324">
        <f t="shared" si="133"/>
        <v>0</v>
      </c>
      <c r="BE272" s="324">
        <f t="shared" si="134"/>
        <v>0</v>
      </c>
      <c r="BF272" s="324">
        <f t="shared" si="135"/>
        <v>0</v>
      </c>
      <c r="BG272" s="324">
        <f t="shared" si="136"/>
        <v>0</v>
      </c>
      <c r="BH272" s="324">
        <f t="shared" si="137"/>
        <v>0</v>
      </c>
      <c r="BI272" s="324">
        <f t="shared" si="138"/>
        <v>0</v>
      </c>
      <c r="BJ272" s="324">
        <f t="shared" si="139"/>
        <v>0</v>
      </c>
      <c r="BK272" s="324">
        <f t="shared" si="140"/>
        <v>0</v>
      </c>
      <c r="BL272" s="324">
        <f t="shared" si="141"/>
        <v>0</v>
      </c>
      <c r="BM272" s="324">
        <f t="shared" si="142"/>
        <v>0</v>
      </c>
      <c r="BN272" s="324">
        <f t="shared" si="143"/>
        <v>0</v>
      </c>
      <c r="BO272" s="324">
        <f t="shared" si="144"/>
        <v>0</v>
      </c>
      <c r="BP272" s="324">
        <f t="shared" si="145"/>
        <v>0</v>
      </c>
      <c r="BQ272" s="324">
        <f t="shared" si="146"/>
        <v>0</v>
      </c>
      <c r="BR272" s="324">
        <f t="shared" si="147"/>
        <v>0</v>
      </c>
      <c r="BS272" s="324">
        <f t="shared" si="148"/>
        <v>0</v>
      </c>
      <c r="BT272" s="332">
        <f t="shared" si="149"/>
        <v>0</v>
      </c>
    </row>
    <row r="273" spans="1:72" ht="14.25">
      <c r="A273" s="297"/>
      <c r="B273" s="323"/>
      <c r="C273" s="323"/>
      <c r="D273" s="2215"/>
      <c r="E273" s="324">
        <f t="shared" si="121"/>
        <v>0</v>
      </c>
      <c r="F273" s="325"/>
      <c r="G273" s="326">
        <f t="shared" si="122"/>
        <v>0</v>
      </c>
      <c r="H273" s="327">
        <f t="shared" si="123"/>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4"/>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5"/>
        <v>0</v>
      </c>
      <c r="AW273" s="2210">
        <f t="shared" si="126"/>
        <v>0</v>
      </c>
      <c r="AX273" s="2210">
        <f t="shared" si="127"/>
        <v>0</v>
      </c>
      <c r="AY273" s="331">
        <f t="shared" si="128"/>
        <v>0</v>
      </c>
      <c r="AZ273" s="324">
        <f t="shared" si="129"/>
        <v>0</v>
      </c>
      <c r="BA273" s="324">
        <f t="shared" si="130"/>
        <v>0</v>
      </c>
      <c r="BB273" s="324">
        <f t="shared" si="131"/>
        <v>0</v>
      </c>
      <c r="BC273" s="324">
        <f t="shared" si="132"/>
        <v>0</v>
      </c>
      <c r="BD273" s="324">
        <f t="shared" si="133"/>
        <v>0</v>
      </c>
      <c r="BE273" s="324">
        <f t="shared" si="134"/>
        <v>0</v>
      </c>
      <c r="BF273" s="324">
        <f t="shared" si="135"/>
        <v>0</v>
      </c>
      <c r="BG273" s="324">
        <f t="shared" si="136"/>
        <v>0</v>
      </c>
      <c r="BH273" s="324">
        <f t="shared" si="137"/>
        <v>0</v>
      </c>
      <c r="BI273" s="324">
        <f t="shared" si="138"/>
        <v>0</v>
      </c>
      <c r="BJ273" s="324">
        <f t="shared" si="139"/>
        <v>0</v>
      </c>
      <c r="BK273" s="324">
        <f t="shared" si="140"/>
        <v>0</v>
      </c>
      <c r="BL273" s="324">
        <f t="shared" si="141"/>
        <v>0</v>
      </c>
      <c r="BM273" s="324">
        <f t="shared" si="142"/>
        <v>0</v>
      </c>
      <c r="BN273" s="324">
        <f t="shared" si="143"/>
        <v>0</v>
      </c>
      <c r="BO273" s="324">
        <f t="shared" si="144"/>
        <v>0</v>
      </c>
      <c r="BP273" s="324">
        <f t="shared" si="145"/>
        <v>0</v>
      </c>
      <c r="BQ273" s="324">
        <f t="shared" si="146"/>
        <v>0</v>
      </c>
      <c r="BR273" s="324">
        <f t="shared" si="147"/>
        <v>0</v>
      </c>
      <c r="BS273" s="324">
        <f t="shared" si="148"/>
        <v>0</v>
      </c>
      <c r="BT273" s="332">
        <f t="shared" si="149"/>
        <v>0</v>
      </c>
    </row>
    <row r="274" spans="1:72" ht="14.25">
      <c r="A274" s="297"/>
      <c r="B274" s="323"/>
      <c r="C274" s="323"/>
      <c r="D274" s="2215"/>
      <c r="E274" s="324">
        <f t="shared" si="121"/>
        <v>0</v>
      </c>
      <c r="F274" s="325"/>
      <c r="G274" s="326">
        <f t="shared" si="122"/>
        <v>0</v>
      </c>
      <c r="H274" s="327">
        <f t="shared" si="123"/>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4"/>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5"/>
        <v>0</v>
      </c>
      <c r="AW274" s="2210">
        <f t="shared" si="126"/>
        <v>0</v>
      </c>
      <c r="AX274" s="2210">
        <f t="shared" si="127"/>
        <v>0</v>
      </c>
      <c r="AY274" s="331">
        <f t="shared" si="128"/>
        <v>0</v>
      </c>
      <c r="AZ274" s="324">
        <f t="shared" si="129"/>
        <v>0</v>
      </c>
      <c r="BA274" s="324">
        <f t="shared" si="130"/>
        <v>0</v>
      </c>
      <c r="BB274" s="324">
        <f t="shared" si="131"/>
        <v>0</v>
      </c>
      <c r="BC274" s="324">
        <f t="shared" si="132"/>
        <v>0</v>
      </c>
      <c r="BD274" s="324">
        <f t="shared" si="133"/>
        <v>0</v>
      </c>
      <c r="BE274" s="324">
        <f t="shared" si="134"/>
        <v>0</v>
      </c>
      <c r="BF274" s="324">
        <f t="shared" si="135"/>
        <v>0</v>
      </c>
      <c r="BG274" s="324">
        <f t="shared" si="136"/>
        <v>0</v>
      </c>
      <c r="BH274" s="324">
        <f t="shared" si="137"/>
        <v>0</v>
      </c>
      <c r="BI274" s="324">
        <f t="shared" si="138"/>
        <v>0</v>
      </c>
      <c r="BJ274" s="324">
        <f t="shared" si="139"/>
        <v>0</v>
      </c>
      <c r="BK274" s="324">
        <f t="shared" si="140"/>
        <v>0</v>
      </c>
      <c r="BL274" s="324">
        <f t="shared" si="141"/>
        <v>0</v>
      </c>
      <c r="BM274" s="324">
        <f t="shared" si="142"/>
        <v>0</v>
      </c>
      <c r="BN274" s="324">
        <f t="shared" si="143"/>
        <v>0</v>
      </c>
      <c r="BO274" s="324">
        <f t="shared" si="144"/>
        <v>0</v>
      </c>
      <c r="BP274" s="324">
        <f t="shared" si="145"/>
        <v>0</v>
      </c>
      <c r="BQ274" s="324">
        <f t="shared" si="146"/>
        <v>0</v>
      </c>
      <c r="BR274" s="324">
        <f t="shared" si="147"/>
        <v>0</v>
      </c>
      <c r="BS274" s="324">
        <f t="shared" si="148"/>
        <v>0</v>
      </c>
      <c r="BT274" s="332">
        <f t="shared" si="149"/>
        <v>0</v>
      </c>
    </row>
    <row r="275" spans="1:72" ht="14.25">
      <c r="A275" s="297"/>
      <c r="B275" s="323"/>
      <c r="C275" s="323"/>
      <c r="D275" s="2215"/>
      <c r="E275" s="324">
        <f t="shared" si="121"/>
        <v>0</v>
      </c>
      <c r="F275" s="325"/>
      <c r="G275" s="326">
        <f t="shared" si="122"/>
        <v>0</v>
      </c>
      <c r="H275" s="327">
        <f t="shared" si="123"/>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4"/>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5"/>
        <v>0</v>
      </c>
      <c r="AW275" s="2210">
        <f t="shared" si="126"/>
        <v>0</v>
      </c>
      <c r="AX275" s="2210">
        <f t="shared" si="127"/>
        <v>0</v>
      </c>
      <c r="AY275" s="331">
        <f t="shared" si="128"/>
        <v>0</v>
      </c>
      <c r="AZ275" s="324">
        <f t="shared" si="129"/>
        <v>0</v>
      </c>
      <c r="BA275" s="324">
        <f t="shared" si="130"/>
        <v>0</v>
      </c>
      <c r="BB275" s="324">
        <f t="shared" si="131"/>
        <v>0</v>
      </c>
      <c r="BC275" s="324">
        <f t="shared" si="132"/>
        <v>0</v>
      </c>
      <c r="BD275" s="324">
        <f t="shared" si="133"/>
        <v>0</v>
      </c>
      <c r="BE275" s="324">
        <f t="shared" si="134"/>
        <v>0</v>
      </c>
      <c r="BF275" s="324">
        <f t="shared" si="135"/>
        <v>0</v>
      </c>
      <c r="BG275" s="324">
        <f t="shared" si="136"/>
        <v>0</v>
      </c>
      <c r="BH275" s="324">
        <f t="shared" si="137"/>
        <v>0</v>
      </c>
      <c r="BI275" s="324">
        <f t="shared" si="138"/>
        <v>0</v>
      </c>
      <c r="BJ275" s="324">
        <f t="shared" si="139"/>
        <v>0</v>
      </c>
      <c r="BK275" s="324">
        <f t="shared" si="140"/>
        <v>0</v>
      </c>
      <c r="BL275" s="324">
        <f t="shared" si="141"/>
        <v>0</v>
      </c>
      <c r="BM275" s="324">
        <f t="shared" si="142"/>
        <v>0</v>
      </c>
      <c r="BN275" s="324">
        <f t="shared" si="143"/>
        <v>0</v>
      </c>
      <c r="BO275" s="324">
        <f t="shared" si="144"/>
        <v>0</v>
      </c>
      <c r="BP275" s="324">
        <f t="shared" si="145"/>
        <v>0</v>
      </c>
      <c r="BQ275" s="324">
        <f t="shared" si="146"/>
        <v>0</v>
      </c>
      <c r="BR275" s="324">
        <f t="shared" si="147"/>
        <v>0</v>
      </c>
      <c r="BS275" s="324">
        <f t="shared" si="148"/>
        <v>0</v>
      </c>
      <c r="BT275" s="332">
        <f t="shared" si="149"/>
        <v>0</v>
      </c>
    </row>
    <row r="276" spans="1:72" ht="14.25">
      <c r="A276" s="297"/>
      <c r="B276" s="323"/>
      <c r="C276" s="323"/>
      <c r="D276" s="2215"/>
      <c r="E276" s="324">
        <f t="shared" si="121"/>
        <v>0</v>
      </c>
      <c r="F276" s="325"/>
      <c r="G276" s="326">
        <f t="shared" si="122"/>
        <v>0</v>
      </c>
      <c r="H276" s="327">
        <f t="shared" si="123"/>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4"/>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5"/>
        <v>0</v>
      </c>
      <c r="AW276" s="2210">
        <f t="shared" si="126"/>
        <v>0</v>
      </c>
      <c r="AX276" s="2210">
        <f t="shared" si="127"/>
        <v>0</v>
      </c>
      <c r="AY276" s="331">
        <f t="shared" si="128"/>
        <v>0</v>
      </c>
      <c r="AZ276" s="324">
        <f t="shared" si="129"/>
        <v>0</v>
      </c>
      <c r="BA276" s="324">
        <f t="shared" si="130"/>
        <v>0</v>
      </c>
      <c r="BB276" s="324">
        <f t="shared" si="131"/>
        <v>0</v>
      </c>
      <c r="BC276" s="324">
        <f t="shared" si="132"/>
        <v>0</v>
      </c>
      <c r="BD276" s="324">
        <f t="shared" si="133"/>
        <v>0</v>
      </c>
      <c r="BE276" s="324">
        <f t="shared" si="134"/>
        <v>0</v>
      </c>
      <c r="BF276" s="324">
        <f t="shared" si="135"/>
        <v>0</v>
      </c>
      <c r="BG276" s="324">
        <f t="shared" si="136"/>
        <v>0</v>
      </c>
      <c r="BH276" s="324">
        <f t="shared" si="137"/>
        <v>0</v>
      </c>
      <c r="BI276" s="324">
        <f t="shared" si="138"/>
        <v>0</v>
      </c>
      <c r="BJ276" s="324">
        <f t="shared" si="139"/>
        <v>0</v>
      </c>
      <c r="BK276" s="324">
        <f t="shared" si="140"/>
        <v>0</v>
      </c>
      <c r="BL276" s="324">
        <f t="shared" si="141"/>
        <v>0</v>
      </c>
      <c r="BM276" s="324">
        <f t="shared" si="142"/>
        <v>0</v>
      </c>
      <c r="BN276" s="324">
        <f t="shared" si="143"/>
        <v>0</v>
      </c>
      <c r="BO276" s="324">
        <f t="shared" si="144"/>
        <v>0</v>
      </c>
      <c r="BP276" s="324">
        <f t="shared" si="145"/>
        <v>0</v>
      </c>
      <c r="BQ276" s="324">
        <f t="shared" si="146"/>
        <v>0</v>
      </c>
      <c r="BR276" s="324">
        <f t="shared" si="147"/>
        <v>0</v>
      </c>
      <c r="BS276" s="324">
        <f t="shared" si="148"/>
        <v>0</v>
      </c>
      <c r="BT276" s="332">
        <f t="shared" si="149"/>
        <v>0</v>
      </c>
    </row>
    <row r="277" spans="1:72" ht="14.25">
      <c r="A277" s="297"/>
      <c r="B277" s="323"/>
      <c r="C277" s="323"/>
      <c r="D277" s="2215"/>
      <c r="E277" s="324">
        <f t="shared" si="121"/>
        <v>0</v>
      </c>
      <c r="F277" s="325"/>
      <c r="G277" s="326">
        <f t="shared" si="122"/>
        <v>0</v>
      </c>
      <c r="H277" s="327">
        <f t="shared" si="123"/>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4"/>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5"/>
        <v>0</v>
      </c>
      <c r="AW277" s="2210">
        <f t="shared" si="126"/>
        <v>0</v>
      </c>
      <c r="AX277" s="2210">
        <f t="shared" si="127"/>
        <v>0</v>
      </c>
      <c r="AY277" s="331">
        <f t="shared" si="128"/>
        <v>0</v>
      </c>
      <c r="AZ277" s="324">
        <f t="shared" si="129"/>
        <v>0</v>
      </c>
      <c r="BA277" s="324">
        <f t="shared" si="130"/>
        <v>0</v>
      </c>
      <c r="BB277" s="324">
        <f t="shared" si="131"/>
        <v>0</v>
      </c>
      <c r="BC277" s="324">
        <f t="shared" si="132"/>
        <v>0</v>
      </c>
      <c r="BD277" s="324">
        <f t="shared" si="133"/>
        <v>0</v>
      </c>
      <c r="BE277" s="324">
        <f t="shared" si="134"/>
        <v>0</v>
      </c>
      <c r="BF277" s="324">
        <f t="shared" si="135"/>
        <v>0</v>
      </c>
      <c r="BG277" s="324">
        <f t="shared" si="136"/>
        <v>0</v>
      </c>
      <c r="BH277" s="324">
        <f t="shared" si="137"/>
        <v>0</v>
      </c>
      <c r="BI277" s="324">
        <f t="shared" si="138"/>
        <v>0</v>
      </c>
      <c r="BJ277" s="324">
        <f t="shared" si="139"/>
        <v>0</v>
      </c>
      <c r="BK277" s="324">
        <f t="shared" si="140"/>
        <v>0</v>
      </c>
      <c r="BL277" s="324">
        <f t="shared" si="141"/>
        <v>0</v>
      </c>
      <c r="BM277" s="324">
        <f t="shared" si="142"/>
        <v>0</v>
      </c>
      <c r="BN277" s="324">
        <f t="shared" si="143"/>
        <v>0</v>
      </c>
      <c r="BO277" s="324">
        <f t="shared" si="144"/>
        <v>0</v>
      </c>
      <c r="BP277" s="324">
        <f t="shared" si="145"/>
        <v>0</v>
      </c>
      <c r="BQ277" s="324">
        <f t="shared" si="146"/>
        <v>0</v>
      </c>
      <c r="BR277" s="324">
        <f t="shared" si="147"/>
        <v>0</v>
      </c>
      <c r="BS277" s="324">
        <f t="shared" si="148"/>
        <v>0</v>
      </c>
      <c r="BT277" s="332">
        <f t="shared" si="149"/>
        <v>0</v>
      </c>
    </row>
    <row r="278" spans="1:72" ht="14.25">
      <c r="A278" s="297"/>
      <c r="B278" s="323"/>
      <c r="C278" s="323"/>
      <c r="D278" s="2215"/>
      <c r="E278" s="324">
        <f t="shared" si="121"/>
        <v>0</v>
      </c>
      <c r="F278" s="325"/>
      <c r="G278" s="326">
        <f t="shared" si="122"/>
        <v>0</v>
      </c>
      <c r="H278" s="327">
        <f t="shared" si="123"/>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4"/>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5"/>
        <v>0</v>
      </c>
      <c r="AW278" s="2210">
        <f t="shared" si="126"/>
        <v>0</v>
      </c>
      <c r="AX278" s="2210">
        <f t="shared" si="127"/>
        <v>0</v>
      </c>
      <c r="AY278" s="331">
        <f t="shared" si="128"/>
        <v>0</v>
      </c>
      <c r="AZ278" s="324">
        <f t="shared" si="129"/>
        <v>0</v>
      </c>
      <c r="BA278" s="324">
        <f t="shared" si="130"/>
        <v>0</v>
      </c>
      <c r="BB278" s="324">
        <f t="shared" si="131"/>
        <v>0</v>
      </c>
      <c r="BC278" s="324">
        <f t="shared" si="132"/>
        <v>0</v>
      </c>
      <c r="BD278" s="324">
        <f t="shared" si="133"/>
        <v>0</v>
      </c>
      <c r="BE278" s="324">
        <f t="shared" si="134"/>
        <v>0</v>
      </c>
      <c r="BF278" s="324">
        <f t="shared" si="135"/>
        <v>0</v>
      </c>
      <c r="BG278" s="324">
        <f t="shared" si="136"/>
        <v>0</v>
      </c>
      <c r="BH278" s="324">
        <f t="shared" si="137"/>
        <v>0</v>
      </c>
      <c r="BI278" s="324">
        <f t="shared" si="138"/>
        <v>0</v>
      </c>
      <c r="BJ278" s="324">
        <f t="shared" si="139"/>
        <v>0</v>
      </c>
      <c r="BK278" s="324">
        <f t="shared" si="140"/>
        <v>0</v>
      </c>
      <c r="BL278" s="324">
        <f t="shared" si="141"/>
        <v>0</v>
      </c>
      <c r="BM278" s="324">
        <f t="shared" si="142"/>
        <v>0</v>
      </c>
      <c r="BN278" s="324">
        <f t="shared" si="143"/>
        <v>0</v>
      </c>
      <c r="BO278" s="324">
        <f t="shared" si="144"/>
        <v>0</v>
      </c>
      <c r="BP278" s="324">
        <f t="shared" si="145"/>
        <v>0</v>
      </c>
      <c r="BQ278" s="324">
        <f t="shared" si="146"/>
        <v>0</v>
      </c>
      <c r="BR278" s="324">
        <f t="shared" si="147"/>
        <v>0</v>
      </c>
      <c r="BS278" s="324">
        <f t="shared" si="148"/>
        <v>0</v>
      </c>
      <c r="BT278" s="332">
        <f t="shared" si="149"/>
        <v>0</v>
      </c>
    </row>
    <row r="279" spans="1:72" ht="14.25">
      <c r="A279" s="297"/>
      <c r="B279" s="323"/>
      <c r="C279" s="323"/>
      <c r="D279" s="2215"/>
      <c r="E279" s="324">
        <f t="shared" si="121"/>
        <v>0</v>
      </c>
      <c r="F279" s="325"/>
      <c r="G279" s="326">
        <f t="shared" si="122"/>
        <v>0</v>
      </c>
      <c r="H279" s="327">
        <f t="shared" si="123"/>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4"/>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5"/>
        <v>0</v>
      </c>
      <c r="AW279" s="2210">
        <f t="shared" si="126"/>
        <v>0</v>
      </c>
      <c r="AX279" s="2210">
        <f t="shared" si="127"/>
        <v>0</v>
      </c>
      <c r="AY279" s="331">
        <f t="shared" si="128"/>
        <v>0</v>
      </c>
      <c r="AZ279" s="324">
        <f t="shared" si="129"/>
        <v>0</v>
      </c>
      <c r="BA279" s="324">
        <f t="shared" si="130"/>
        <v>0</v>
      </c>
      <c r="BB279" s="324">
        <f t="shared" si="131"/>
        <v>0</v>
      </c>
      <c r="BC279" s="324">
        <f t="shared" si="132"/>
        <v>0</v>
      </c>
      <c r="BD279" s="324">
        <f t="shared" si="133"/>
        <v>0</v>
      </c>
      <c r="BE279" s="324">
        <f t="shared" si="134"/>
        <v>0</v>
      </c>
      <c r="BF279" s="324">
        <f t="shared" si="135"/>
        <v>0</v>
      </c>
      <c r="BG279" s="324">
        <f t="shared" si="136"/>
        <v>0</v>
      </c>
      <c r="BH279" s="324">
        <f t="shared" si="137"/>
        <v>0</v>
      </c>
      <c r="BI279" s="324">
        <f t="shared" si="138"/>
        <v>0</v>
      </c>
      <c r="BJ279" s="324">
        <f t="shared" si="139"/>
        <v>0</v>
      </c>
      <c r="BK279" s="324">
        <f t="shared" si="140"/>
        <v>0</v>
      </c>
      <c r="BL279" s="324">
        <f t="shared" si="141"/>
        <v>0</v>
      </c>
      <c r="BM279" s="324">
        <f t="shared" si="142"/>
        <v>0</v>
      </c>
      <c r="BN279" s="324">
        <f t="shared" si="143"/>
        <v>0</v>
      </c>
      <c r="BO279" s="324">
        <f t="shared" si="144"/>
        <v>0</v>
      </c>
      <c r="BP279" s="324">
        <f t="shared" si="145"/>
        <v>0</v>
      </c>
      <c r="BQ279" s="324">
        <f t="shared" si="146"/>
        <v>0</v>
      </c>
      <c r="BR279" s="324">
        <f t="shared" si="147"/>
        <v>0</v>
      </c>
      <c r="BS279" s="324">
        <f t="shared" si="148"/>
        <v>0</v>
      </c>
      <c r="BT279" s="332">
        <f t="shared" si="149"/>
        <v>0</v>
      </c>
    </row>
    <row r="280" spans="1:72" ht="14.25">
      <c r="A280" s="297"/>
      <c r="B280" s="323"/>
      <c r="C280" s="323"/>
      <c r="D280" s="2215"/>
      <c r="E280" s="324">
        <f t="shared" si="121"/>
        <v>0</v>
      </c>
      <c r="F280" s="325"/>
      <c r="G280" s="326">
        <f t="shared" si="122"/>
        <v>0</v>
      </c>
      <c r="H280" s="327">
        <f t="shared" si="123"/>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4"/>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5"/>
        <v>0</v>
      </c>
      <c r="AW280" s="2210">
        <f t="shared" si="126"/>
        <v>0</v>
      </c>
      <c r="AX280" s="2210">
        <f t="shared" si="127"/>
        <v>0</v>
      </c>
      <c r="AY280" s="331">
        <f t="shared" si="128"/>
        <v>0</v>
      </c>
      <c r="AZ280" s="324">
        <f t="shared" si="129"/>
        <v>0</v>
      </c>
      <c r="BA280" s="324">
        <f t="shared" si="130"/>
        <v>0</v>
      </c>
      <c r="BB280" s="324">
        <f t="shared" si="131"/>
        <v>0</v>
      </c>
      <c r="BC280" s="324">
        <f t="shared" si="132"/>
        <v>0</v>
      </c>
      <c r="BD280" s="324">
        <f t="shared" si="133"/>
        <v>0</v>
      </c>
      <c r="BE280" s="324">
        <f t="shared" si="134"/>
        <v>0</v>
      </c>
      <c r="BF280" s="324">
        <f t="shared" si="135"/>
        <v>0</v>
      </c>
      <c r="BG280" s="324">
        <f t="shared" si="136"/>
        <v>0</v>
      </c>
      <c r="BH280" s="324">
        <f t="shared" si="137"/>
        <v>0</v>
      </c>
      <c r="BI280" s="324">
        <f t="shared" si="138"/>
        <v>0</v>
      </c>
      <c r="BJ280" s="324">
        <f t="shared" si="139"/>
        <v>0</v>
      </c>
      <c r="BK280" s="324">
        <f t="shared" si="140"/>
        <v>0</v>
      </c>
      <c r="BL280" s="324">
        <f t="shared" si="141"/>
        <v>0</v>
      </c>
      <c r="BM280" s="324">
        <f t="shared" si="142"/>
        <v>0</v>
      </c>
      <c r="BN280" s="324">
        <f t="shared" si="143"/>
        <v>0</v>
      </c>
      <c r="BO280" s="324">
        <f t="shared" si="144"/>
        <v>0</v>
      </c>
      <c r="BP280" s="324">
        <f t="shared" si="145"/>
        <v>0</v>
      </c>
      <c r="BQ280" s="324">
        <f t="shared" si="146"/>
        <v>0</v>
      </c>
      <c r="BR280" s="324">
        <f t="shared" si="147"/>
        <v>0</v>
      </c>
      <c r="BS280" s="324">
        <f t="shared" si="148"/>
        <v>0</v>
      </c>
      <c r="BT280" s="332">
        <f t="shared" si="149"/>
        <v>0</v>
      </c>
    </row>
    <row r="281" spans="1:72" ht="14.25">
      <c r="A281" s="297"/>
      <c r="B281" s="323"/>
      <c r="C281" s="323"/>
      <c r="D281" s="2215"/>
      <c r="E281" s="324">
        <f t="shared" si="121"/>
        <v>0</v>
      </c>
      <c r="F281" s="325"/>
      <c r="G281" s="326">
        <f t="shared" si="122"/>
        <v>0</v>
      </c>
      <c r="H281" s="327">
        <f t="shared" si="123"/>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4"/>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5"/>
        <v>0</v>
      </c>
      <c r="AW281" s="2210">
        <f t="shared" si="126"/>
        <v>0</v>
      </c>
      <c r="AX281" s="2210">
        <f t="shared" si="127"/>
        <v>0</v>
      </c>
      <c r="AY281" s="331">
        <f t="shared" si="128"/>
        <v>0</v>
      </c>
      <c r="AZ281" s="324">
        <f t="shared" si="129"/>
        <v>0</v>
      </c>
      <c r="BA281" s="324">
        <f t="shared" si="130"/>
        <v>0</v>
      </c>
      <c r="BB281" s="324">
        <f t="shared" si="131"/>
        <v>0</v>
      </c>
      <c r="BC281" s="324">
        <f t="shared" si="132"/>
        <v>0</v>
      </c>
      <c r="BD281" s="324">
        <f t="shared" si="133"/>
        <v>0</v>
      </c>
      <c r="BE281" s="324">
        <f t="shared" si="134"/>
        <v>0</v>
      </c>
      <c r="BF281" s="324">
        <f t="shared" si="135"/>
        <v>0</v>
      </c>
      <c r="BG281" s="324">
        <f t="shared" si="136"/>
        <v>0</v>
      </c>
      <c r="BH281" s="324">
        <f t="shared" si="137"/>
        <v>0</v>
      </c>
      <c r="BI281" s="324">
        <f t="shared" si="138"/>
        <v>0</v>
      </c>
      <c r="BJ281" s="324">
        <f t="shared" si="139"/>
        <v>0</v>
      </c>
      <c r="BK281" s="324">
        <f t="shared" si="140"/>
        <v>0</v>
      </c>
      <c r="BL281" s="324">
        <f t="shared" si="141"/>
        <v>0</v>
      </c>
      <c r="BM281" s="324">
        <f t="shared" si="142"/>
        <v>0</v>
      </c>
      <c r="BN281" s="324">
        <f t="shared" si="143"/>
        <v>0</v>
      </c>
      <c r="BO281" s="324">
        <f t="shared" si="144"/>
        <v>0</v>
      </c>
      <c r="BP281" s="324">
        <f t="shared" si="145"/>
        <v>0</v>
      </c>
      <c r="BQ281" s="324">
        <f t="shared" si="146"/>
        <v>0</v>
      </c>
      <c r="BR281" s="324">
        <f t="shared" si="147"/>
        <v>0</v>
      </c>
      <c r="BS281" s="324">
        <f t="shared" si="148"/>
        <v>0</v>
      </c>
      <c r="BT281" s="332">
        <f t="shared" si="149"/>
        <v>0</v>
      </c>
    </row>
    <row r="282" spans="1:72" ht="14.25">
      <c r="A282" s="297"/>
      <c r="B282" s="323"/>
      <c r="C282" s="323"/>
      <c r="D282" s="2215"/>
      <c r="E282" s="324">
        <f t="shared" si="121"/>
        <v>0</v>
      </c>
      <c r="F282" s="325"/>
      <c r="G282" s="326">
        <f t="shared" si="122"/>
        <v>0</v>
      </c>
      <c r="H282" s="327">
        <f t="shared" si="123"/>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4"/>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5"/>
        <v>0</v>
      </c>
      <c r="AW282" s="2210">
        <f t="shared" si="126"/>
        <v>0</v>
      </c>
      <c r="AX282" s="2210">
        <f t="shared" si="127"/>
        <v>0</v>
      </c>
      <c r="AY282" s="331">
        <f t="shared" si="128"/>
        <v>0</v>
      </c>
      <c r="AZ282" s="324">
        <f t="shared" si="129"/>
        <v>0</v>
      </c>
      <c r="BA282" s="324">
        <f t="shared" si="130"/>
        <v>0</v>
      </c>
      <c r="BB282" s="324">
        <f t="shared" si="131"/>
        <v>0</v>
      </c>
      <c r="BC282" s="324">
        <f t="shared" si="132"/>
        <v>0</v>
      </c>
      <c r="BD282" s="324">
        <f t="shared" si="133"/>
        <v>0</v>
      </c>
      <c r="BE282" s="324">
        <f t="shared" si="134"/>
        <v>0</v>
      </c>
      <c r="BF282" s="324">
        <f t="shared" si="135"/>
        <v>0</v>
      </c>
      <c r="BG282" s="324">
        <f t="shared" si="136"/>
        <v>0</v>
      </c>
      <c r="BH282" s="324">
        <f t="shared" si="137"/>
        <v>0</v>
      </c>
      <c r="BI282" s="324">
        <f t="shared" si="138"/>
        <v>0</v>
      </c>
      <c r="BJ282" s="324">
        <f t="shared" si="139"/>
        <v>0</v>
      </c>
      <c r="BK282" s="324">
        <f t="shared" si="140"/>
        <v>0</v>
      </c>
      <c r="BL282" s="324">
        <f t="shared" si="141"/>
        <v>0</v>
      </c>
      <c r="BM282" s="324">
        <f t="shared" si="142"/>
        <v>0</v>
      </c>
      <c r="BN282" s="324">
        <f t="shared" si="143"/>
        <v>0</v>
      </c>
      <c r="BO282" s="324">
        <f t="shared" si="144"/>
        <v>0</v>
      </c>
      <c r="BP282" s="324">
        <f t="shared" si="145"/>
        <v>0</v>
      </c>
      <c r="BQ282" s="324">
        <f t="shared" si="146"/>
        <v>0</v>
      </c>
      <c r="BR282" s="324">
        <f t="shared" si="147"/>
        <v>0</v>
      </c>
      <c r="BS282" s="324">
        <f t="shared" si="148"/>
        <v>0</v>
      </c>
      <c r="BT282" s="332">
        <f t="shared" si="149"/>
        <v>0</v>
      </c>
    </row>
    <row r="283" spans="1:72" ht="14.25">
      <c r="A283" s="297"/>
      <c r="B283" s="323"/>
      <c r="C283" s="323"/>
      <c r="D283" s="2215"/>
      <c r="E283" s="324">
        <f t="shared" si="121"/>
        <v>0</v>
      </c>
      <c r="F283" s="325"/>
      <c r="G283" s="326">
        <f t="shared" si="122"/>
        <v>0</v>
      </c>
      <c r="H283" s="327">
        <f t="shared" si="123"/>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4"/>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5"/>
        <v>0</v>
      </c>
      <c r="AW283" s="2210">
        <f t="shared" si="126"/>
        <v>0</v>
      </c>
      <c r="AX283" s="2210">
        <f t="shared" si="127"/>
        <v>0</v>
      </c>
      <c r="AY283" s="331">
        <f t="shared" si="128"/>
        <v>0</v>
      </c>
      <c r="AZ283" s="324">
        <f t="shared" si="129"/>
        <v>0</v>
      </c>
      <c r="BA283" s="324">
        <f t="shared" si="130"/>
        <v>0</v>
      </c>
      <c r="BB283" s="324">
        <f t="shared" si="131"/>
        <v>0</v>
      </c>
      <c r="BC283" s="324">
        <f t="shared" si="132"/>
        <v>0</v>
      </c>
      <c r="BD283" s="324">
        <f t="shared" si="133"/>
        <v>0</v>
      </c>
      <c r="BE283" s="324">
        <f t="shared" si="134"/>
        <v>0</v>
      </c>
      <c r="BF283" s="324">
        <f t="shared" si="135"/>
        <v>0</v>
      </c>
      <c r="BG283" s="324">
        <f t="shared" si="136"/>
        <v>0</v>
      </c>
      <c r="BH283" s="324">
        <f t="shared" si="137"/>
        <v>0</v>
      </c>
      <c r="BI283" s="324">
        <f t="shared" si="138"/>
        <v>0</v>
      </c>
      <c r="BJ283" s="324">
        <f t="shared" si="139"/>
        <v>0</v>
      </c>
      <c r="BK283" s="324">
        <f t="shared" si="140"/>
        <v>0</v>
      </c>
      <c r="BL283" s="324">
        <f t="shared" si="141"/>
        <v>0</v>
      </c>
      <c r="BM283" s="324">
        <f t="shared" si="142"/>
        <v>0</v>
      </c>
      <c r="BN283" s="324">
        <f t="shared" si="143"/>
        <v>0</v>
      </c>
      <c r="BO283" s="324">
        <f t="shared" si="144"/>
        <v>0</v>
      </c>
      <c r="BP283" s="324">
        <f t="shared" si="145"/>
        <v>0</v>
      </c>
      <c r="BQ283" s="324">
        <f t="shared" si="146"/>
        <v>0</v>
      </c>
      <c r="BR283" s="324">
        <f t="shared" si="147"/>
        <v>0</v>
      </c>
      <c r="BS283" s="324">
        <f t="shared" si="148"/>
        <v>0</v>
      </c>
      <c r="BT283" s="332">
        <f t="shared" si="149"/>
        <v>0</v>
      </c>
    </row>
    <row r="284" spans="1:72" ht="14.25">
      <c r="A284" s="297"/>
      <c r="B284" s="323"/>
      <c r="C284" s="323"/>
      <c r="D284" s="2215"/>
      <c r="E284" s="324">
        <f t="shared" si="121"/>
        <v>0</v>
      </c>
      <c r="F284" s="325"/>
      <c r="G284" s="326">
        <f t="shared" si="122"/>
        <v>0</v>
      </c>
      <c r="H284" s="327">
        <f t="shared" si="123"/>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4"/>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5"/>
        <v>0</v>
      </c>
      <c r="AW284" s="2210">
        <f t="shared" si="126"/>
        <v>0</v>
      </c>
      <c r="AX284" s="2210">
        <f t="shared" si="127"/>
        <v>0</v>
      </c>
      <c r="AY284" s="331">
        <f t="shared" si="128"/>
        <v>0</v>
      </c>
      <c r="AZ284" s="324">
        <f t="shared" si="129"/>
        <v>0</v>
      </c>
      <c r="BA284" s="324">
        <f t="shared" si="130"/>
        <v>0</v>
      </c>
      <c r="BB284" s="324">
        <f t="shared" si="131"/>
        <v>0</v>
      </c>
      <c r="BC284" s="324">
        <f t="shared" si="132"/>
        <v>0</v>
      </c>
      <c r="BD284" s="324">
        <f t="shared" si="133"/>
        <v>0</v>
      </c>
      <c r="BE284" s="324">
        <f t="shared" si="134"/>
        <v>0</v>
      </c>
      <c r="BF284" s="324">
        <f t="shared" si="135"/>
        <v>0</v>
      </c>
      <c r="BG284" s="324">
        <f t="shared" si="136"/>
        <v>0</v>
      </c>
      <c r="BH284" s="324">
        <f t="shared" si="137"/>
        <v>0</v>
      </c>
      <c r="BI284" s="324">
        <f t="shared" si="138"/>
        <v>0</v>
      </c>
      <c r="BJ284" s="324">
        <f t="shared" si="139"/>
        <v>0</v>
      </c>
      <c r="BK284" s="324">
        <f t="shared" si="140"/>
        <v>0</v>
      </c>
      <c r="BL284" s="324">
        <f t="shared" si="141"/>
        <v>0</v>
      </c>
      <c r="BM284" s="324">
        <f t="shared" si="142"/>
        <v>0</v>
      </c>
      <c r="BN284" s="324">
        <f t="shared" si="143"/>
        <v>0</v>
      </c>
      <c r="BO284" s="324">
        <f t="shared" si="144"/>
        <v>0</v>
      </c>
      <c r="BP284" s="324">
        <f t="shared" si="145"/>
        <v>0</v>
      </c>
      <c r="BQ284" s="324">
        <f t="shared" si="146"/>
        <v>0</v>
      </c>
      <c r="BR284" s="324">
        <f t="shared" si="147"/>
        <v>0</v>
      </c>
      <c r="BS284" s="324">
        <f t="shared" si="148"/>
        <v>0</v>
      </c>
      <c r="BT284" s="332">
        <f t="shared" si="149"/>
        <v>0</v>
      </c>
    </row>
    <row r="285" spans="1:72" ht="14.25">
      <c r="A285" s="297"/>
      <c r="B285" s="323"/>
      <c r="C285" s="323"/>
      <c r="D285" s="2215"/>
      <c r="E285" s="324">
        <f t="shared" si="121"/>
        <v>0</v>
      </c>
      <c r="F285" s="325"/>
      <c r="G285" s="326">
        <f t="shared" si="122"/>
        <v>0</v>
      </c>
      <c r="H285" s="327">
        <f t="shared" si="123"/>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4"/>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5"/>
        <v>0</v>
      </c>
      <c r="AW285" s="2210">
        <f t="shared" si="126"/>
        <v>0</v>
      </c>
      <c r="AX285" s="2210">
        <f t="shared" si="127"/>
        <v>0</v>
      </c>
      <c r="AY285" s="331">
        <f t="shared" si="128"/>
        <v>0</v>
      </c>
      <c r="AZ285" s="324">
        <f t="shared" si="129"/>
        <v>0</v>
      </c>
      <c r="BA285" s="324">
        <f t="shared" si="130"/>
        <v>0</v>
      </c>
      <c r="BB285" s="324">
        <f t="shared" si="131"/>
        <v>0</v>
      </c>
      <c r="BC285" s="324">
        <f t="shared" si="132"/>
        <v>0</v>
      </c>
      <c r="BD285" s="324">
        <f t="shared" si="133"/>
        <v>0</v>
      </c>
      <c r="BE285" s="324">
        <f t="shared" si="134"/>
        <v>0</v>
      </c>
      <c r="BF285" s="324">
        <f t="shared" si="135"/>
        <v>0</v>
      </c>
      <c r="BG285" s="324">
        <f t="shared" si="136"/>
        <v>0</v>
      </c>
      <c r="BH285" s="324">
        <f t="shared" si="137"/>
        <v>0</v>
      </c>
      <c r="BI285" s="324">
        <f t="shared" si="138"/>
        <v>0</v>
      </c>
      <c r="BJ285" s="324">
        <f t="shared" si="139"/>
        <v>0</v>
      </c>
      <c r="BK285" s="324">
        <f t="shared" si="140"/>
        <v>0</v>
      </c>
      <c r="BL285" s="324">
        <f t="shared" si="141"/>
        <v>0</v>
      </c>
      <c r="BM285" s="324">
        <f t="shared" si="142"/>
        <v>0</v>
      </c>
      <c r="BN285" s="324">
        <f t="shared" si="143"/>
        <v>0</v>
      </c>
      <c r="BO285" s="324">
        <f t="shared" si="144"/>
        <v>0</v>
      </c>
      <c r="BP285" s="324">
        <f t="shared" si="145"/>
        <v>0</v>
      </c>
      <c r="BQ285" s="324">
        <f t="shared" si="146"/>
        <v>0</v>
      </c>
      <c r="BR285" s="324">
        <f t="shared" si="147"/>
        <v>0</v>
      </c>
      <c r="BS285" s="324">
        <f t="shared" si="148"/>
        <v>0</v>
      </c>
      <c r="BT285" s="332">
        <f t="shared" si="149"/>
        <v>0</v>
      </c>
    </row>
    <row r="286" spans="1:72" ht="14.25">
      <c r="A286" s="297"/>
      <c r="B286" s="323"/>
      <c r="C286" s="323"/>
      <c r="D286" s="2215"/>
      <c r="E286" s="324">
        <f t="shared" si="121"/>
        <v>0</v>
      </c>
      <c r="F286" s="325"/>
      <c r="G286" s="326">
        <f t="shared" si="122"/>
        <v>0</v>
      </c>
      <c r="H286" s="327">
        <f t="shared" si="123"/>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4"/>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5"/>
        <v>0</v>
      </c>
      <c r="AW286" s="2210">
        <f t="shared" si="126"/>
        <v>0</v>
      </c>
      <c r="AX286" s="2210">
        <f t="shared" si="127"/>
        <v>0</v>
      </c>
      <c r="AY286" s="331">
        <f t="shared" si="128"/>
        <v>0</v>
      </c>
      <c r="AZ286" s="324">
        <f t="shared" si="129"/>
        <v>0</v>
      </c>
      <c r="BA286" s="324">
        <f t="shared" si="130"/>
        <v>0</v>
      </c>
      <c r="BB286" s="324">
        <f t="shared" si="131"/>
        <v>0</v>
      </c>
      <c r="BC286" s="324">
        <f t="shared" si="132"/>
        <v>0</v>
      </c>
      <c r="BD286" s="324">
        <f t="shared" si="133"/>
        <v>0</v>
      </c>
      <c r="BE286" s="324">
        <f t="shared" si="134"/>
        <v>0</v>
      </c>
      <c r="BF286" s="324">
        <f t="shared" si="135"/>
        <v>0</v>
      </c>
      <c r="BG286" s="324">
        <f t="shared" si="136"/>
        <v>0</v>
      </c>
      <c r="BH286" s="324">
        <f t="shared" si="137"/>
        <v>0</v>
      </c>
      <c r="BI286" s="324">
        <f t="shared" si="138"/>
        <v>0</v>
      </c>
      <c r="BJ286" s="324">
        <f t="shared" si="139"/>
        <v>0</v>
      </c>
      <c r="BK286" s="324">
        <f t="shared" si="140"/>
        <v>0</v>
      </c>
      <c r="BL286" s="324">
        <f t="shared" si="141"/>
        <v>0</v>
      </c>
      <c r="BM286" s="324">
        <f t="shared" si="142"/>
        <v>0</v>
      </c>
      <c r="BN286" s="324">
        <f t="shared" si="143"/>
        <v>0</v>
      </c>
      <c r="BO286" s="324">
        <f t="shared" si="144"/>
        <v>0</v>
      </c>
      <c r="BP286" s="324">
        <f t="shared" si="145"/>
        <v>0</v>
      </c>
      <c r="BQ286" s="324">
        <f t="shared" si="146"/>
        <v>0</v>
      </c>
      <c r="BR286" s="324">
        <f t="shared" si="147"/>
        <v>0</v>
      </c>
      <c r="BS286" s="324">
        <f t="shared" si="148"/>
        <v>0</v>
      </c>
      <c r="BT286" s="332">
        <f t="shared" si="149"/>
        <v>0</v>
      </c>
    </row>
    <row r="287" spans="1:72" ht="14.25">
      <c r="A287" s="297"/>
      <c r="B287" s="323"/>
      <c r="C287" s="323"/>
      <c r="D287" s="2215"/>
      <c r="E287" s="324">
        <f t="shared" si="121"/>
        <v>0</v>
      </c>
      <c r="F287" s="325"/>
      <c r="G287" s="326">
        <f t="shared" si="122"/>
        <v>0</v>
      </c>
      <c r="H287" s="327">
        <f t="shared" si="123"/>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4"/>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5"/>
        <v>0</v>
      </c>
      <c r="AW287" s="2210">
        <f t="shared" si="126"/>
        <v>0</v>
      </c>
      <c r="AX287" s="2210">
        <f t="shared" si="127"/>
        <v>0</v>
      </c>
      <c r="AY287" s="331">
        <f t="shared" si="128"/>
        <v>0</v>
      </c>
      <c r="AZ287" s="324">
        <f t="shared" si="129"/>
        <v>0</v>
      </c>
      <c r="BA287" s="324">
        <f t="shared" si="130"/>
        <v>0</v>
      </c>
      <c r="BB287" s="324">
        <f t="shared" si="131"/>
        <v>0</v>
      </c>
      <c r="BC287" s="324">
        <f t="shared" si="132"/>
        <v>0</v>
      </c>
      <c r="BD287" s="324">
        <f t="shared" si="133"/>
        <v>0</v>
      </c>
      <c r="BE287" s="324">
        <f t="shared" si="134"/>
        <v>0</v>
      </c>
      <c r="BF287" s="324">
        <f t="shared" si="135"/>
        <v>0</v>
      </c>
      <c r="BG287" s="324">
        <f t="shared" si="136"/>
        <v>0</v>
      </c>
      <c r="BH287" s="324">
        <f t="shared" si="137"/>
        <v>0</v>
      </c>
      <c r="BI287" s="324">
        <f t="shared" si="138"/>
        <v>0</v>
      </c>
      <c r="BJ287" s="324">
        <f t="shared" si="139"/>
        <v>0</v>
      </c>
      <c r="BK287" s="324">
        <f t="shared" si="140"/>
        <v>0</v>
      </c>
      <c r="BL287" s="324">
        <f t="shared" si="141"/>
        <v>0</v>
      </c>
      <c r="BM287" s="324">
        <f t="shared" si="142"/>
        <v>0</v>
      </c>
      <c r="BN287" s="324">
        <f t="shared" si="143"/>
        <v>0</v>
      </c>
      <c r="BO287" s="324">
        <f t="shared" si="144"/>
        <v>0</v>
      </c>
      <c r="BP287" s="324">
        <f t="shared" si="145"/>
        <v>0</v>
      </c>
      <c r="BQ287" s="324">
        <f t="shared" si="146"/>
        <v>0</v>
      </c>
      <c r="BR287" s="324">
        <f t="shared" si="147"/>
        <v>0</v>
      </c>
      <c r="BS287" s="324">
        <f t="shared" si="148"/>
        <v>0</v>
      </c>
      <c r="BT287" s="332">
        <f t="shared" si="149"/>
        <v>0</v>
      </c>
    </row>
    <row r="288" spans="1:72" ht="14.25">
      <c r="A288" s="297"/>
      <c r="B288" s="323"/>
      <c r="C288" s="323"/>
      <c r="D288" s="2215"/>
      <c r="E288" s="324">
        <f t="shared" si="121"/>
        <v>0</v>
      </c>
      <c r="F288" s="325"/>
      <c r="G288" s="326">
        <f t="shared" si="122"/>
        <v>0</v>
      </c>
      <c r="H288" s="327">
        <f t="shared" si="123"/>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4"/>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5"/>
        <v>0</v>
      </c>
      <c r="AW288" s="2210">
        <f t="shared" si="126"/>
        <v>0</v>
      </c>
      <c r="AX288" s="2210">
        <f t="shared" si="127"/>
        <v>0</v>
      </c>
      <c r="AY288" s="331">
        <f t="shared" si="128"/>
        <v>0</v>
      </c>
      <c r="AZ288" s="324">
        <f t="shared" si="129"/>
        <v>0</v>
      </c>
      <c r="BA288" s="324">
        <f t="shared" si="130"/>
        <v>0</v>
      </c>
      <c r="BB288" s="324">
        <f t="shared" si="131"/>
        <v>0</v>
      </c>
      <c r="BC288" s="324">
        <f t="shared" si="132"/>
        <v>0</v>
      </c>
      <c r="BD288" s="324">
        <f t="shared" si="133"/>
        <v>0</v>
      </c>
      <c r="BE288" s="324">
        <f t="shared" si="134"/>
        <v>0</v>
      </c>
      <c r="BF288" s="324">
        <f t="shared" si="135"/>
        <v>0</v>
      </c>
      <c r="BG288" s="324">
        <f t="shared" si="136"/>
        <v>0</v>
      </c>
      <c r="BH288" s="324">
        <f t="shared" si="137"/>
        <v>0</v>
      </c>
      <c r="BI288" s="324">
        <f t="shared" si="138"/>
        <v>0</v>
      </c>
      <c r="BJ288" s="324">
        <f t="shared" si="139"/>
        <v>0</v>
      </c>
      <c r="BK288" s="324">
        <f t="shared" si="140"/>
        <v>0</v>
      </c>
      <c r="BL288" s="324">
        <f t="shared" si="141"/>
        <v>0</v>
      </c>
      <c r="BM288" s="324">
        <f t="shared" si="142"/>
        <v>0</v>
      </c>
      <c r="BN288" s="324">
        <f t="shared" si="143"/>
        <v>0</v>
      </c>
      <c r="BO288" s="324">
        <f t="shared" si="144"/>
        <v>0</v>
      </c>
      <c r="BP288" s="324">
        <f t="shared" si="145"/>
        <v>0</v>
      </c>
      <c r="BQ288" s="324">
        <f t="shared" si="146"/>
        <v>0</v>
      </c>
      <c r="BR288" s="324">
        <f t="shared" si="147"/>
        <v>0</v>
      </c>
      <c r="BS288" s="324">
        <f t="shared" si="148"/>
        <v>0</v>
      </c>
      <c r="BT288" s="332">
        <f t="shared" si="149"/>
        <v>0</v>
      </c>
    </row>
    <row r="289" spans="1:72" ht="14.25">
      <c r="A289" s="297"/>
      <c r="B289" s="323"/>
      <c r="C289" s="323"/>
      <c r="D289" s="2215"/>
      <c r="E289" s="324">
        <f t="shared" si="121"/>
        <v>0</v>
      </c>
      <c r="F289" s="325"/>
      <c r="G289" s="326">
        <f t="shared" si="122"/>
        <v>0</v>
      </c>
      <c r="H289" s="327">
        <f t="shared" si="123"/>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4"/>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5"/>
        <v>0</v>
      </c>
      <c r="AW289" s="2210">
        <f t="shared" si="126"/>
        <v>0</v>
      </c>
      <c r="AX289" s="2210">
        <f t="shared" si="127"/>
        <v>0</v>
      </c>
      <c r="AY289" s="331">
        <f t="shared" si="128"/>
        <v>0</v>
      </c>
      <c r="AZ289" s="324">
        <f t="shared" si="129"/>
        <v>0</v>
      </c>
      <c r="BA289" s="324">
        <f t="shared" si="130"/>
        <v>0</v>
      </c>
      <c r="BB289" s="324">
        <f t="shared" si="131"/>
        <v>0</v>
      </c>
      <c r="BC289" s="324">
        <f t="shared" si="132"/>
        <v>0</v>
      </c>
      <c r="BD289" s="324">
        <f t="shared" si="133"/>
        <v>0</v>
      </c>
      <c r="BE289" s="324">
        <f t="shared" si="134"/>
        <v>0</v>
      </c>
      <c r="BF289" s="324">
        <f t="shared" si="135"/>
        <v>0</v>
      </c>
      <c r="BG289" s="324">
        <f t="shared" si="136"/>
        <v>0</v>
      </c>
      <c r="BH289" s="324">
        <f t="shared" si="137"/>
        <v>0</v>
      </c>
      <c r="BI289" s="324">
        <f t="shared" si="138"/>
        <v>0</v>
      </c>
      <c r="BJ289" s="324">
        <f t="shared" si="139"/>
        <v>0</v>
      </c>
      <c r="BK289" s="324">
        <f t="shared" si="140"/>
        <v>0</v>
      </c>
      <c r="BL289" s="324">
        <f t="shared" si="141"/>
        <v>0</v>
      </c>
      <c r="BM289" s="324">
        <f t="shared" si="142"/>
        <v>0</v>
      </c>
      <c r="BN289" s="324">
        <f t="shared" si="143"/>
        <v>0</v>
      </c>
      <c r="BO289" s="324">
        <f t="shared" si="144"/>
        <v>0</v>
      </c>
      <c r="BP289" s="324">
        <f t="shared" si="145"/>
        <v>0</v>
      </c>
      <c r="BQ289" s="324">
        <f t="shared" si="146"/>
        <v>0</v>
      </c>
      <c r="BR289" s="324">
        <f t="shared" si="147"/>
        <v>0</v>
      </c>
      <c r="BS289" s="324">
        <f t="shared" si="148"/>
        <v>0</v>
      </c>
      <c r="BT289" s="332">
        <f t="shared" si="149"/>
        <v>0</v>
      </c>
    </row>
    <row r="290" spans="1:72" ht="14.25">
      <c r="A290" s="297"/>
      <c r="B290" s="323"/>
      <c r="C290" s="323"/>
      <c r="D290" s="2215"/>
      <c r="E290" s="324">
        <f t="shared" si="121"/>
        <v>0</v>
      </c>
      <c r="F290" s="325"/>
      <c r="G290" s="326">
        <f t="shared" si="122"/>
        <v>0</v>
      </c>
      <c r="H290" s="327">
        <f t="shared" si="123"/>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4"/>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5"/>
        <v>0</v>
      </c>
      <c r="AW290" s="2210">
        <f t="shared" si="126"/>
        <v>0</v>
      </c>
      <c r="AX290" s="2210">
        <f t="shared" si="127"/>
        <v>0</v>
      </c>
      <c r="AY290" s="331">
        <f t="shared" si="128"/>
        <v>0</v>
      </c>
      <c r="AZ290" s="324">
        <f t="shared" si="129"/>
        <v>0</v>
      </c>
      <c r="BA290" s="324">
        <f t="shared" si="130"/>
        <v>0</v>
      </c>
      <c r="BB290" s="324">
        <f t="shared" si="131"/>
        <v>0</v>
      </c>
      <c r="BC290" s="324">
        <f t="shared" si="132"/>
        <v>0</v>
      </c>
      <c r="BD290" s="324">
        <f t="shared" si="133"/>
        <v>0</v>
      </c>
      <c r="BE290" s="324">
        <f t="shared" si="134"/>
        <v>0</v>
      </c>
      <c r="BF290" s="324">
        <f t="shared" si="135"/>
        <v>0</v>
      </c>
      <c r="BG290" s="324">
        <f t="shared" si="136"/>
        <v>0</v>
      </c>
      <c r="BH290" s="324">
        <f t="shared" si="137"/>
        <v>0</v>
      </c>
      <c r="BI290" s="324">
        <f t="shared" si="138"/>
        <v>0</v>
      </c>
      <c r="BJ290" s="324">
        <f t="shared" si="139"/>
        <v>0</v>
      </c>
      <c r="BK290" s="324">
        <f t="shared" si="140"/>
        <v>0</v>
      </c>
      <c r="BL290" s="324">
        <f t="shared" si="141"/>
        <v>0</v>
      </c>
      <c r="BM290" s="324">
        <f t="shared" si="142"/>
        <v>0</v>
      </c>
      <c r="BN290" s="324">
        <f t="shared" si="143"/>
        <v>0</v>
      </c>
      <c r="BO290" s="324">
        <f t="shared" si="144"/>
        <v>0</v>
      </c>
      <c r="BP290" s="324">
        <f t="shared" si="145"/>
        <v>0</v>
      </c>
      <c r="BQ290" s="324">
        <f t="shared" si="146"/>
        <v>0</v>
      </c>
      <c r="BR290" s="324">
        <f t="shared" si="147"/>
        <v>0</v>
      </c>
      <c r="BS290" s="324">
        <f t="shared" si="148"/>
        <v>0</v>
      </c>
      <c r="BT290" s="332">
        <f t="shared" si="149"/>
        <v>0</v>
      </c>
    </row>
    <row r="291" spans="1:72" ht="14.25">
      <c r="A291" s="297"/>
      <c r="B291" s="323"/>
      <c r="C291" s="323"/>
      <c r="D291" s="2215"/>
      <c r="E291" s="324">
        <f t="shared" si="121"/>
        <v>0</v>
      </c>
      <c r="F291" s="325"/>
      <c r="G291" s="326">
        <f t="shared" si="122"/>
        <v>0</v>
      </c>
      <c r="H291" s="327">
        <f t="shared" si="123"/>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4"/>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5"/>
        <v>0</v>
      </c>
      <c r="AW291" s="2210">
        <f t="shared" si="126"/>
        <v>0</v>
      </c>
      <c r="AX291" s="2210">
        <f t="shared" si="127"/>
        <v>0</v>
      </c>
      <c r="AY291" s="331">
        <f t="shared" si="128"/>
        <v>0</v>
      </c>
      <c r="AZ291" s="324">
        <f t="shared" si="129"/>
        <v>0</v>
      </c>
      <c r="BA291" s="324">
        <f t="shared" si="130"/>
        <v>0</v>
      </c>
      <c r="BB291" s="324">
        <f t="shared" si="131"/>
        <v>0</v>
      </c>
      <c r="BC291" s="324">
        <f t="shared" si="132"/>
        <v>0</v>
      </c>
      <c r="BD291" s="324">
        <f t="shared" si="133"/>
        <v>0</v>
      </c>
      <c r="BE291" s="324">
        <f t="shared" si="134"/>
        <v>0</v>
      </c>
      <c r="BF291" s="324">
        <f t="shared" si="135"/>
        <v>0</v>
      </c>
      <c r="BG291" s="324">
        <f t="shared" si="136"/>
        <v>0</v>
      </c>
      <c r="BH291" s="324">
        <f t="shared" si="137"/>
        <v>0</v>
      </c>
      <c r="BI291" s="324">
        <f t="shared" si="138"/>
        <v>0</v>
      </c>
      <c r="BJ291" s="324">
        <f t="shared" si="139"/>
        <v>0</v>
      </c>
      <c r="BK291" s="324">
        <f t="shared" si="140"/>
        <v>0</v>
      </c>
      <c r="BL291" s="324">
        <f t="shared" si="141"/>
        <v>0</v>
      </c>
      <c r="BM291" s="324">
        <f t="shared" si="142"/>
        <v>0</v>
      </c>
      <c r="BN291" s="324">
        <f t="shared" si="143"/>
        <v>0</v>
      </c>
      <c r="BO291" s="324">
        <f t="shared" si="144"/>
        <v>0</v>
      </c>
      <c r="BP291" s="324">
        <f t="shared" si="145"/>
        <v>0</v>
      </c>
      <c r="BQ291" s="324">
        <f t="shared" si="146"/>
        <v>0</v>
      </c>
      <c r="BR291" s="324">
        <f t="shared" si="147"/>
        <v>0</v>
      </c>
      <c r="BS291" s="324">
        <f t="shared" si="148"/>
        <v>0</v>
      </c>
      <c r="BT291" s="332">
        <f t="shared" si="149"/>
        <v>0</v>
      </c>
    </row>
    <row r="292" spans="1:72" ht="14.25">
      <c r="A292" s="297"/>
      <c r="B292" s="323"/>
      <c r="C292" s="323"/>
      <c r="D292" s="2215"/>
      <c r="E292" s="324">
        <f t="shared" si="121"/>
        <v>0</v>
      </c>
      <c r="F292" s="325"/>
      <c r="G292" s="326">
        <f t="shared" si="122"/>
        <v>0</v>
      </c>
      <c r="H292" s="327">
        <f t="shared" si="123"/>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4"/>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5"/>
        <v>0</v>
      </c>
      <c r="AW292" s="2210">
        <f t="shared" si="126"/>
        <v>0</v>
      </c>
      <c r="AX292" s="2210">
        <f t="shared" si="127"/>
        <v>0</v>
      </c>
      <c r="AY292" s="331">
        <f t="shared" si="128"/>
        <v>0</v>
      </c>
      <c r="AZ292" s="324">
        <f t="shared" si="129"/>
        <v>0</v>
      </c>
      <c r="BA292" s="324">
        <f t="shared" si="130"/>
        <v>0</v>
      </c>
      <c r="BB292" s="324">
        <f t="shared" si="131"/>
        <v>0</v>
      </c>
      <c r="BC292" s="324">
        <f t="shared" si="132"/>
        <v>0</v>
      </c>
      <c r="BD292" s="324">
        <f t="shared" si="133"/>
        <v>0</v>
      </c>
      <c r="BE292" s="324">
        <f t="shared" si="134"/>
        <v>0</v>
      </c>
      <c r="BF292" s="324">
        <f t="shared" si="135"/>
        <v>0</v>
      </c>
      <c r="BG292" s="324">
        <f t="shared" si="136"/>
        <v>0</v>
      </c>
      <c r="BH292" s="324">
        <f t="shared" si="137"/>
        <v>0</v>
      </c>
      <c r="BI292" s="324">
        <f t="shared" si="138"/>
        <v>0</v>
      </c>
      <c r="BJ292" s="324">
        <f t="shared" si="139"/>
        <v>0</v>
      </c>
      <c r="BK292" s="324">
        <f t="shared" si="140"/>
        <v>0</v>
      </c>
      <c r="BL292" s="324">
        <f t="shared" si="141"/>
        <v>0</v>
      </c>
      <c r="BM292" s="324">
        <f t="shared" si="142"/>
        <v>0</v>
      </c>
      <c r="BN292" s="324">
        <f t="shared" si="143"/>
        <v>0</v>
      </c>
      <c r="BO292" s="324">
        <f t="shared" si="144"/>
        <v>0</v>
      </c>
      <c r="BP292" s="324">
        <f t="shared" si="145"/>
        <v>0</v>
      </c>
      <c r="BQ292" s="324">
        <f t="shared" si="146"/>
        <v>0</v>
      </c>
      <c r="BR292" s="324">
        <f t="shared" si="147"/>
        <v>0</v>
      </c>
      <c r="BS292" s="324">
        <f t="shared" si="148"/>
        <v>0</v>
      </c>
      <c r="BT292" s="332">
        <f t="shared" si="149"/>
        <v>0</v>
      </c>
    </row>
    <row r="293" spans="1:72" ht="14.25">
      <c r="A293" s="297"/>
      <c r="B293" s="323"/>
      <c r="C293" s="323"/>
      <c r="D293" s="2215"/>
      <c r="E293" s="324">
        <f t="shared" si="121"/>
        <v>0</v>
      </c>
      <c r="F293" s="325"/>
      <c r="G293" s="326">
        <f t="shared" si="122"/>
        <v>0</v>
      </c>
      <c r="H293" s="327">
        <f t="shared" si="123"/>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4"/>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5"/>
        <v>0</v>
      </c>
      <c r="AW293" s="2210">
        <f t="shared" si="126"/>
        <v>0</v>
      </c>
      <c r="AX293" s="2210">
        <f t="shared" si="127"/>
        <v>0</v>
      </c>
      <c r="AY293" s="331">
        <f t="shared" si="128"/>
        <v>0</v>
      </c>
      <c r="AZ293" s="324">
        <f t="shared" si="129"/>
        <v>0</v>
      </c>
      <c r="BA293" s="324">
        <f t="shared" si="130"/>
        <v>0</v>
      </c>
      <c r="BB293" s="324">
        <f t="shared" si="131"/>
        <v>0</v>
      </c>
      <c r="BC293" s="324">
        <f t="shared" si="132"/>
        <v>0</v>
      </c>
      <c r="BD293" s="324">
        <f t="shared" si="133"/>
        <v>0</v>
      </c>
      <c r="BE293" s="324">
        <f t="shared" si="134"/>
        <v>0</v>
      </c>
      <c r="BF293" s="324">
        <f t="shared" si="135"/>
        <v>0</v>
      </c>
      <c r="BG293" s="324">
        <f t="shared" si="136"/>
        <v>0</v>
      </c>
      <c r="BH293" s="324">
        <f t="shared" si="137"/>
        <v>0</v>
      </c>
      <c r="BI293" s="324">
        <f t="shared" si="138"/>
        <v>0</v>
      </c>
      <c r="BJ293" s="324">
        <f t="shared" si="139"/>
        <v>0</v>
      </c>
      <c r="BK293" s="324">
        <f t="shared" si="140"/>
        <v>0</v>
      </c>
      <c r="BL293" s="324">
        <f t="shared" si="141"/>
        <v>0</v>
      </c>
      <c r="BM293" s="324">
        <f t="shared" si="142"/>
        <v>0</v>
      </c>
      <c r="BN293" s="324">
        <f t="shared" si="143"/>
        <v>0</v>
      </c>
      <c r="BO293" s="324">
        <f t="shared" si="144"/>
        <v>0</v>
      </c>
      <c r="BP293" s="324">
        <f t="shared" si="145"/>
        <v>0</v>
      </c>
      <c r="BQ293" s="324">
        <f t="shared" si="146"/>
        <v>0</v>
      </c>
      <c r="BR293" s="324">
        <f t="shared" si="147"/>
        <v>0</v>
      </c>
      <c r="BS293" s="324">
        <f t="shared" si="148"/>
        <v>0</v>
      </c>
      <c r="BT293" s="332">
        <f t="shared" si="149"/>
        <v>0</v>
      </c>
    </row>
    <row r="294" spans="1:72" ht="14.25">
      <c r="A294" s="297"/>
      <c r="B294" s="323"/>
      <c r="C294" s="323"/>
      <c r="D294" s="2215"/>
      <c r="E294" s="324">
        <f t="shared" si="121"/>
        <v>0</v>
      </c>
      <c r="F294" s="325"/>
      <c r="G294" s="326">
        <f t="shared" si="122"/>
        <v>0</v>
      </c>
      <c r="H294" s="327">
        <f t="shared" si="123"/>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4"/>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5"/>
        <v>0</v>
      </c>
      <c r="AW294" s="2210">
        <f t="shared" si="126"/>
        <v>0</v>
      </c>
      <c r="AX294" s="2210">
        <f t="shared" si="127"/>
        <v>0</v>
      </c>
      <c r="AY294" s="331">
        <f t="shared" si="128"/>
        <v>0</v>
      </c>
      <c r="AZ294" s="324">
        <f t="shared" si="129"/>
        <v>0</v>
      </c>
      <c r="BA294" s="324">
        <f t="shared" si="130"/>
        <v>0</v>
      </c>
      <c r="BB294" s="324">
        <f t="shared" si="131"/>
        <v>0</v>
      </c>
      <c r="BC294" s="324">
        <f t="shared" si="132"/>
        <v>0</v>
      </c>
      <c r="BD294" s="324">
        <f t="shared" si="133"/>
        <v>0</v>
      </c>
      <c r="BE294" s="324">
        <f t="shared" si="134"/>
        <v>0</v>
      </c>
      <c r="BF294" s="324">
        <f t="shared" si="135"/>
        <v>0</v>
      </c>
      <c r="BG294" s="324">
        <f t="shared" si="136"/>
        <v>0</v>
      </c>
      <c r="BH294" s="324">
        <f t="shared" si="137"/>
        <v>0</v>
      </c>
      <c r="BI294" s="324">
        <f t="shared" si="138"/>
        <v>0</v>
      </c>
      <c r="BJ294" s="324">
        <f t="shared" si="139"/>
        <v>0</v>
      </c>
      <c r="BK294" s="324">
        <f t="shared" si="140"/>
        <v>0</v>
      </c>
      <c r="BL294" s="324">
        <f t="shared" si="141"/>
        <v>0</v>
      </c>
      <c r="BM294" s="324">
        <f t="shared" si="142"/>
        <v>0</v>
      </c>
      <c r="BN294" s="324">
        <f t="shared" si="143"/>
        <v>0</v>
      </c>
      <c r="BO294" s="324">
        <f t="shared" si="144"/>
        <v>0</v>
      </c>
      <c r="BP294" s="324">
        <f t="shared" si="145"/>
        <v>0</v>
      </c>
      <c r="BQ294" s="324">
        <f t="shared" si="146"/>
        <v>0</v>
      </c>
      <c r="BR294" s="324">
        <f t="shared" si="147"/>
        <v>0</v>
      </c>
      <c r="BS294" s="324">
        <f t="shared" si="148"/>
        <v>0</v>
      </c>
      <c r="BT294" s="332">
        <f t="shared" si="149"/>
        <v>0</v>
      </c>
    </row>
    <row r="295" spans="1:72" ht="14.25">
      <c r="A295" s="297"/>
      <c r="B295" s="323"/>
      <c r="C295" s="323"/>
      <c r="D295" s="2215"/>
      <c r="E295" s="324">
        <f t="shared" si="121"/>
        <v>0</v>
      </c>
      <c r="F295" s="325"/>
      <c r="G295" s="326">
        <f t="shared" si="122"/>
        <v>0</v>
      </c>
      <c r="H295" s="327">
        <f t="shared" si="123"/>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4"/>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5"/>
        <v>0</v>
      </c>
      <c r="AW295" s="2210">
        <f t="shared" si="126"/>
        <v>0</v>
      </c>
      <c r="AX295" s="2210">
        <f t="shared" si="127"/>
        <v>0</v>
      </c>
      <c r="AY295" s="331">
        <f t="shared" si="128"/>
        <v>0</v>
      </c>
      <c r="AZ295" s="324">
        <f t="shared" si="129"/>
        <v>0</v>
      </c>
      <c r="BA295" s="324">
        <f t="shared" si="130"/>
        <v>0</v>
      </c>
      <c r="BB295" s="324">
        <f t="shared" si="131"/>
        <v>0</v>
      </c>
      <c r="BC295" s="324">
        <f t="shared" si="132"/>
        <v>0</v>
      </c>
      <c r="BD295" s="324">
        <f t="shared" si="133"/>
        <v>0</v>
      </c>
      <c r="BE295" s="324">
        <f t="shared" si="134"/>
        <v>0</v>
      </c>
      <c r="BF295" s="324">
        <f t="shared" si="135"/>
        <v>0</v>
      </c>
      <c r="BG295" s="324">
        <f t="shared" si="136"/>
        <v>0</v>
      </c>
      <c r="BH295" s="324">
        <f t="shared" si="137"/>
        <v>0</v>
      </c>
      <c r="BI295" s="324">
        <f t="shared" si="138"/>
        <v>0</v>
      </c>
      <c r="BJ295" s="324">
        <f t="shared" si="139"/>
        <v>0</v>
      </c>
      <c r="BK295" s="324">
        <f t="shared" si="140"/>
        <v>0</v>
      </c>
      <c r="BL295" s="324">
        <f t="shared" si="141"/>
        <v>0</v>
      </c>
      <c r="BM295" s="324">
        <f t="shared" si="142"/>
        <v>0</v>
      </c>
      <c r="BN295" s="324">
        <f t="shared" si="143"/>
        <v>0</v>
      </c>
      <c r="BO295" s="324">
        <f t="shared" si="144"/>
        <v>0</v>
      </c>
      <c r="BP295" s="324">
        <f t="shared" si="145"/>
        <v>0</v>
      </c>
      <c r="BQ295" s="324">
        <f t="shared" si="146"/>
        <v>0</v>
      </c>
      <c r="BR295" s="324">
        <f t="shared" si="147"/>
        <v>0</v>
      </c>
      <c r="BS295" s="324">
        <f t="shared" si="148"/>
        <v>0</v>
      </c>
      <c r="BT295" s="332">
        <f t="shared" si="149"/>
        <v>0</v>
      </c>
    </row>
    <row r="296" spans="1:72" ht="14.25">
      <c r="A296" s="297"/>
      <c r="B296" s="323"/>
      <c r="C296" s="323"/>
      <c r="D296" s="2215"/>
      <c r="E296" s="324">
        <f t="shared" si="121"/>
        <v>0</v>
      </c>
      <c r="F296" s="325"/>
      <c r="G296" s="326">
        <f t="shared" si="122"/>
        <v>0</v>
      </c>
      <c r="H296" s="327">
        <f t="shared" si="123"/>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4"/>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5"/>
        <v>0</v>
      </c>
      <c r="AW296" s="2210">
        <f t="shared" si="126"/>
        <v>0</v>
      </c>
      <c r="AX296" s="2210">
        <f t="shared" si="127"/>
        <v>0</v>
      </c>
      <c r="AY296" s="331">
        <f t="shared" si="128"/>
        <v>0</v>
      </c>
      <c r="AZ296" s="324">
        <f t="shared" si="129"/>
        <v>0</v>
      </c>
      <c r="BA296" s="324">
        <f t="shared" si="130"/>
        <v>0</v>
      </c>
      <c r="BB296" s="324">
        <f t="shared" si="131"/>
        <v>0</v>
      </c>
      <c r="BC296" s="324">
        <f t="shared" si="132"/>
        <v>0</v>
      </c>
      <c r="BD296" s="324">
        <f t="shared" si="133"/>
        <v>0</v>
      </c>
      <c r="BE296" s="324">
        <f t="shared" si="134"/>
        <v>0</v>
      </c>
      <c r="BF296" s="324">
        <f t="shared" si="135"/>
        <v>0</v>
      </c>
      <c r="BG296" s="324">
        <f t="shared" si="136"/>
        <v>0</v>
      </c>
      <c r="BH296" s="324">
        <f t="shared" si="137"/>
        <v>0</v>
      </c>
      <c r="BI296" s="324">
        <f t="shared" si="138"/>
        <v>0</v>
      </c>
      <c r="BJ296" s="324">
        <f t="shared" si="139"/>
        <v>0</v>
      </c>
      <c r="BK296" s="324">
        <f t="shared" si="140"/>
        <v>0</v>
      </c>
      <c r="BL296" s="324">
        <f t="shared" si="141"/>
        <v>0</v>
      </c>
      <c r="BM296" s="324">
        <f t="shared" si="142"/>
        <v>0</v>
      </c>
      <c r="BN296" s="324">
        <f t="shared" si="143"/>
        <v>0</v>
      </c>
      <c r="BO296" s="324">
        <f t="shared" si="144"/>
        <v>0</v>
      </c>
      <c r="BP296" s="324">
        <f t="shared" si="145"/>
        <v>0</v>
      </c>
      <c r="BQ296" s="324">
        <f t="shared" si="146"/>
        <v>0</v>
      </c>
      <c r="BR296" s="324">
        <f t="shared" si="147"/>
        <v>0</v>
      </c>
      <c r="BS296" s="324">
        <f t="shared" si="148"/>
        <v>0</v>
      </c>
      <c r="BT296" s="332">
        <f t="shared" si="149"/>
        <v>0</v>
      </c>
    </row>
    <row r="297" spans="1:72" ht="14.25">
      <c r="A297" s="297"/>
      <c r="B297" s="323"/>
      <c r="C297" s="323"/>
      <c r="D297" s="2215"/>
      <c r="E297" s="324">
        <f t="shared" si="121"/>
        <v>0</v>
      </c>
      <c r="F297" s="325"/>
      <c r="G297" s="326">
        <f t="shared" si="122"/>
        <v>0</v>
      </c>
      <c r="H297" s="327">
        <f t="shared" si="123"/>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4"/>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5"/>
        <v>0</v>
      </c>
      <c r="AW297" s="2210">
        <f t="shared" si="126"/>
        <v>0</v>
      </c>
      <c r="AX297" s="2210">
        <f t="shared" si="127"/>
        <v>0</v>
      </c>
      <c r="AY297" s="331">
        <f t="shared" si="128"/>
        <v>0</v>
      </c>
      <c r="AZ297" s="324">
        <f t="shared" si="129"/>
        <v>0</v>
      </c>
      <c r="BA297" s="324">
        <f t="shared" si="130"/>
        <v>0</v>
      </c>
      <c r="BB297" s="324">
        <f t="shared" si="131"/>
        <v>0</v>
      </c>
      <c r="BC297" s="324">
        <f t="shared" si="132"/>
        <v>0</v>
      </c>
      <c r="BD297" s="324">
        <f t="shared" si="133"/>
        <v>0</v>
      </c>
      <c r="BE297" s="324">
        <f t="shared" si="134"/>
        <v>0</v>
      </c>
      <c r="BF297" s="324">
        <f t="shared" si="135"/>
        <v>0</v>
      </c>
      <c r="BG297" s="324">
        <f t="shared" si="136"/>
        <v>0</v>
      </c>
      <c r="BH297" s="324">
        <f t="shared" si="137"/>
        <v>0</v>
      </c>
      <c r="BI297" s="324">
        <f t="shared" si="138"/>
        <v>0</v>
      </c>
      <c r="BJ297" s="324">
        <f t="shared" si="139"/>
        <v>0</v>
      </c>
      <c r="BK297" s="324">
        <f t="shared" si="140"/>
        <v>0</v>
      </c>
      <c r="BL297" s="324">
        <f t="shared" si="141"/>
        <v>0</v>
      </c>
      <c r="BM297" s="324">
        <f t="shared" si="142"/>
        <v>0</v>
      </c>
      <c r="BN297" s="324">
        <f t="shared" si="143"/>
        <v>0</v>
      </c>
      <c r="BO297" s="324">
        <f t="shared" si="144"/>
        <v>0</v>
      </c>
      <c r="BP297" s="324">
        <f t="shared" si="145"/>
        <v>0</v>
      </c>
      <c r="BQ297" s="324">
        <f t="shared" si="146"/>
        <v>0</v>
      </c>
      <c r="BR297" s="324">
        <f t="shared" si="147"/>
        <v>0</v>
      </c>
      <c r="BS297" s="324">
        <f t="shared" si="148"/>
        <v>0</v>
      </c>
      <c r="BT297" s="332">
        <f t="shared" si="149"/>
        <v>0</v>
      </c>
    </row>
    <row r="298" spans="1:72" ht="14.25">
      <c r="A298" s="297"/>
      <c r="B298" s="323"/>
      <c r="C298" s="323"/>
      <c r="D298" s="2215"/>
      <c r="E298" s="324">
        <f t="shared" si="121"/>
        <v>0</v>
      </c>
      <c r="F298" s="325"/>
      <c r="G298" s="326">
        <f t="shared" si="122"/>
        <v>0</v>
      </c>
      <c r="H298" s="327">
        <f t="shared" si="123"/>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4"/>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5"/>
        <v>0</v>
      </c>
      <c r="AW298" s="2210">
        <f t="shared" si="126"/>
        <v>0</v>
      </c>
      <c r="AX298" s="2210">
        <f t="shared" si="127"/>
        <v>0</v>
      </c>
      <c r="AY298" s="331">
        <f t="shared" si="128"/>
        <v>0</v>
      </c>
      <c r="AZ298" s="324">
        <f t="shared" si="129"/>
        <v>0</v>
      </c>
      <c r="BA298" s="324">
        <f t="shared" si="130"/>
        <v>0</v>
      </c>
      <c r="BB298" s="324">
        <f t="shared" si="131"/>
        <v>0</v>
      </c>
      <c r="BC298" s="324">
        <f t="shared" si="132"/>
        <v>0</v>
      </c>
      <c r="BD298" s="324">
        <f t="shared" si="133"/>
        <v>0</v>
      </c>
      <c r="BE298" s="324">
        <f t="shared" si="134"/>
        <v>0</v>
      </c>
      <c r="BF298" s="324">
        <f t="shared" si="135"/>
        <v>0</v>
      </c>
      <c r="BG298" s="324">
        <f t="shared" si="136"/>
        <v>0</v>
      </c>
      <c r="BH298" s="324">
        <f t="shared" si="137"/>
        <v>0</v>
      </c>
      <c r="BI298" s="324">
        <f t="shared" si="138"/>
        <v>0</v>
      </c>
      <c r="BJ298" s="324">
        <f t="shared" si="139"/>
        <v>0</v>
      </c>
      <c r="BK298" s="324">
        <f t="shared" si="140"/>
        <v>0</v>
      </c>
      <c r="BL298" s="324">
        <f t="shared" si="141"/>
        <v>0</v>
      </c>
      <c r="BM298" s="324">
        <f t="shared" si="142"/>
        <v>0</v>
      </c>
      <c r="BN298" s="324">
        <f t="shared" si="143"/>
        <v>0</v>
      </c>
      <c r="BO298" s="324">
        <f t="shared" si="144"/>
        <v>0</v>
      </c>
      <c r="BP298" s="324">
        <f t="shared" si="145"/>
        <v>0</v>
      </c>
      <c r="BQ298" s="324">
        <f t="shared" si="146"/>
        <v>0</v>
      </c>
      <c r="BR298" s="324">
        <f t="shared" si="147"/>
        <v>0</v>
      </c>
      <c r="BS298" s="324">
        <f t="shared" si="148"/>
        <v>0</v>
      </c>
      <c r="BT298" s="332">
        <f t="shared" si="149"/>
        <v>0</v>
      </c>
    </row>
    <row r="299" spans="1:72" ht="14.25">
      <c r="A299" s="297"/>
      <c r="B299" s="323"/>
      <c r="C299" s="323"/>
      <c r="D299" s="2215"/>
      <c r="E299" s="324">
        <f t="shared" si="121"/>
        <v>0</v>
      </c>
      <c r="F299" s="325"/>
      <c r="G299" s="326">
        <f t="shared" si="122"/>
        <v>0</v>
      </c>
      <c r="H299" s="327">
        <f t="shared" si="123"/>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4"/>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5"/>
        <v>0</v>
      </c>
      <c r="AW299" s="2210">
        <f t="shared" si="126"/>
        <v>0</v>
      </c>
      <c r="AX299" s="2210">
        <f t="shared" si="127"/>
        <v>0</v>
      </c>
      <c r="AY299" s="331">
        <f t="shared" si="128"/>
        <v>0</v>
      </c>
      <c r="AZ299" s="324">
        <f t="shared" si="129"/>
        <v>0</v>
      </c>
      <c r="BA299" s="324">
        <f t="shared" si="130"/>
        <v>0</v>
      </c>
      <c r="BB299" s="324">
        <f t="shared" si="131"/>
        <v>0</v>
      </c>
      <c r="BC299" s="324">
        <f t="shared" si="132"/>
        <v>0</v>
      </c>
      <c r="BD299" s="324">
        <f t="shared" si="133"/>
        <v>0</v>
      </c>
      <c r="BE299" s="324">
        <f t="shared" si="134"/>
        <v>0</v>
      </c>
      <c r="BF299" s="324">
        <f t="shared" si="135"/>
        <v>0</v>
      </c>
      <c r="BG299" s="324">
        <f t="shared" si="136"/>
        <v>0</v>
      </c>
      <c r="BH299" s="324">
        <f t="shared" si="137"/>
        <v>0</v>
      </c>
      <c r="BI299" s="324">
        <f t="shared" si="138"/>
        <v>0</v>
      </c>
      <c r="BJ299" s="324">
        <f t="shared" si="139"/>
        <v>0</v>
      </c>
      <c r="BK299" s="324">
        <f t="shared" si="140"/>
        <v>0</v>
      </c>
      <c r="BL299" s="324">
        <f t="shared" si="141"/>
        <v>0</v>
      </c>
      <c r="BM299" s="324">
        <f t="shared" si="142"/>
        <v>0</v>
      </c>
      <c r="BN299" s="324">
        <f t="shared" si="143"/>
        <v>0</v>
      </c>
      <c r="BO299" s="324">
        <f t="shared" si="144"/>
        <v>0</v>
      </c>
      <c r="BP299" s="324">
        <f t="shared" si="145"/>
        <v>0</v>
      </c>
      <c r="BQ299" s="324">
        <f t="shared" si="146"/>
        <v>0</v>
      </c>
      <c r="BR299" s="324">
        <f t="shared" si="147"/>
        <v>0</v>
      </c>
      <c r="BS299" s="324">
        <f t="shared" si="148"/>
        <v>0</v>
      </c>
      <c r="BT299" s="332">
        <f t="shared" si="149"/>
        <v>0</v>
      </c>
    </row>
    <row r="300" spans="1:72" ht="14.25">
      <c r="A300" s="297"/>
      <c r="B300" s="297"/>
      <c r="C300" s="297"/>
      <c r="D300" s="2215"/>
      <c r="E300" s="324">
        <f t="shared" si="121"/>
        <v>0</v>
      </c>
      <c r="F300" s="333"/>
      <c r="G300" s="326">
        <f t="shared" si="122"/>
        <v>0</v>
      </c>
      <c r="H300" s="327">
        <f t="shared" si="123"/>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si="124"/>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5"/>
        <v>0</v>
      </c>
      <c r="AW300" s="2210">
        <f t="shared" si="126"/>
        <v>0</v>
      </c>
      <c r="AX300" s="2210">
        <f t="shared" si="127"/>
        <v>0</v>
      </c>
      <c r="AY300" s="331">
        <f t="shared" si="128"/>
        <v>0</v>
      </c>
      <c r="AZ300" s="324">
        <f t="shared" si="129"/>
        <v>0</v>
      </c>
      <c r="BA300" s="324">
        <f t="shared" si="130"/>
        <v>0</v>
      </c>
      <c r="BB300" s="324">
        <f t="shared" si="131"/>
        <v>0</v>
      </c>
      <c r="BC300" s="324">
        <f t="shared" si="132"/>
        <v>0</v>
      </c>
      <c r="BD300" s="324">
        <f t="shared" si="133"/>
        <v>0</v>
      </c>
      <c r="BE300" s="324">
        <f t="shared" si="134"/>
        <v>0</v>
      </c>
      <c r="BF300" s="324">
        <f t="shared" si="135"/>
        <v>0</v>
      </c>
      <c r="BG300" s="324">
        <f t="shared" si="136"/>
        <v>0</v>
      </c>
      <c r="BH300" s="324">
        <f t="shared" si="137"/>
        <v>0</v>
      </c>
      <c r="BI300" s="324">
        <f t="shared" si="138"/>
        <v>0</v>
      </c>
      <c r="BJ300" s="324">
        <f t="shared" si="139"/>
        <v>0</v>
      </c>
      <c r="BK300" s="324">
        <f t="shared" si="140"/>
        <v>0</v>
      </c>
      <c r="BL300" s="324">
        <f t="shared" si="141"/>
        <v>0</v>
      </c>
      <c r="BM300" s="324">
        <f t="shared" si="142"/>
        <v>0</v>
      </c>
      <c r="BN300" s="324">
        <f t="shared" si="143"/>
        <v>0</v>
      </c>
      <c r="BO300" s="324">
        <f t="shared" si="144"/>
        <v>0</v>
      </c>
      <c r="BP300" s="324">
        <f t="shared" si="145"/>
        <v>0</v>
      </c>
      <c r="BQ300" s="324">
        <f t="shared" si="146"/>
        <v>0</v>
      </c>
      <c r="BR300" s="324">
        <f t="shared" si="147"/>
        <v>0</v>
      </c>
      <c r="BS300" s="324">
        <f t="shared" si="148"/>
        <v>0</v>
      </c>
      <c r="BT300" s="332">
        <f t="shared" si="149"/>
        <v>0</v>
      </c>
    </row>
    <row r="301" spans="1:72" ht="14.25">
      <c r="A301" s="297"/>
      <c r="B301" s="297"/>
      <c r="C301" s="297"/>
      <c r="D301" s="2215"/>
      <c r="E301" s="324">
        <f t="shared" si="121"/>
        <v>0</v>
      </c>
      <c r="F301" s="333"/>
      <c r="G301" s="326">
        <f t="shared" si="122"/>
        <v>0</v>
      </c>
      <c r="H301" s="327">
        <f t="shared" si="12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2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5"/>
        <v>0</v>
      </c>
      <c r="AW301" s="2210">
        <f t="shared" si="126"/>
        <v>0</v>
      </c>
      <c r="AX301" s="2210">
        <f t="shared" si="127"/>
        <v>0</v>
      </c>
      <c r="AY301" s="331">
        <f t="shared" si="128"/>
        <v>0</v>
      </c>
      <c r="AZ301" s="324">
        <f t="shared" si="129"/>
        <v>0</v>
      </c>
      <c r="BA301" s="324">
        <f t="shared" si="130"/>
        <v>0</v>
      </c>
      <c r="BB301" s="324">
        <f t="shared" si="131"/>
        <v>0</v>
      </c>
      <c r="BC301" s="324">
        <f t="shared" si="132"/>
        <v>0</v>
      </c>
      <c r="BD301" s="324">
        <f t="shared" si="133"/>
        <v>0</v>
      </c>
      <c r="BE301" s="324">
        <f t="shared" si="134"/>
        <v>0</v>
      </c>
      <c r="BF301" s="324">
        <f t="shared" si="135"/>
        <v>0</v>
      </c>
      <c r="BG301" s="324">
        <f t="shared" si="136"/>
        <v>0</v>
      </c>
      <c r="BH301" s="324">
        <f t="shared" si="137"/>
        <v>0</v>
      </c>
      <c r="BI301" s="324">
        <f t="shared" si="138"/>
        <v>0</v>
      </c>
      <c r="BJ301" s="324">
        <f t="shared" si="139"/>
        <v>0</v>
      </c>
      <c r="BK301" s="324">
        <f t="shared" si="140"/>
        <v>0</v>
      </c>
      <c r="BL301" s="324">
        <f t="shared" si="141"/>
        <v>0</v>
      </c>
      <c r="BM301" s="324">
        <f t="shared" si="142"/>
        <v>0</v>
      </c>
      <c r="BN301" s="324">
        <f t="shared" si="143"/>
        <v>0</v>
      </c>
      <c r="BO301" s="324">
        <f t="shared" si="144"/>
        <v>0</v>
      </c>
      <c r="BP301" s="324">
        <f t="shared" si="145"/>
        <v>0</v>
      </c>
      <c r="BQ301" s="324">
        <f t="shared" si="146"/>
        <v>0</v>
      </c>
      <c r="BR301" s="324">
        <f t="shared" si="147"/>
        <v>0</v>
      </c>
      <c r="BS301" s="324">
        <f t="shared" si="148"/>
        <v>0</v>
      </c>
      <c r="BT301" s="332">
        <f t="shared" si="149"/>
        <v>0</v>
      </c>
    </row>
    <row r="302" spans="1:72" ht="14.25">
      <c r="A302" s="297"/>
      <c r="B302" s="297"/>
      <c r="C302" s="297"/>
      <c r="D302" s="2215"/>
      <c r="E302" s="324">
        <f t="shared" si="121"/>
        <v>0</v>
      </c>
      <c r="F302" s="333"/>
      <c r="G302" s="326">
        <f t="shared" si="122"/>
        <v>0</v>
      </c>
      <c r="H302" s="327">
        <f t="shared" si="12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2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5"/>
        <v>0</v>
      </c>
      <c r="AW302" s="2210">
        <f t="shared" si="126"/>
        <v>0</v>
      </c>
      <c r="AX302" s="2210">
        <f t="shared" si="127"/>
        <v>0</v>
      </c>
      <c r="AY302" s="331">
        <f t="shared" si="128"/>
        <v>0</v>
      </c>
      <c r="AZ302" s="324">
        <f t="shared" si="129"/>
        <v>0</v>
      </c>
      <c r="BA302" s="324">
        <f t="shared" si="130"/>
        <v>0</v>
      </c>
      <c r="BB302" s="324">
        <f t="shared" si="131"/>
        <v>0</v>
      </c>
      <c r="BC302" s="324">
        <f t="shared" si="132"/>
        <v>0</v>
      </c>
      <c r="BD302" s="324">
        <f t="shared" si="133"/>
        <v>0</v>
      </c>
      <c r="BE302" s="324">
        <f t="shared" si="134"/>
        <v>0</v>
      </c>
      <c r="BF302" s="324">
        <f t="shared" si="135"/>
        <v>0</v>
      </c>
      <c r="BG302" s="324">
        <f t="shared" si="136"/>
        <v>0</v>
      </c>
      <c r="BH302" s="324">
        <f t="shared" si="137"/>
        <v>0</v>
      </c>
      <c r="BI302" s="324">
        <f t="shared" si="138"/>
        <v>0</v>
      </c>
      <c r="BJ302" s="324">
        <f t="shared" si="139"/>
        <v>0</v>
      </c>
      <c r="BK302" s="324">
        <f t="shared" si="140"/>
        <v>0</v>
      </c>
      <c r="BL302" s="324">
        <f t="shared" si="141"/>
        <v>0</v>
      </c>
      <c r="BM302" s="324">
        <f t="shared" si="142"/>
        <v>0</v>
      </c>
      <c r="BN302" s="324">
        <f t="shared" si="143"/>
        <v>0</v>
      </c>
      <c r="BO302" s="324">
        <f t="shared" si="144"/>
        <v>0</v>
      </c>
      <c r="BP302" s="324">
        <f t="shared" si="145"/>
        <v>0</v>
      </c>
      <c r="BQ302" s="324">
        <f t="shared" si="146"/>
        <v>0</v>
      </c>
      <c r="BR302" s="324">
        <f t="shared" si="147"/>
        <v>0</v>
      </c>
      <c r="BS302" s="324">
        <f t="shared" si="148"/>
        <v>0</v>
      </c>
      <c r="BT302" s="332">
        <f t="shared" si="149"/>
        <v>0</v>
      </c>
    </row>
    <row r="303" spans="1:72" ht="14.25">
      <c r="A303" s="297"/>
      <c r="B303" s="323"/>
      <c r="C303" s="323"/>
      <c r="D303" s="2215"/>
      <c r="E303" s="324">
        <f t="shared" si="121"/>
        <v>0</v>
      </c>
      <c r="F303" s="325"/>
      <c r="G303" s="326">
        <f t="shared" si="122"/>
        <v>0</v>
      </c>
      <c r="H303" s="327">
        <f t="shared" si="12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2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si="125"/>
        <v>0</v>
      </c>
      <c r="AW303" s="2210">
        <f t="shared" si="126"/>
        <v>0</v>
      </c>
      <c r="AX303" s="2210">
        <f t="shared" si="127"/>
        <v>0</v>
      </c>
      <c r="AY303" s="331">
        <f t="shared" si="128"/>
        <v>0</v>
      </c>
      <c r="AZ303" s="324">
        <f t="shared" si="129"/>
        <v>0</v>
      </c>
      <c r="BA303" s="324">
        <f t="shared" si="130"/>
        <v>0</v>
      </c>
      <c r="BB303" s="324">
        <f t="shared" si="131"/>
        <v>0</v>
      </c>
      <c r="BC303" s="324">
        <f t="shared" si="132"/>
        <v>0</v>
      </c>
      <c r="BD303" s="324">
        <f t="shared" si="133"/>
        <v>0</v>
      </c>
      <c r="BE303" s="324">
        <f t="shared" si="134"/>
        <v>0</v>
      </c>
      <c r="BF303" s="324">
        <f t="shared" si="135"/>
        <v>0</v>
      </c>
      <c r="BG303" s="324">
        <f t="shared" si="136"/>
        <v>0</v>
      </c>
      <c r="BH303" s="324">
        <f t="shared" si="137"/>
        <v>0</v>
      </c>
      <c r="BI303" s="324">
        <f t="shared" si="138"/>
        <v>0</v>
      </c>
      <c r="BJ303" s="324">
        <f t="shared" si="139"/>
        <v>0</v>
      </c>
      <c r="BK303" s="324">
        <f t="shared" si="140"/>
        <v>0</v>
      </c>
      <c r="BL303" s="324">
        <f t="shared" si="141"/>
        <v>0</v>
      </c>
      <c r="BM303" s="324">
        <f t="shared" si="142"/>
        <v>0</v>
      </c>
      <c r="BN303" s="324">
        <f t="shared" si="143"/>
        <v>0</v>
      </c>
      <c r="BO303" s="324">
        <f t="shared" si="144"/>
        <v>0</v>
      </c>
      <c r="BP303" s="324">
        <f t="shared" si="145"/>
        <v>0</v>
      </c>
      <c r="BQ303" s="324">
        <f t="shared" si="146"/>
        <v>0</v>
      </c>
      <c r="BR303" s="324">
        <f t="shared" si="147"/>
        <v>0</v>
      </c>
      <c r="BS303" s="324">
        <f t="shared" si="148"/>
        <v>0</v>
      </c>
      <c r="BT303" s="332">
        <f t="shared" si="149"/>
        <v>0</v>
      </c>
    </row>
    <row r="304" spans="1:72" ht="14.25">
      <c r="A304" s="297"/>
      <c r="B304" s="323"/>
      <c r="C304" s="323"/>
      <c r="D304" s="2215"/>
      <c r="E304" s="324">
        <f t="shared" si="121"/>
        <v>0</v>
      </c>
      <c r="F304" s="325"/>
      <c r="G304" s="326">
        <f t="shared" si="122"/>
        <v>0</v>
      </c>
      <c r="H304" s="327">
        <f t="shared" si="12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2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25"/>
        <v>0</v>
      </c>
      <c r="AW304" s="2210">
        <f t="shared" si="126"/>
        <v>0</v>
      </c>
      <c r="AX304" s="2210">
        <f t="shared" si="127"/>
        <v>0</v>
      </c>
      <c r="AY304" s="331">
        <f t="shared" si="128"/>
        <v>0</v>
      </c>
      <c r="AZ304" s="324">
        <f t="shared" si="129"/>
        <v>0</v>
      </c>
      <c r="BA304" s="324">
        <f t="shared" si="130"/>
        <v>0</v>
      </c>
      <c r="BB304" s="324">
        <f t="shared" si="131"/>
        <v>0</v>
      </c>
      <c r="BC304" s="324">
        <f t="shared" si="132"/>
        <v>0</v>
      </c>
      <c r="BD304" s="324">
        <f t="shared" si="133"/>
        <v>0</v>
      </c>
      <c r="BE304" s="324">
        <f t="shared" si="134"/>
        <v>0</v>
      </c>
      <c r="BF304" s="324">
        <f t="shared" si="135"/>
        <v>0</v>
      </c>
      <c r="BG304" s="324">
        <f t="shared" si="136"/>
        <v>0</v>
      </c>
      <c r="BH304" s="324">
        <f t="shared" si="137"/>
        <v>0</v>
      </c>
      <c r="BI304" s="324">
        <f t="shared" si="138"/>
        <v>0</v>
      </c>
      <c r="BJ304" s="324">
        <f t="shared" si="139"/>
        <v>0</v>
      </c>
      <c r="BK304" s="324">
        <f t="shared" si="140"/>
        <v>0</v>
      </c>
      <c r="BL304" s="324">
        <f t="shared" si="141"/>
        <v>0</v>
      </c>
      <c r="BM304" s="324">
        <f t="shared" si="142"/>
        <v>0</v>
      </c>
      <c r="BN304" s="324">
        <f t="shared" si="143"/>
        <v>0</v>
      </c>
      <c r="BO304" s="324">
        <f t="shared" si="144"/>
        <v>0</v>
      </c>
      <c r="BP304" s="324">
        <f t="shared" si="145"/>
        <v>0</v>
      </c>
      <c r="BQ304" s="324">
        <f t="shared" si="146"/>
        <v>0</v>
      </c>
      <c r="BR304" s="324">
        <f t="shared" si="147"/>
        <v>0</v>
      </c>
      <c r="BS304" s="324">
        <f t="shared" si="148"/>
        <v>0</v>
      </c>
      <c r="BT304" s="332">
        <f t="shared" si="149"/>
        <v>0</v>
      </c>
    </row>
    <row r="305" spans="1:72" ht="14.25">
      <c r="A305" s="297"/>
      <c r="B305" s="323"/>
      <c r="C305" s="323"/>
      <c r="D305" s="2215"/>
      <c r="E305" s="324">
        <f t="shared" si="121"/>
        <v>0</v>
      </c>
      <c r="F305" s="325"/>
      <c r="G305" s="326">
        <f t="shared" si="122"/>
        <v>0</v>
      </c>
      <c r="H305" s="327">
        <f t="shared" si="12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2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25"/>
        <v>0</v>
      </c>
      <c r="AW305" s="2210">
        <f t="shared" si="126"/>
        <v>0</v>
      </c>
      <c r="AX305" s="2210">
        <f t="shared" si="127"/>
        <v>0</v>
      </c>
      <c r="AY305" s="331">
        <f t="shared" si="128"/>
        <v>0</v>
      </c>
      <c r="AZ305" s="324">
        <f t="shared" si="129"/>
        <v>0</v>
      </c>
      <c r="BA305" s="324">
        <f t="shared" si="130"/>
        <v>0</v>
      </c>
      <c r="BB305" s="324">
        <f t="shared" si="131"/>
        <v>0</v>
      </c>
      <c r="BC305" s="324">
        <f t="shared" si="132"/>
        <v>0</v>
      </c>
      <c r="BD305" s="324">
        <f t="shared" si="133"/>
        <v>0</v>
      </c>
      <c r="BE305" s="324">
        <f t="shared" si="134"/>
        <v>0</v>
      </c>
      <c r="BF305" s="324">
        <f t="shared" si="135"/>
        <v>0</v>
      </c>
      <c r="BG305" s="324">
        <f t="shared" si="136"/>
        <v>0</v>
      </c>
      <c r="BH305" s="324">
        <f t="shared" si="137"/>
        <v>0</v>
      </c>
      <c r="BI305" s="324">
        <f t="shared" si="138"/>
        <v>0</v>
      </c>
      <c r="BJ305" s="324">
        <f t="shared" si="139"/>
        <v>0</v>
      </c>
      <c r="BK305" s="324">
        <f t="shared" si="140"/>
        <v>0</v>
      </c>
      <c r="BL305" s="324">
        <f t="shared" si="141"/>
        <v>0</v>
      </c>
      <c r="BM305" s="324">
        <f t="shared" si="142"/>
        <v>0</v>
      </c>
      <c r="BN305" s="324">
        <f t="shared" si="143"/>
        <v>0</v>
      </c>
      <c r="BO305" s="324">
        <f t="shared" si="144"/>
        <v>0</v>
      </c>
      <c r="BP305" s="324">
        <f t="shared" si="145"/>
        <v>0</v>
      </c>
      <c r="BQ305" s="324">
        <f t="shared" si="146"/>
        <v>0</v>
      </c>
      <c r="BR305" s="324">
        <f t="shared" si="147"/>
        <v>0</v>
      </c>
      <c r="BS305" s="324">
        <f t="shared" si="148"/>
        <v>0</v>
      </c>
      <c r="BT305" s="332">
        <f t="shared" si="149"/>
        <v>0</v>
      </c>
    </row>
    <row r="306" spans="1:72" ht="14.25">
      <c r="A306" s="297"/>
      <c r="B306" s="323"/>
      <c r="C306" s="323"/>
      <c r="D306" s="2215"/>
      <c r="E306" s="324">
        <f t="shared" si="121"/>
        <v>0</v>
      </c>
      <c r="F306" s="325"/>
      <c r="G306" s="326">
        <f t="shared" si="122"/>
        <v>0</v>
      </c>
      <c r="H306" s="327">
        <f t="shared" si="12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2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25"/>
        <v>0</v>
      </c>
      <c r="AW306" s="2210">
        <f t="shared" si="126"/>
        <v>0</v>
      </c>
      <c r="AX306" s="2210">
        <f t="shared" si="127"/>
        <v>0</v>
      </c>
      <c r="AY306" s="331">
        <f t="shared" si="128"/>
        <v>0</v>
      </c>
      <c r="AZ306" s="324">
        <f t="shared" si="129"/>
        <v>0</v>
      </c>
      <c r="BA306" s="324">
        <f t="shared" si="130"/>
        <v>0</v>
      </c>
      <c r="BB306" s="324">
        <f t="shared" si="131"/>
        <v>0</v>
      </c>
      <c r="BC306" s="324">
        <f t="shared" si="132"/>
        <v>0</v>
      </c>
      <c r="BD306" s="324">
        <f t="shared" si="133"/>
        <v>0</v>
      </c>
      <c r="BE306" s="324">
        <f t="shared" si="134"/>
        <v>0</v>
      </c>
      <c r="BF306" s="324">
        <f t="shared" si="135"/>
        <v>0</v>
      </c>
      <c r="BG306" s="324">
        <f t="shared" si="136"/>
        <v>0</v>
      </c>
      <c r="BH306" s="324">
        <f t="shared" si="137"/>
        <v>0</v>
      </c>
      <c r="BI306" s="324">
        <f t="shared" si="138"/>
        <v>0</v>
      </c>
      <c r="BJ306" s="324">
        <f t="shared" si="139"/>
        <v>0</v>
      </c>
      <c r="BK306" s="324">
        <f t="shared" si="140"/>
        <v>0</v>
      </c>
      <c r="BL306" s="324">
        <f t="shared" si="141"/>
        <v>0</v>
      </c>
      <c r="BM306" s="324">
        <f t="shared" si="142"/>
        <v>0</v>
      </c>
      <c r="BN306" s="324">
        <f t="shared" si="143"/>
        <v>0</v>
      </c>
      <c r="BO306" s="324">
        <f t="shared" si="144"/>
        <v>0</v>
      </c>
      <c r="BP306" s="324">
        <f t="shared" si="145"/>
        <v>0</v>
      </c>
      <c r="BQ306" s="324">
        <f t="shared" si="146"/>
        <v>0</v>
      </c>
      <c r="BR306" s="324">
        <f t="shared" si="147"/>
        <v>0</v>
      </c>
      <c r="BS306" s="324">
        <f t="shared" si="148"/>
        <v>0</v>
      </c>
      <c r="BT306" s="332">
        <f t="shared" si="149"/>
        <v>0</v>
      </c>
    </row>
    <row r="307" spans="1:72" ht="14.25">
      <c r="A307" s="297"/>
      <c r="B307" s="323"/>
      <c r="C307" s="323"/>
      <c r="D307" s="2215"/>
      <c r="E307" s="324">
        <f t="shared" si="121"/>
        <v>0</v>
      </c>
      <c r="F307" s="325"/>
      <c r="G307" s="326">
        <f t="shared" si="122"/>
        <v>0</v>
      </c>
      <c r="H307" s="327">
        <f t="shared" si="12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2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25"/>
        <v>0</v>
      </c>
      <c r="AW307" s="2210">
        <f t="shared" si="126"/>
        <v>0</v>
      </c>
      <c r="AX307" s="2210">
        <f t="shared" si="127"/>
        <v>0</v>
      </c>
      <c r="AY307" s="331">
        <f t="shared" si="128"/>
        <v>0</v>
      </c>
      <c r="AZ307" s="324">
        <f t="shared" si="129"/>
        <v>0</v>
      </c>
      <c r="BA307" s="324">
        <f t="shared" si="130"/>
        <v>0</v>
      </c>
      <c r="BB307" s="324">
        <f t="shared" si="131"/>
        <v>0</v>
      </c>
      <c r="BC307" s="324">
        <f t="shared" si="132"/>
        <v>0</v>
      </c>
      <c r="BD307" s="324">
        <f t="shared" si="133"/>
        <v>0</v>
      </c>
      <c r="BE307" s="324">
        <f t="shared" si="134"/>
        <v>0</v>
      </c>
      <c r="BF307" s="324">
        <f t="shared" si="135"/>
        <v>0</v>
      </c>
      <c r="BG307" s="324">
        <f t="shared" si="136"/>
        <v>0</v>
      </c>
      <c r="BH307" s="324">
        <f t="shared" si="137"/>
        <v>0</v>
      </c>
      <c r="BI307" s="324">
        <f t="shared" si="138"/>
        <v>0</v>
      </c>
      <c r="BJ307" s="324">
        <f t="shared" si="139"/>
        <v>0</v>
      </c>
      <c r="BK307" s="324">
        <f t="shared" si="140"/>
        <v>0</v>
      </c>
      <c r="BL307" s="324">
        <f t="shared" si="141"/>
        <v>0</v>
      </c>
      <c r="BM307" s="324">
        <f t="shared" si="142"/>
        <v>0</v>
      </c>
      <c r="BN307" s="324">
        <f t="shared" si="143"/>
        <v>0</v>
      </c>
      <c r="BO307" s="324">
        <f t="shared" si="144"/>
        <v>0</v>
      </c>
      <c r="BP307" s="324">
        <f t="shared" si="145"/>
        <v>0</v>
      </c>
      <c r="BQ307" s="324">
        <f t="shared" si="146"/>
        <v>0</v>
      </c>
      <c r="BR307" s="324">
        <f t="shared" si="147"/>
        <v>0</v>
      </c>
      <c r="BS307" s="324">
        <f t="shared" si="148"/>
        <v>0</v>
      </c>
      <c r="BT307" s="332">
        <f t="shared" si="149"/>
        <v>0</v>
      </c>
    </row>
    <row r="308" spans="1:72" ht="14.25">
      <c r="A308" s="297"/>
      <c r="B308" s="323"/>
      <c r="C308" s="323"/>
      <c r="D308" s="2215"/>
      <c r="E308" s="324">
        <f t="shared" si="121"/>
        <v>0</v>
      </c>
      <c r="F308" s="325"/>
      <c r="G308" s="326">
        <f t="shared" si="122"/>
        <v>0</v>
      </c>
      <c r="H308" s="327">
        <f t="shared" si="12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2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25"/>
        <v>0</v>
      </c>
      <c r="AW308" s="2210">
        <f t="shared" si="126"/>
        <v>0</v>
      </c>
      <c r="AX308" s="2210">
        <f t="shared" si="127"/>
        <v>0</v>
      </c>
      <c r="AY308" s="331">
        <f t="shared" si="128"/>
        <v>0</v>
      </c>
      <c r="AZ308" s="324">
        <f t="shared" si="129"/>
        <v>0</v>
      </c>
      <c r="BA308" s="324">
        <f t="shared" si="130"/>
        <v>0</v>
      </c>
      <c r="BB308" s="324">
        <f t="shared" si="131"/>
        <v>0</v>
      </c>
      <c r="BC308" s="324">
        <f t="shared" si="132"/>
        <v>0</v>
      </c>
      <c r="BD308" s="324">
        <f t="shared" si="133"/>
        <v>0</v>
      </c>
      <c r="BE308" s="324">
        <f t="shared" si="134"/>
        <v>0</v>
      </c>
      <c r="BF308" s="324">
        <f t="shared" si="135"/>
        <v>0</v>
      </c>
      <c r="BG308" s="324">
        <f t="shared" si="136"/>
        <v>0</v>
      </c>
      <c r="BH308" s="324">
        <f t="shared" si="137"/>
        <v>0</v>
      </c>
      <c r="BI308" s="324">
        <f t="shared" si="138"/>
        <v>0</v>
      </c>
      <c r="BJ308" s="324">
        <f t="shared" si="139"/>
        <v>0</v>
      </c>
      <c r="BK308" s="324">
        <f t="shared" si="140"/>
        <v>0</v>
      </c>
      <c r="BL308" s="324">
        <f t="shared" si="141"/>
        <v>0</v>
      </c>
      <c r="BM308" s="324">
        <f t="shared" si="142"/>
        <v>0</v>
      </c>
      <c r="BN308" s="324">
        <f t="shared" si="143"/>
        <v>0</v>
      </c>
      <c r="BO308" s="324">
        <f t="shared" si="144"/>
        <v>0</v>
      </c>
      <c r="BP308" s="324">
        <f t="shared" si="145"/>
        <v>0</v>
      </c>
      <c r="BQ308" s="324">
        <f t="shared" si="146"/>
        <v>0</v>
      </c>
      <c r="BR308" s="324">
        <f t="shared" si="147"/>
        <v>0</v>
      </c>
      <c r="BS308" s="324">
        <f t="shared" si="148"/>
        <v>0</v>
      </c>
      <c r="BT308" s="332">
        <f t="shared" si="149"/>
        <v>0</v>
      </c>
    </row>
    <row r="309" spans="1:72" ht="14.25">
      <c r="A309" s="297"/>
      <c r="B309" s="323"/>
      <c r="C309" s="323"/>
      <c r="D309" s="2215"/>
      <c r="E309" s="324">
        <f t="shared" si="121"/>
        <v>0</v>
      </c>
      <c r="F309" s="325"/>
      <c r="G309" s="326">
        <f t="shared" si="122"/>
        <v>0</v>
      </c>
      <c r="H309" s="327">
        <f t="shared" si="12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2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25"/>
        <v>0</v>
      </c>
      <c r="AW309" s="2210">
        <f t="shared" si="126"/>
        <v>0</v>
      </c>
      <c r="AX309" s="2210">
        <f t="shared" si="127"/>
        <v>0</v>
      </c>
      <c r="AY309" s="331">
        <f t="shared" si="128"/>
        <v>0</v>
      </c>
      <c r="AZ309" s="324">
        <f t="shared" si="129"/>
        <v>0</v>
      </c>
      <c r="BA309" s="324">
        <f t="shared" si="130"/>
        <v>0</v>
      </c>
      <c r="BB309" s="324">
        <f t="shared" si="131"/>
        <v>0</v>
      </c>
      <c r="BC309" s="324">
        <f t="shared" si="132"/>
        <v>0</v>
      </c>
      <c r="BD309" s="324">
        <f t="shared" si="133"/>
        <v>0</v>
      </c>
      <c r="BE309" s="324">
        <f t="shared" si="134"/>
        <v>0</v>
      </c>
      <c r="BF309" s="324">
        <f t="shared" si="135"/>
        <v>0</v>
      </c>
      <c r="BG309" s="324">
        <f t="shared" si="136"/>
        <v>0</v>
      </c>
      <c r="BH309" s="324">
        <f t="shared" si="137"/>
        <v>0</v>
      </c>
      <c r="BI309" s="324">
        <f t="shared" si="138"/>
        <v>0</v>
      </c>
      <c r="BJ309" s="324">
        <f t="shared" si="139"/>
        <v>0</v>
      </c>
      <c r="BK309" s="324">
        <f t="shared" si="140"/>
        <v>0</v>
      </c>
      <c r="BL309" s="324">
        <f t="shared" si="141"/>
        <v>0</v>
      </c>
      <c r="BM309" s="324">
        <f t="shared" si="142"/>
        <v>0</v>
      </c>
      <c r="BN309" s="324">
        <f t="shared" si="143"/>
        <v>0</v>
      </c>
      <c r="BO309" s="324">
        <f t="shared" si="144"/>
        <v>0</v>
      </c>
      <c r="BP309" s="324">
        <f t="shared" si="145"/>
        <v>0</v>
      </c>
      <c r="BQ309" s="324">
        <f t="shared" si="146"/>
        <v>0</v>
      </c>
      <c r="BR309" s="324">
        <f t="shared" si="147"/>
        <v>0</v>
      </c>
      <c r="BS309" s="324">
        <f t="shared" si="148"/>
        <v>0</v>
      </c>
      <c r="BT309" s="332">
        <f t="shared" si="149"/>
        <v>0</v>
      </c>
    </row>
    <row r="310" spans="1:72" ht="14.25">
      <c r="A310" s="297"/>
      <c r="B310" s="323"/>
      <c r="C310" s="323"/>
      <c r="D310" s="2215"/>
      <c r="E310" s="324">
        <f t="shared" si="121"/>
        <v>0</v>
      </c>
      <c r="F310" s="325"/>
      <c r="G310" s="326">
        <f t="shared" si="122"/>
        <v>0</v>
      </c>
      <c r="H310" s="327">
        <f t="shared" si="12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2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25"/>
        <v>0</v>
      </c>
      <c r="AW310" s="2210">
        <f t="shared" si="126"/>
        <v>0</v>
      </c>
      <c r="AX310" s="2210">
        <f t="shared" si="127"/>
        <v>0</v>
      </c>
      <c r="AY310" s="331">
        <f t="shared" si="128"/>
        <v>0</v>
      </c>
      <c r="AZ310" s="324">
        <f t="shared" si="129"/>
        <v>0</v>
      </c>
      <c r="BA310" s="324">
        <f t="shared" si="130"/>
        <v>0</v>
      </c>
      <c r="BB310" s="324">
        <f t="shared" si="131"/>
        <v>0</v>
      </c>
      <c r="BC310" s="324">
        <f t="shared" si="132"/>
        <v>0</v>
      </c>
      <c r="BD310" s="324">
        <f t="shared" si="133"/>
        <v>0</v>
      </c>
      <c r="BE310" s="324">
        <f t="shared" si="134"/>
        <v>0</v>
      </c>
      <c r="BF310" s="324">
        <f t="shared" si="135"/>
        <v>0</v>
      </c>
      <c r="BG310" s="324">
        <f t="shared" si="136"/>
        <v>0</v>
      </c>
      <c r="BH310" s="324">
        <f t="shared" si="137"/>
        <v>0</v>
      </c>
      <c r="BI310" s="324">
        <f t="shared" si="138"/>
        <v>0</v>
      </c>
      <c r="BJ310" s="324">
        <f t="shared" si="139"/>
        <v>0</v>
      </c>
      <c r="BK310" s="324">
        <f t="shared" si="140"/>
        <v>0</v>
      </c>
      <c r="BL310" s="324">
        <f t="shared" si="141"/>
        <v>0</v>
      </c>
      <c r="BM310" s="324">
        <f t="shared" si="142"/>
        <v>0</v>
      </c>
      <c r="BN310" s="324">
        <f t="shared" si="143"/>
        <v>0</v>
      </c>
      <c r="BO310" s="324">
        <f t="shared" si="144"/>
        <v>0</v>
      </c>
      <c r="BP310" s="324">
        <f t="shared" si="145"/>
        <v>0</v>
      </c>
      <c r="BQ310" s="324">
        <f t="shared" si="146"/>
        <v>0</v>
      </c>
      <c r="BR310" s="324">
        <f t="shared" si="147"/>
        <v>0</v>
      </c>
      <c r="BS310" s="324">
        <f t="shared" si="148"/>
        <v>0</v>
      </c>
      <c r="BT310" s="332">
        <f t="shared" si="149"/>
        <v>0</v>
      </c>
    </row>
    <row r="311" spans="1:72" ht="14.25">
      <c r="A311" s="297"/>
      <c r="B311" s="323"/>
      <c r="C311" s="323"/>
      <c r="D311" s="2215"/>
      <c r="E311" s="324">
        <f t="shared" si="121"/>
        <v>0</v>
      </c>
      <c r="F311" s="325"/>
      <c r="G311" s="326">
        <f t="shared" si="122"/>
        <v>0</v>
      </c>
      <c r="H311" s="327">
        <f t="shared" si="12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2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25"/>
        <v>0</v>
      </c>
      <c r="AW311" s="2210">
        <f t="shared" si="126"/>
        <v>0</v>
      </c>
      <c r="AX311" s="2210">
        <f t="shared" si="127"/>
        <v>0</v>
      </c>
      <c r="AY311" s="331">
        <f t="shared" si="128"/>
        <v>0</v>
      </c>
      <c r="AZ311" s="324">
        <f t="shared" si="129"/>
        <v>0</v>
      </c>
      <c r="BA311" s="324">
        <f t="shared" si="130"/>
        <v>0</v>
      </c>
      <c r="BB311" s="324">
        <f t="shared" si="131"/>
        <v>0</v>
      </c>
      <c r="BC311" s="324">
        <f t="shared" si="132"/>
        <v>0</v>
      </c>
      <c r="BD311" s="324">
        <f t="shared" si="133"/>
        <v>0</v>
      </c>
      <c r="BE311" s="324">
        <f t="shared" si="134"/>
        <v>0</v>
      </c>
      <c r="BF311" s="324">
        <f t="shared" si="135"/>
        <v>0</v>
      </c>
      <c r="BG311" s="324">
        <f t="shared" si="136"/>
        <v>0</v>
      </c>
      <c r="BH311" s="324">
        <f t="shared" si="137"/>
        <v>0</v>
      </c>
      <c r="BI311" s="324">
        <f t="shared" si="138"/>
        <v>0</v>
      </c>
      <c r="BJ311" s="324">
        <f t="shared" si="139"/>
        <v>0</v>
      </c>
      <c r="BK311" s="324">
        <f t="shared" si="140"/>
        <v>0</v>
      </c>
      <c r="BL311" s="324">
        <f t="shared" si="141"/>
        <v>0</v>
      </c>
      <c r="BM311" s="324">
        <f t="shared" si="142"/>
        <v>0</v>
      </c>
      <c r="BN311" s="324">
        <f t="shared" si="143"/>
        <v>0</v>
      </c>
      <c r="BO311" s="324">
        <f t="shared" si="144"/>
        <v>0</v>
      </c>
      <c r="BP311" s="324">
        <f t="shared" si="145"/>
        <v>0</v>
      </c>
      <c r="BQ311" s="324">
        <f t="shared" si="146"/>
        <v>0</v>
      </c>
      <c r="BR311" s="324">
        <f t="shared" si="147"/>
        <v>0</v>
      </c>
      <c r="BS311" s="324">
        <f t="shared" si="148"/>
        <v>0</v>
      </c>
      <c r="BT311" s="332">
        <f t="shared" si="149"/>
        <v>0</v>
      </c>
    </row>
    <row r="312" spans="1:72" ht="14.25">
      <c r="A312" s="297"/>
      <c r="B312" s="323"/>
      <c r="C312" s="323"/>
      <c r="D312" s="2215"/>
      <c r="E312" s="324">
        <f t="shared" si="121"/>
        <v>0</v>
      </c>
      <c r="F312" s="325"/>
      <c r="G312" s="326">
        <f t="shared" si="122"/>
        <v>0</v>
      </c>
      <c r="H312" s="327">
        <f t="shared" si="12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2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25"/>
        <v>0</v>
      </c>
      <c r="AW312" s="2210">
        <f t="shared" si="126"/>
        <v>0</v>
      </c>
      <c r="AX312" s="2210">
        <f t="shared" si="127"/>
        <v>0</v>
      </c>
      <c r="AY312" s="331">
        <f t="shared" si="128"/>
        <v>0</v>
      </c>
      <c r="AZ312" s="324">
        <f t="shared" si="129"/>
        <v>0</v>
      </c>
      <c r="BA312" s="324">
        <f t="shared" si="130"/>
        <v>0</v>
      </c>
      <c r="BB312" s="324">
        <f t="shared" si="131"/>
        <v>0</v>
      </c>
      <c r="BC312" s="324">
        <f t="shared" si="132"/>
        <v>0</v>
      </c>
      <c r="BD312" s="324">
        <f t="shared" si="133"/>
        <v>0</v>
      </c>
      <c r="BE312" s="324">
        <f t="shared" si="134"/>
        <v>0</v>
      </c>
      <c r="BF312" s="324">
        <f t="shared" si="135"/>
        <v>0</v>
      </c>
      <c r="BG312" s="324">
        <f t="shared" si="136"/>
        <v>0</v>
      </c>
      <c r="BH312" s="324">
        <f t="shared" si="137"/>
        <v>0</v>
      </c>
      <c r="BI312" s="324">
        <f t="shared" si="138"/>
        <v>0</v>
      </c>
      <c r="BJ312" s="324">
        <f t="shared" si="139"/>
        <v>0</v>
      </c>
      <c r="BK312" s="324">
        <f t="shared" si="140"/>
        <v>0</v>
      </c>
      <c r="BL312" s="324">
        <f t="shared" si="141"/>
        <v>0</v>
      </c>
      <c r="BM312" s="324">
        <f t="shared" si="142"/>
        <v>0</v>
      </c>
      <c r="BN312" s="324">
        <f t="shared" si="143"/>
        <v>0</v>
      </c>
      <c r="BO312" s="324">
        <f t="shared" si="144"/>
        <v>0</v>
      </c>
      <c r="BP312" s="324">
        <f t="shared" si="145"/>
        <v>0</v>
      </c>
      <c r="BQ312" s="324">
        <f t="shared" si="146"/>
        <v>0</v>
      </c>
      <c r="BR312" s="324">
        <f t="shared" si="147"/>
        <v>0</v>
      </c>
      <c r="BS312" s="324">
        <f t="shared" si="148"/>
        <v>0</v>
      </c>
      <c r="BT312" s="332">
        <f t="shared" si="149"/>
        <v>0</v>
      </c>
    </row>
    <row r="313" spans="1:72" ht="14.25">
      <c r="A313" s="297"/>
      <c r="B313" s="323"/>
      <c r="C313" s="323"/>
      <c r="D313" s="2215"/>
      <c r="E313" s="324">
        <f t="shared" si="121"/>
        <v>0</v>
      </c>
      <c r="F313" s="325"/>
      <c r="G313" s="326">
        <f t="shared" si="122"/>
        <v>0</v>
      </c>
      <c r="H313" s="327">
        <f t="shared" si="12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2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25"/>
        <v>0</v>
      </c>
      <c r="AW313" s="2210">
        <f t="shared" si="126"/>
        <v>0</v>
      </c>
      <c r="AX313" s="2210">
        <f t="shared" si="127"/>
        <v>0</v>
      </c>
      <c r="AY313" s="331">
        <f t="shared" si="128"/>
        <v>0</v>
      </c>
      <c r="AZ313" s="324">
        <f t="shared" si="129"/>
        <v>0</v>
      </c>
      <c r="BA313" s="324">
        <f t="shared" si="130"/>
        <v>0</v>
      </c>
      <c r="BB313" s="324">
        <f t="shared" si="131"/>
        <v>0</v>
      </c>
      <c r="BC313" s="324">
        <f t="shared" si="132"/>
        <v>0</v>
      </c>
      <c r="BD313" s="324">
        <f t="shared" si="133"/>
        <v>0</v>
      </c>
      <c r="BE313" s="324">
        <f t="shared" si="134"/>
        <v>0</v>
      </c>
      <c r="BF313" s="324">
        <f t="shared" si="135"/>
        <v>0</v>
      </c>
      <c r="BG313" s="324">
        <f t="shared" si="136"/>
        <v>0</v>
      </c>
      <c r="BH313" s="324">
        <f t="shared" si="137"/>
        <v>0</v>
      </c>
      <c r="BI313" s="324">
        <f t="shared" si="138"/>
        <v>0</v>
      </c>
      <c r="BJ313" s="324">
        <f t="shared" si="139"/>
        <v>0</v>
      </c>
      <c r="BK313" s="324">
        <f t="shared" si="140"/>
        <v>0</v>
      </c>
      <c r="BL313" s="324">
        <f t="shared" si="141"/>
        <v>0</v>
      </c>
      <c r="BM313" s="324">
        <f t="shared" si="142"/>
        <v>0</v>
      </c>
      <c r="BN313" s="324">
        <f t="shared" si="143"/>
        <v>0</v>
      </c>
      <c r="BO313" s="324">
        <f t="shared" si="144"/>
        <v>0</v>
      </c>
      <c r="BP313" s="324">
        <f t="shared" si="145"/>
        <v>0</v>
      </c>
      <c r="BQ313" s="324">
        <f t="shared" si="146"/>
        <v>0</v>
      </c>
      <c r="BR313" s="324">
        <f t="shared" si="147"/>
        <v>0</v>
      </c>
      <c r="BS313" s="324">
        <f t="shared" si="148"/>
        <v>0</v>
      </c>
      <c r="BT313" s="332">
        <f t="shared" si="149"/>
        <v>0</v>
      </c>
    </row>
    <row r="314" spans="1:72" ht="14.25">
      <c r="A314" s="297"/>
      <c r="B314" s="323"/>
      <c r="C314" s="323"/>
      <c r="D314" s="2215"/>
      <c r="E314" s="324">
        <f t="shared" si="121"/>
        <v>0</v>
      </c>
      <c r="F314" s="325"/>
      <c r="G314" s="326">
        <f t="shared" si="122"/>
        <v>0</v>
      </c>
      <c r="H314" s="327">
        <f t="shared" si="12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2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25"/>
        <v>0</v>
      </c>
      <c r="AW314" s="2210">
        <f t="shared" si="126"/>
        <v>0</v>
      </c>
      <c r="AX314" s="2210">
        <f t="shared" si="127"/>
        <v>0</v>
      </c>
      <c r="AY314" s="331">
        <f t="shared" si="128"/>
        <v>0</v>
      </c>
      <c r="AZ314" s="324">
        <f t="shared" si="129"/>
        <v>0</v>
      </c>
      <c r="BA314" s="324">
        <f t="shared" si="130"/>
        <v>0</v>
      </c>
      <c r="BB314" s="324">
        <f t="shared" si="131"/>
        <v>0</v>
      </c>
      <c r="BC314" s="324">
        <f t="shared" si="132"/>
        <v>0</v>
      </c>
      <c r="BD314" s="324">
        <f t="shared" si="133"/>
        <v>0</v>
      </c>
      <c r="BE314" s="324">
        <f t="shared" si="134"/>
        <v>0</v>
      </c>
      <c r="BF314" s="324">
        <f t="shared" si="135"/>
        <v>0</v>
      </c>
      <c r="BG314" s="324">
        <f t="shared" si="136"/>
        <v>0</v>
      </c>
      <c r="BH314" s="324">
        <f t="shared" si="137"/>
        <v>0</v>
      </c>
      <c r="BI314" s="324">
        <f t="shared" si="138"/>
        <v>0</v>
      </c>
      <c r="BJ314" s="324">
        <f t="shared" si="139"/>
        <v>0</v>
      </c>
      <c r="BK314" s="324">
        <f t="shared" si="140"/>
        <v>0</v>
      </c>
      <c r="BL314" s="324">
        <f t="shared" si="141"/>
        <v>0</v>
      </c>
      <c r="BM314" s="324">
        <f t="shared" si="142"/>
        <v>0</v>
      </c>
      <c r="BN314" s="324">
        <f t="shared" si="143"/>
        <v>0</v>
      </c>
      <c r="BO314" s="324">
        <f t="shared" si="144"/>
        <v>0</v>
      </c>
      <c r="BP314" s="324">
        <f t="shared" si="145"/>
        <v>0</v>
      </c>
      <c r="BQ314" s="324">
        <f t="shared" si="146"/>
        <v>0</v>
      </c>
      <c r="BR314" s="324">
        <f t="shared" si="147"/>
        <v>0</v>
      </c>
      <c r="BS314" s="324">
        <f t="shared" si="148"/>
        <v>0</v>
      </c>
      <c r="BT314" s="332">
        <f t="shared" si="149"/>
        <v>0</v>
      </c>
    </row>
    <row r="315" spans="1:72" ht="14.25">
      <c r="A315" s="297"/>
      <c r="B315" s="323"/>
      <c r="C315" s="323"/>
      <c r="D315" s="2215"/>
      <c r="E315" s="324">
        <f t="shared" si="121"/>
        <v>0</v>
      </c>
      <c r="F315" s="325"/>
      <c r="G315" s="326">
        <f t="shared" si="122"/>
        <v>0</v>
      </c>
      <c r="H315" s="327">
        <f t="shared" si="12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2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25"/>
        <v>0</v>
      </c>
      <c r="AW315" s="2210">
        <f t="shared" si="126"/>
        <v>0</v>
      </c>
      <c r="AX315" s="2210">
        <f t="shared" si="127"/>
        <v>0</v>
      </c>
      <c r="AY315" s="331">
        <f t="shared" si="128"/>
        <v>0</v>
      </c>
      <c r="AZ315" s="324">
        <f t="shared" si="129"/>
        <v>0</v>
      </c>
      <c r="BA315" s="324">
        <f t="shared" si="130"/>
        <v>0</v>
      </c>
      <c r="BB315" s="324">
        <f t="shared" si="131"/>
        <v>0</v>
      </c>
      <c r="BC315" s="324">
        <f t="shared" si="132"/>
        <v>0</v>
      </c>
      <c r="BD315" s="324">
        <f t="shared" si="133"/>
        <v>0</v>
      </c>
      <c r="BE315" s="324">
        <f t="shared" si="134"/>
        <v>0</v>
      </c>
      <c r="BF315" s="324">
        <f t="shared" si="135"/>
        <v>0</v>
      </c>
      <c r="BG315" s="324">
        <f t="shared" si="136"/>
        <v>0</v>
      </c>
      <c r="BH315" s="324">
        <f t="shared" si="137"/>
        <v>0</v>
      </c>
      <c r="BI315" s="324">
        <f t="shared" si="138"/>
        <v>0</v>
      </c>
      <c r="BJ315" s="324">
        <f t="shared" si="139"/>
        <v>0</v>
      </c>
      <c r="BK315" s="324">
        <f t="shared" si="140"/>
        <v>0</v>
      </c>
      <c r="BL315" s="324">
        <f t="shared" si="141"/>
        <v>0</v>
      </c>
      <c r="BM315" s="324">
        <f t="shared" si="142"/>
        <v>0</v>
      </c>
      <c r="BN315" s="324">
        <f t="shared" si="143"/>
        <v>0</v>
      </c>
      <c r="BO315" s="324">
        <f t="shared" si="144"/>
        <v>0</v>
      </c>
      <c r="BP315" s="324">
        <f t="shared" si="145"/>
        <v>0</v>
      </c>
      <c r="BQ315" s="324">
        <f t="shared" si="146"/>
        <v>0</v>
      </c>
      <c r="BR315" s="324">
        <f t="shared" si="147"/>
        <v>0</v>
      </c>
      <c r="BS315" s="324">
        <f t="shared" si="148"/>
        <v>0</v>
      </c>
      <c r="BT315" s="332">
        <f t="shared" si="149"/>
        <v>0</v>
      </c>
    </row>
    <row r="316" spans="1:72" ht="14.25">
      <c r="A316" s="297"/>
      <c r="B316" s="323"/>
      <c r="C316" s="323"/>
      <c r="D316" s="2215"/>
      <c r="E316" s="324">
        <f t="shared" si="121"/>
        <v>0</v>
      </c>
      <c r="F316" s="325"/>
      <c r="G316" s="326">
        <f t="shared" si="122"/>
        <v>0</v>
      </c>
      <c r="H316" s="327">
        <f t="shared" si="12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2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25"/>
        <v>0</v>
      </c>
      <c r="AW316" s="2210">
        <f t="shared" si="126"/>
        <v>0</v>
      </c>
      <c r="AX316" s="2210">
        <f t="shared" si="127"/>
        <v>0</v>
      </c>
      <c r="AY316" s="331">
        <f t="shared" si="128"/>
        <v>0</v>
      </c>
      <c r="AZ316" s="324">
        <f t="shared" si="129"/>
        <v>0</v>
      </c>
      <c r="BA316" s="324">
        <f t="shared" si="130"/>
        <v>0</v>
      </c>
      <c r="BB316" s="324">
        <f t="shared" si="131"/>
        <v>0</v>
      </c>
      <c r="BC316" s="324">
        <f t="shared" si="132"/>
        <v>0</v>
      </c>
      <c r="BD316" s="324">
        <f t="shared" si="133"/>
        <v>0</v>
      </c>
      <c r="BE316" s="324">
        <f t="shared" si="134"/>
        <v>0</v>
      </c>
      <c r="BF316" s="324">
        <f t="shared" si="135"/>
        <v>0</v>
      </c>
      <c r="BG316" s="324">
        <f t="shared" si="136"/>
        <v>0</v>
      </c>
      <c r="BH316" s="324">
        <f t="shared" si="137"/>
        <v>0</v>
      </c>
      <c r="BI316" s="324">
        <f t="shared" si="138"/>
        <v>0</v>
      </c>
      <c r="BJ316" s="324">
        <f t="shared" si="139"/>
        <v>0</v>
      </c>
      <c r="BK316" s="324">
        <f t="shared" si="140"/>
        <v>0</v>
      </c>
      <c r="BL316" s="324">
        <f t="shared" si="141"/>
        <v>0</v>
      </c>
      <c r="BM316" s="324">
        <f t="shared" si="142"/>
        <v>0</v>
      </c>
      <c r="BN316" s="324">
        <f t="shared" si="143"/>
        <v>0</v>
      </c>
      <c r="BO316" s="324">
        <f t="shared" si="144"/>
        <v>0</v>
      </c>
      <c r="BP316" s="324">
        <f t="shared" si="145"/>
        <v>0</v>
      </c>
      <c r="BQ316" s="324">
        <f t="shared" si="146"/>
        <v>0</v>
      </c>
      <c r="BR316" s="324">
        <f t="shared" si="147"/>
        <v>0</v>
      </c>
      <c r="BS316" s="324">
        <f t="shared" si="148"/>
        <v>0</v>
      </c>
      <c r="BT316" s="332">
        <f t="shared" si="149"/>
        <v>0</v>
      </c>
    </row>
    <row r="317" spans="1:72" ht="14.25">
      <c r="A317" s="297"/>
      <c r="B317" s="323"/>
      <c r="C317" s="323"/>
      <c r="D317" s="2215"/>
      <c r="E317" s="324">
        <f t="shared" si="121"/>
        <v>0</v>
      </c>
      <c r="F317" s="325"/>
      <c r="G317" s="326">
        <f t="shared" si="122"/>
        <v>0</v>
      </c>
      <c r="H317" s="327">
        <f t="shared" si="12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2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25"/>
        <v>0</v>
      </c>
      <c r="AW317" s="2210">
        <f t="shared" si="126"/>
        <v>0</v>
      </c>
      <c r="AX317" s="2210">
        <f t="shared" si="127"/>
        <v>0</v>
      </c>
      <c r="AY317" s="331">
        <f t="shared" si="128"/>
        <v>0</v>
      </c>
      <c r="AZ317" s="324">
        <f t="shared" si="129"/>
        <v>0</v>
      </c>
      <c r="BA317" s="324">
        <f t="shared" si="130"/>
        <v>0</v>
      </c>
      <c r="BB317" s="324">
        <f t="shared" si="131"/>
        <v>0</v>
      </c>
      <c r="BC317" s="324">
        <f t="shared" si="132"/>
        <v>0</v>
      </c>
      <c r="BD317" s="324">
        <f t="shared" si="133"/>
        <v>0</v>
      </c>
      <c r="BE317" s="324">
        <f t="shared" si="134"/>
        <v>0</v>
      </c>
      <c r="BF317" s="324">
        <f t="shared" si="135"/>
        <v>0</v>
      </c>
      <c r="BG317" s="324">
        <f t="shared" si="136"/>
        <v>0</v>
      </c>
      <c r="BH317" s="324">
        <f t="shared" si="137"/>
        <v>0</v>
      </c>
      <c r="BI317" s="324">
        <f t="shared" si="138"/>
        <v>0</v>
      </c>
      <c r="BJ317" s="324">
        <f t="shared" si="139"/>
        <v>0</v>
      </c>
      <c r="BK317" s="324">
        <f t="shared" si="140"/>
        <v>0</v>
      </c>
      <c r="BL317" s="324">
        <f t="shared" si="141"/>
        <v>0</v>
      </c>
      <c r="BM317" s="324">
        <f t="shared" si="142"/>
        <v>0</v>
      </c>
      <c r="BN317" s="324">
        <f t="shared" si="143"/>
        <v>0</v>
      </c>
      <c r="BO317" s="324">
        <f t="shared" si="144"/>
        <v>0</v>
      </c>
      <c r="BP317" s="324">
        <f t="shared" si="145"/>
        <v>0</v>
      </c>
      <c r="BQ317" s="324">
        <f t="shared" si="146"/>
        <v>0</v>
      </c>
      <c r="BR317" s="324">
        <f t="shared" si="147"/>
        <v>0</v>
      </c>
      <c r="BS317" s="324">
        <f t="shared" si="148"/>
        <v>0</v>
      </c>
      <c r="BT317" s="332">
        <f t="shared" si="149"/>
        <v>0</v>
      </c>
    </row>
    <row r="318" spans="1:72" ht="14.25">
      <c r="A318" s="297"/>
      <c r="B318" s="323"/>
      <c r="C318" s="323"/>
      <c r="D318" s="2215"/>
      <c r="E318" s="324">
        <f t="shared" si="121"/>
        <v>0</v>
      </c>
      <c r="F318" s="325"/>
      <c r="G318" s="326">
        <f t="shared" si="122"/>
        <v>0</v>
      </c>
      <c r="H318" s="327">
        <f t="shared" si="12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2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25"/>
        <v>0</v>
      </c>
      <c r="AW318" s="2210">
        <f t="shared" si="126"/>
        <v>0</v>
      </c>
      <c r="AX318" s="2210">
        <f t="shared" si="127"/>
        <v>0</v>
      </c>
      <c r="AY318" s="331">
        <f t="shared" si="128"/>
        <v>0</v>
      </c>
      <c r="AZ318" s="324">
        <f t="shared" si="129"/>
        <v>0</v>
      </c>
      <c r="BA318" s="324">
        <f t="shared" si="130"/>
        <v>0</v>
      </c>
      <c r="BB318" s="324">
        <f t="shared" si="131"/>
        <v>0</v>
      </c>
      <c r="BC318" s="324">
        <f t="shared" si="132"/>
        <v>0</v>
      </c>
      <c r="BD318" s="324">
        <f t="shared" si="133"/>
        <v>0</v>
      </c>
      <c r="BE318" s="324">
        <f t="shared" si="134"/>
        <v>0</v>
      </c>
      <c r="BF318" s="324">
        <f t="shared" si="135"/>
        <v>0</v>
      </c>
      <c r="BG318" s="324">
        <f t="shared" si="136"/>
        <v>0</v>
      </c>
      <c r="BH318" s="324">
        <f t="shared" si="137"/>
        <v>0</v>
      </c>
      <c r="BI318" s="324">
        <f t="shared" si="138"/>
        <v>0</v>
      </c>
      <c r="BJ318" s="324">
        <f t="shared" si="139"/>
        <v>0</v>
      </c>
      <c r="BK318" s="324">
        <f t="shared" si="140"/>
        <v>0</v>
      </c>
      <c r="BL318" s="324">
        <f t="shared" si="141"/>
        <v>0</v>
      </c>
      <c r="BM318" s="324">
        <f t="shared" si="142"/>
        <v>0</v>
      </c>
      <c r="BN318" s="324">
        <f t="shared" si="143"/>
        <v>0</v>
      </c>
      <c r="BO318" s="324">
        <f t="shared" si="144"/>
        <v>0</v>
      </c>
      <c r="BP318" s="324">
        <f t="shared" si="145"/>
        <v>0</v>
      </c>
      <c r="BQ318" s="324">
        <f t="shared" si="146"/>
        <v>0</v>
      </c>
      <c r="BR318" s="324">
        <f t="shared" si="147"/>
        <v>0</v>
      </c>
      <c r="BS318" s="324">
        <f t="shared" si="148"/>
        <v>0</v>
      </c>
      <c r="BT318" s="332">
        <f t="shared" si="149"/>
        <v>0</v>
      </c>
    </row>
    <row r="319" spans="1:72" ht="14.25">
      <c r="A319" s="297"/>
      <c r="B319" s="323"/>
      <c r="C319" s="323"/>
      <c r="D319" s="2215"/>
      <c r="E319" s="324">
        <f t="shared" si="121"/>
        <v>0</v>
      </c>
      <c r="F319" s="325"/>
      <c r="G319" s="326">
        <f t="shared" si="122"/>
        <v>0</v>
      </c>
      <c r="H319" s="327">
        <f t="shared" si="12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2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25"/>
        <v>0</v>
      </c>
      <c r="AW319" s="2210">
        <f t="shared" si="126"/>
        <v>0</v>
      </c>
      <c r="AX319" s="2210">
        <f t="shared" si="127"/>
        <v>0</v>
      </c>
      <c r="AY319" s="331">
        <f t="shared" si="128"/>
        <v>0</v>
      </c>
      <c r="AZ319" s="324">
        <f t="shared" si="129"/>
        <v>0</v>
      </c>
      <c r="BA319" s="324">
        <f t="shared" si="130"/>
        <v>0</v>
      </c>
      <c r="BB319" s="324">
        <f t="shared" si="131"/>
        <v>0</v>
      </c>
      <c r="BC319" s="324">
        <f t="shared" si="132"/>
        <v>0</v>
      </c>
      <c r="BD319" s="324">
        <f t="shared" si="133"/>
        <v>0</v>
      </c>
      <c r="BE319" s="324">
        <f t="shared" si="134"/>
        <v>0</v>
      </c>
      <c r="BF319" s="324">
        <f t="shared" si="135"/>
        <v>0</v>
      </c>
      <c r="BG319" s="324">
        <f t="shared" si="136"/>
        <v>0</v>
      </c>
      <c r="BH319" s="324">
        <f t="shared" si="137"/>
        <v>0</v>
      </c>
      <c r="BI319" s="324">
        <f t="shared" si="138"/>
        <v>0</v>
      </c>
      <c r="BJ319" s="324">
        <f t="shared" si="139"/>
        <v>0</v>
      </c>
      <c r="BK319" s="324">
        <f t="shared" si="140"/>
        <v>0</v>
      </c>
      <c r="BL319" s="324">
        <f t="shared" si="141"/>
        <v>0</v>
      </c>
      <c r="BM319" s="324">
        <f t="shared" si="142"/>
        <v>0</v>
      </c>
      <c r="BN319" s="324">
        <f t="shared" si="143"/>
        <v>0</v>
      </c>
      <c r="BO319" s="324">
        <f t="shared" si="144"/>
        <v>0</v>
      </c>
      <c r="BP319" s="324">
        <f t="shared" si="145"/>
        <v>0</v>
      </c>
      <c r="BQ319" s="324">
        <f t="shared" si="146"/>
        <v>0</v>
      </c>
      <c r="BR319" s="324">
        <f t="shared" si="147"/>
        <v>0</v>
      </c>
      <c r="BS319" s="324">
        <f t="shared" si="148"/>
        <v>0</v>
      </c>
      <c r="BT319" s="332">
        <f t="shared" si="149"/>
        <v>0</v>
      </c>
    </row>
    <row r="320" spans="1:72" ht="14.25">
      <c r="A320" s="297"/>
      <c r="B320" s="323"/>
      <c r="C320" s="323"/>
      <c r="D320" s="2215"/>
      <c r="E320" s="324">
        <f t="shared" si="121"/>
        <v>0</v>
      </c>
      <c r="F320" s="325"/>
      <c r="G320" s="326">
        <f t="shared" si="122"/>
        <v>0</v>
      </c>
      <c r="H320" s="327">
        <f t="shared" si="12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2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25"/>
        <v>0</v>
      </c>
      <c r="AW320" s="2210">
        <f t="shared" si="126"/>
        <v>0</v>
      </c>
      <c r="AX320" s="2210">
        <f t="shared" si="127"/>
        <v>0</v>
      </c>
      <c r="AY320" s="331">
        <f t="shared" si="128"/>
        <v>0</v>
      </c>
      <c r="AZ320" s="324">
        <f t="shared" si="129"/>
        <v>0</v>
      </c>
      <c r="BA320" s="324">
        <f t="shared" si="130"/>
        <v>0</v>
      </c>
      <c r="BB320" s="324">
        <f t="shared" si="131"/>
        <v>0</v>
      </c>
      <c r="BC320" s="324">
        <f t="shared" si="132"/>
        <v>0</v>
      </c>
      <c r="BD320" s="324">
        <f t="shared" si="133"/>
        <v>0</v>
      </c>
      <c r="BE320" s="324">
        <f t="shared" si="134"/>
        <v>0</v>
      </c>
      <c r="BF320" s="324">
        <f t="shared" si="135"/>
        <v>0</v>
      </c>
      <c r="BG320" s="324">
        <f t="shared" si="136"/>
        <v>0</v>
      </c>
      <c r="BH320" s="324">
        <f t="shared" si="137"/>
        <v>0</v>
      </c>
      <c r="BI320" s="324">
        <f t="shared" si="138"/>
        <v>0</v>
      </c>
      <c r="BJ320" s="324">
        <f t="shared" si="139"/>
        <v>0</v>
      </c>
      <c r="BK320" s="324">
        <f t="shared" si="140"/>
        <v>0</v>
      </c>
      <c r="BL320" s="324">
        <f t="shared" si="141"/>
        <v>0</v>
      </c>
      <c r="BM320" s="324">
        <f t="shared" si="142"/>
        <v>0</v>
      </c>
      <c r="BN320" s="324">
        <f t="shared" si="143"/>
        <v>0</v>
      </c>
      <c r="BO320" s="324">
        <f t="shared" si="144"/>
        <v>0</v>
      </c>
      <c r="BP320" s="324">
        <f t="shared" si="145"/>
        <v>0</v>
      </c>
      <c r="BQ320" s="324">
        <f t="shared" si="146"/>
        <v>0</v>
      </c>
      <c r="BR320" s="324">
        <f t="shared" si="147"/>
        <v>0</v>
      </c>
      <c r="BS320" s="324">
        <f t="shared" si="148"/>
        <v>0</v>
      </c>
      <c r="BT320" s="332">
        <f t="shared" si="149"/>
        <v>0</v>
      </c>
    </row>
    <row r="321" spans="1:72" ht="14.25">
      <c r="A321" s="297"/>
      <c r="B321" s="323"/>
      <c r="C321" s="323"/>
      <c r="D321" s="2215"/>
      <c r="E321" s="324">
        <f t="shared" si="121"/>
        <v>0</v>
      </c>
      <c r="F321" s="325"/>
      <c r="G321" s="326">
        <f t="shared" si="122"/>
        <v>0</v>
      </c>
      <c r="H321" s="327">
        <f t="shared" si="12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2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25"/>
        <v>0</v>
      </c>
      <c r="AW321" s="2210">
        <f t="shared" si="126"/>
        <v>0</v>
      </c>
      <c r="AX321" s="2210">
        <f t="shared" si="127"/>
        <v>0</v>
      </c>
      <c r="AY321" s="331">
        <f t="shared" si="128"/>
        <v>0</v>
      </c>
      <c r="AZ321" s="324">
        <f t="shared" si="129"/>
        <v>0</v>
      </c>
      <c r="BA321" s="324">
        <f t="shared" si="130"/>
        <v>0</v>
      </c>
      <c r="BB321" s="324">
        <f t="shared" si="131"/>
        <v>0</v>
      </c>
      <c r="BC321" s="324">
        <f t="shared" si="132"/>
        <v>0</v>
      </c>
      <c r="BD321" s="324">
        <f t="shared" si="133"/>
        <v>0</v>
      </c>
      <c r="BE321" s="324">
        <f t="shared" si="134"/>
        <v>0</v>
      </c>
      <c r="BF321" s="324">
        <f t="shared" si="135"/>
        <v>0</v>
      </c>
      <c r="BG321" s="324">
        <f t="shared" si="136"/>
        <v>0</v>
      </c>
      <c r="BH321" s="324">
        <f t="shared" si="137"/>
        <v>0</v>
      </c>
      <c r="BI321" s="324">
        <f t="shared" si="138"/>
        <v>0</v>
      </c>
      <c r="BJ321" s="324">
        <f t="shared" si="139"/>
        <v>0</v>
      </c>
      <c r="BK321" s="324">
        <f t="shared" si="140"/>
        <v>0</v>
      </c>
      <c r="BL321" s="324">
        <f t="shared" si="141"/>
        <v>0</v>
      </c>
      <c r="BM321" s="324">
        <f t="shared" si="142"/>
        <v>0</v>
      </c>
      <c r="BN321" s="324">
        <f t="shared" si="143"/>
        <v>0</v>
      </c>
      <c r="BO321" s="324">
        <f t="shared" si="144"/>
        <v>0</v>
      </c>
      <c r="BP321" s="324">
        <f t="shared" si="145"/>
        <v>0</v>
      </c>
      <c r="BQ321" s="324">
        <f t="shared" si="146"/>
        <v>0</v>
      </c>
      <c r="BR321" s="324">
        <f t="shared" si="147"/>
        <v>0</v>
      </c>
      <c r="BS321" s="324">
        <f t="shared" si="148"/>
        <v>0</v>
      </c>
      <c r="BT321" s="332">
        <f t="shared" si="149"/>
        <v>0</v>
      </c>
    </row>
    <row r="322" spans="1:72" ht="14.25">
      <c r="A322" s="297"/>
      <c r="B322" s="323"/>
      <c r="C322" s="323"/>
      <c r="D322" s="2215"/>
      <c r="E322" s="324">
        <f t="shared" si="121"/>
        <v>0</v>
      </c>
      <c r="F322" s="325"/>
      <c r="G322" s="326">
        <f t="shared" si="122"/>
        <v>0</v>
      </c>
      <c r="H322" s="327">
        <f t="shared" si="12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2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25"/>
        <v>0</v>
      </c>
      <c r="AW322" s="2210">
        <f t="shared" si="126"/>
        <v>0</v>
      </c>
      <c r="AX322" s="2210">
        <f t="shared" si="127"/>
        <v>0</v>
      </c>
      <c r="AY322" s="331">
        <f t="shared" si="128"/>
        <v>0</v>
      </c>
      <c r="AZ322" s="324">
        <f t="shared" si="129"/>
        <v>0</v>
      </c>
      <c r="BA322" s="324">
        <f t="shared" si="130"/>
        <v>0</v>
      </c>
      <c r="BB322" s="324">
        <f t="shared" si="131"/>
        <v>0</v>
      </c>
      <c r="BC322" s="324">
        <f t="shared" si="132"/>
        <v>0</v>
      </c>
      <c r="BD322" s="324">
        <f t="shared" si="133"/>
        <v>0</v>
      </c>
      <c r="BE322" s="324">
        <f t="shared" si="134"/>
        <v>0</v>
      </c>
      <c r="BF322" s="324">
        <f t="shared" si="135"/>
        <v>0</v>
      </c>
      <c r="BG322" s="324">
        <f t="shared" si="136"/>
        <v>0</v>
      </c>
      <c r="BH322" s="324">
        <f t="shared" si="137"/>
        <v>0</v>
      </c>
      <c r="BI322" s="324">
        <f t="shared" si="138"/>
        <v>0</v>
      </c>
      <c r="BJ322" s="324">
        <f t="shared" si="139"/>
        <v>0</v>
      </c>
      <c r="BK322" s="324">
        <f t="shared" si="140"/>
        <v>0</v>
      </c>
      <c r="BL322" s="324">
        <f t="shared" si="141"/>
        <v>0</v>
      </c>
      <c r="BM322" s="324">
        <f t="shared" si="142"/>
        <v>0</v>
      </c>
      <c r="BN322" s="324">
        <f t="shared" si="143"/>
        <v>0</v>
      </c>
      <c r="BO322" s="324">
        <f t="shared" si="144"/>
        <v>0</v>
      </c>
      <c r="BP322" s="324">
        <f t="shared" si="145"/>
        <v>0</v>
      </c>
      <c r="BQ322" s="324">
        <f t="shared" si="146"/>
        <v>0</v>
      </c>
      <c r="BR322" s="324">
        <f t="shared" si="147"/>
        <v>0</v>
      </c>
      <c r="BS322" s="324">
        <f t="shared" si="148"/>
        <v>0</v>
      </c>
      <c r="BT322" s="332">
        <f t="shared" si="149"/>
        <v>0</v>
      </c>
    </row>
    <row r="323" spans="1:72" ht="14.25">
      <c r="A323" s="297"/>
      <c r="B323" s="323"/>
      <c r="C323" s="323"/>
      <c r="D323" s="2215"/>
      <c r="E323" s="324">
        <f t="shared" si="121"/>
        <v>0</v>
      </c>
      <c r="F323" s="325"/>
      <c r="G323" s="326">
        <f t="shared" si="122"/>
        <v>0</v>
      </c>
      <c r="H323" s="327">
        <f t="shared" si="12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2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25"/>
        <v>0</v>
      </c>
      <c r="AW323" s="2210">
        <f t="shared" si="126"/>
        <v>0</v>
      </c>
      <c r="AX323" s="2210">
        <f t="shared" si="127"/>
        <v>0</v>
      </c>
      <c r="AY323" s="331">
        <f t="shared" si="128"/>
        <v>0</v>
      </c>
      <c r="AZ323" s="324">
        <f t="shared" si="129"/>
        <v>0</v>
      </c>
      <c r="BA323" s="324">
        <f t="shared" si="130"/>
        <v>0</v>
      </c>
      <c r="BB323" s="324">
        <f t="shared" si="131"/>
        <v>0</v>
      </c>
      <c r="BC323" s="324">
        <f t="shared" si="132"/>
        <v>0</v>
      </c>
      <c r="BD323" s="324">
        <f t="shared" si="133"/>
        <v>0</v>
      </c>
      <c r="BE323" s="324">
        <f t="shared" si="134"/>
        <v>0</v>
      </c>
      <c r="BF323" s="324">
        <f t="shared" si="135"/>
        <v>0</v>
      </c>
      <c r="BG323" s="324">
        <f t="shared" si="136"/>
        <v>0</v>
      </c>
      <c r="BH323" s="324">
        <f t="shared" si="137"/>
        <v>0</v>
      </c>
      <c r="BI323" s="324">
        <f t="shared" si="138"/>
        <v>0</v>
      </c>
      <c r="BJ323" s="324">
        <f t="shared" si="139"/>
        <v>0</v>
      </c>
      <c r="BK323" s="324">
        <f t="shared" si="140"/>
        <v>0</v>
      </c>
      <c r="BL323" s="324">
        <f t="shared" si="141"/>
        <v>0</v>
      </c>
      <c r="BM323" s="324">
        <f t="shared" si="142"/>
        <v>0</v>
      </c>
      <c r="BN323" s="324">
        <f t="shared" si="143"/>
        <v>0</v>
      </c>
      <c r="BO323" s="324">
        <f t="shared" si="144"/>
        <v>0</v>
      </c>
      <c r="BP323" s="324">
        <f t="shared" si="145"/>
        <v>0</v>
      </c>
      <c r="BQ323" s="324">
        <f t="shared" si="146"/>
        <v>0</v>
      </c>
      <c r="BR323" s="324">
        <f t="shared" si="147"/>
        <v>0</v>
      </c>
      <c r="BS323" s="324">
        <f t="shared" si="148"/>
        <v>0</v>
      </c>
      <c r="BT323" s="332">
        <f t="shared" si="149"/>
        <v>0</v>
      </c>
    </row>
    <row r="324" spans="1:72" ht="14.25">
      <c r="A324" s="297"/>
      <c r="B324" s="323"/>
      <c r="C324" s="323"/>
      <c r="D324" s="2215"/>
      <c r="E324" s="324">
        <f t="shared" si="121"/>
        <v>0</v>
      </c>
      <c r="F324" s="325"/>
      <c r="G324" s="326">
        <f t="shared" si="122"/>
        <v>0</v>
      </c>
      <c r="H324" s="327">
        <f t="shared" si="12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2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25"/>
        <v>0</v>
      </c>
      <c r="AW324" s="2210">
        <f t="shared" si="126"/>
        <v>0</v>
      </c>
      <c r="AX324" s="2210">
        <f t="shared" si="127"/>
        <v>0</v>
      </c>
      <c r="AY324" s="331">
        <f t="shared" si="128"/>
        <v>0</v>
      </c>
      <c r="AZ324" s="324">
        <f t="shared" si="129"/>
        <v>0</v>
      </c>
      <c r="BA324" s="324">
        <f t="shared" si="130"/>
        <v>0</v>
      </c>
      <c r="BB324" s="324">
        <f t="shared" si="131"/>
        <v>0</v>
      </c>
      <c r="BC324" s="324">
        <f t="shared" si="132"/>
        <v>0</v>
      </c>
      <c r="BD324" s="324">
        <f t="shared" si="133"/>
        <v>0</v>
      </c>
      <c r="BE324" s="324">
        <f t="shared" si="134"/>
        <v>0</v>
      </c>
      <c r="BF324" s="324">
        <f t="shared" si="135"/>
        <v>0</v>
      </c>
      <c r="BG324" s="324">
        <f t="shared" si="136"/>
        <v>0</v>
      </c>
      <c r="BH324" s="324">
        <f t="shared" si="137"/>
        <v>0</v>
      </c>
      <c r="BI324" s="324">
        <f t="shared" si="138"/>
        <v>0</v>
      </c>
      <c r="BJ324" s="324">
        <f t="shared" si="139"/>
        <v>0</v>
      </c>
      <c r="BK324" s="324">
        <f t="shared" si="140"/>
        <v>0</v>
      </c>
      <c r="BL324" s="324">
        <f t="shared" si="141"/>
        <v>0</v>
      </c>
      <c r="BM324" s="324">
        <f t="shared" si="142"/>
        <v>0</v>
      </c>
      <c r="BN324" s="324">
        <f t="shared" si="143"/>
        <v>0</v>
      </c>
      <c r="BO324" s="324">
        <f t="shared" si="144"/>
        <v>0</v>
      </c>
      <c r="BP324" s="324">
        <f t="shared" si="145"/>
        <v>0</v>
      </c>
      <c r="BQ324" s="324">
        <f t="shared" si="146"/>
        <v>0</v>
      </c>
      <c r="BR324" s="324">
        <f t="shared" si="147"/>
        <v>0</v>
      </c>
      <c r="BS324" s="324">
        <f t="shared" si="148"/>
        <v>0</v>
      </c>
      <c r="BT324" s="332">
        <f t="shared" si="149"/>
        <v>0</v>
      </c>
    </row>
    <row r="325" spans="1:72" ht="14.25">
      <c r="A325" s="297"/>
      <c r="B325" s="323"/>
      <c r="C325" s="323"/>
      <c r="D325" s="2215"/>
      <c r="E325" s="324">
        <f t="shared" si="121"/>
        <v>0</v>
      </c>
      <c r="F325" s="325"/>
      <c r="G325" s="326">
        <f t="shared" si="122"/>
        <v>0</v>
      </c>
      <c r="H325" s="327">
        <f t="shared" si="12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2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25"/>
        <v>0</v>
      </c>
      <c r="AW325" s="2210">
        <f t="shared" si="126"/>
        <v>0</v>
      </c>
      <c r="AX325" s="2210">
        <f t="shared" si="127"/>
        <v>0</v>
      </c>
      <c r="AY325" s="331">
        <f t="shared" si="128"/>
        <v>0</v>
      </c>
      <c r="AZ325" s="324">
        <f t="shared" si="129"/>
        <v>0</v>
      </c>
      <c r="BA325" s="324">
        <f t="shared" si="130"/>
        <v>0</v>
      </c>
      <c r="BB325" s="324">
        <f t="shared" si="131"/>
        <v>0</v>
      </c>
      <c r="BC325" s="324">
        <f t="shared" si="132"/>
        <v>0</v>
      </c>
      <c r="BD325" s="324">
        <f t="shared" si="133"/>
        <v>0</v>
      </c>
      <c r="BE325" s="324">
        <f t="shared" si="134"/>
        <v>0</v>
      </c>
      <c r="BF325" s="324">
        <f t="shared" si="135"/>
        <v>0</v>
      </c>
      <c r="BG325" s="324">
        <f t="shared" si="136"/>
        <v>0</v>
      </c>
      <c r="BH325" s="324">
        <f t="shared" si="137"/>
        <v>0</v>
      </c>
      <c r="BI325" s="324">
        <f t="shared" si="138"/>
        <v>0</v>
      </c>
      <c r="BJ325" s="324">
        <f t="shared" si="139"/>
        <v>0</v>
      </c>
      <c r="BK325" s="324">
        <f t="shared" si="140"/>
        <v>0</v>
      </c>
      <c r="BL325" s="324">
        <f t="shared" si="141"/>
        <v>0</v>
      </c>
      <c r="BM325" s="324">
        <f t="shared" si="142"/>
        <v>0</v>
      </c>
      <c r="BN325" s="324">
        <f t="shared" si="143"/>
        <v>0</v>
      </c>
      <c r="BO325" s="324">
        <f t="shared" si="144"/>
        <v>0</v>
      </c>
      <c r="BP325" s="324">
        <f t="shared" si="145"/>
        <v>0</v>
      </c>
      <c r="BQ325" s="324">
        <f t="shared" si="146"/>
        <v>0</v>
      </c>
      <c r="BR325" s="324">
        <f t="shared" si="147"/>
        <v>0</v>
      </c>
      <c r="BS325" s="324">
        <f t="shared" si="148"/>
        <v>0</v>
      </c>
      <c r="BT325" s="332">
        <f t="shared" si="149"/>
        <v>0</v>
      </c>
    </row>
    <row r="326" spans="1:72" ht="14.25">
      <c r="A326" s="297"/>
      <c r="B326" s="323"/>
      <c r="C326" s="323"/>
      <c r="D326" s="2215"/>
      <c r="E326" s="324">
        <f t="shared" si="121"/>
        <v>0</v>
      </c>
      <c r="F326" s="325"/>
      <c r="G326" s="326">
        <f t="shared" si="122"/>
        <v>0</v>
      </c>
      <c r="H326" s="327">
        <f t="shared" si="12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2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25"/>
        <v>0</v>
      </c>
      <c r="AW326" s="2210">
        <f t="shared" si="126"/>
        <v>0</v>
      </c>
      <c r="AX326" s="2210">
        <f t="shared" si="127"/>
        <v>0</v>
      </c>
      <c r="AY326" s="331">
        <f t="shared" si="128"/>
        <v>0</v>
      </c>
      <c r="AZ326" s="324">
        <f t="shared" si="129"/>
        <v>0</v>
      </c>
      <c r="BA326" s="324">
        <f t="shared" si="130"/>
        <v>0</v>
      </c>
      <c r="BB326" s="324">
        <f t="shared" si="131"/>
        <v>0</v>
      </c>
      <c r="BC326" s="324">
        <f t="shared" si="132"/>
        <v>0</v>
      </c>
      <c r="BD326" s="324">
        <f t="shared" si="133"/>
        <v>0</v>
      </c>
      <c r="BE326" s="324">
        <f t="shared" si="134"/>
        <v>0</v>
      </c>
      <c r="BF326" s="324">
        <f t="shared" si="135"/>
        <v>0</v>
      </c>
      <c r="BG326" s="324">
        <f t="shared" si="136"/>
        <v>0</v>
      </c>
      <c r="BH326" s="324">
        <f t="shared" si="137"/>
        <v>0</v>
      </c>
      <c r="BI326" s="324">
        <f t="shared" si="138"/>
        <v>0</v>
      </c>
      <c r="BJ326" s="324">
        <f t="shared" si="139"/>
        <v>0</v>
      </c>
      <c r="BK326" s="324">
        <f t="shared" si="140"/>
        <v>0</v>
      </c>
      <c r="BL326" s="324">
        <f t="shared" si="141"/>
        <v>0</v>
      </c>
      <c r="BM326" s="324">
        <f t="shared" si="142"/>
        <v>0</v>
      </c>
      <c r="BN326" s="324">
        <f t="shared" si="143"/>
        <v>0</v>
      </c>
      <c r="BO326" s="324">
        <f t="shared" si="144"/>
        <v>0</v>
      </c>
      <c r="BP326" s="324">
        <f t="shared" si="145"/>
        <v>0</v>
      </c>
      <c r="BQ326" s="324">
        <f t="shared" si="146"/>
        <v>0</v>
      </c>
      <c r="BR326" s="324">
        <f t="shared" si="147"/>
        <v>0</v>
      </c>
      <c r="BS326" s="324">
        <f t="shared" si="148"/>
        <v>0</v>
      </c>
      <c r="BT326" s="332">
        <f t="shared" si="149"/>
        <v>0</v>
      </c>
    </row>
    <row r="327" spans="1:72" ht="14.25">
      <c r="A327" s="297"/>
      <c r="B327" s="323"/>
      <c r="C327" s="323"/>
      <c r="D327" s="2215"/>
      <c r="E327" s="324">
        <f t="shared" si="121"/>
        <v>0</v>
      </c>
      <c r="F327" s="325"/>
      <c r="G327" s="326">
        <f t="shared" si="122"/>
        <v>0</v>
      </c>
      <c r="H327" s="327">
        <f t="shared" si="12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2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25"/>
        <v>0</v>
      </c>
      <c r="AW327" s="2210">
        <f t="shared" si="126"/>
        <v>0</v>
      </c>
      <c r="AX327" s="2210">
        <f t="shared" si="127"/>
        <v>0</v>
      </c>
      <c r="AY327" s="331">
        <f t="shared" si="128"/>
        <v>0</v>
      </c>
      <c r="AZ327" s="324">
        <f t="shared" si="129"/>
        <v>0</v>
      </c>
      <c r="BA327" s="324">
        <f t="shared" si="130"/>
        <v>0</v>
      </c>
      <c r="BB327" s="324">
        <f t="shared" si="131"/>
        <v>0</v>
      </c>
      <c r="BC327" s="324">
        <f t="shared" si="132"/>
        <v>0</v>
      </c>
      <c r="BD327" s="324">
        <f t="shared" si="133"/>
        <v>0</v>
      </c>
      <c r="BE327" s="324">
        <f t="shared" si="134"/>
        <v>0</v>
      </c>
      <c r="BF327" s="324">
        <f t="shared" si="135"/>
        <v>0</v>
      </c>
      <c r="BG327" s="324">
        <f t="shared" si="136"/>
        <v>0</v>
      </c>
      <c r="BH327" s="324">
        <f t="shared" si="137"/>
        <v>0</v>
      </c>
      <c r="BI327" s="324">
        <f t="shared" si="138"/>
        <v>0</v>
      </c>
      <c r="BJ327" s="324">
        <f t="shared" si="139"/>
        <v>0</v>
      </c>
      <c r="BK327" s="324">
        <f t="shared" si="140"/>
        <v>0</v>
      </c>
      <c r="BL327" s="324">
        <f t="shared" si="141"/>
        <v>0</v>
      </c>
      <c r="BM327" s="324">
        <f t="shared" si="142"/>
        <v>0</v>
      </c>
      <c r="BN327" s="324">
        <f t="shared" si="143"/>
        <v>0</v>
      </c>
      <c r="BO327" s="324">
        <f t="shared" si="144"/>
        <v>0</v>
      </c>
      <c r="BP327" s="324">
        <f t="shared" si="145"/>
        <v>0</v>
      </c>
      <c r="BQ327" s="324">
        <f t="shared" si="146"/>
        <v>0</v>
      </c>
      <c r="BR327" s="324">
        <f t="shared" si="147"/>
        <v>0</v>
      </c>
      <c r="BS327" s="324">
        <f t="shared" si="148"/>
        <v>0</v>
      </c>
      <c r="BT327" s="332">
        <f t="shared" si="149"/>
        <v>0</v>
      </c>
    </row>
    <row r="328" spans="1:72" ht="14.25">
      <c r="A328" s="297"/>
      <c r="B328" s="323"/>
      <c r="C328" s="323"/>
      <c r="D328" s="2215"/>
      <c r="E328" s="324">
        <f t="shared" si="121"/>
        <v>0</v>
      </c>
      <c r="F328" s="325"/>
      <c r="G328" s="326">
        <f t="shared" si="122"/>
        <v>0</v>
      </c>
      <c r="H328" s="327">
        <f t="shared" si="12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2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25"/>
        <v>0</v>
      </c>
      <c r="AW328" s="2210">
        <f t="shared" si="126"/>
        <v>0</v>
      </c>
      <c r="AX328" s="2210">
        <f t="shared" si="127"/>
        <v>0</v>
      </c>
      <c r="AY328" s="331">
        <f t="shared" si="128"/>
        <v>0</v>
      </c>
      <c r="AZ328" s="324">
        <f t="shared" si="129"/>
        <v>0</v>
      </c>
      <c r="BA328" s="324">
        <f t="shared" si="130"/>
        <v>0</v>
      </c>
      <c r="BB328" s="324">
        <f t="shared" si="131"/>
        <v>0</v>
      </c>
      <c r="BC328" s="324">
        <f t="shared" si="132"/>
        <v>0</v>
      </c>
      <c r="BD328" s="324">
        <f t="shared" si="133"/>
        <v>0</v>
      </c>
      <c r="BE328" s="324">
        <f t="shared" si="134"/>
        <v>0</v>
      </c>
      <c r="BF328" s="324">
        <f t="shared" si="135"/>
        <v>0</v>
      </c>
      <c r="BG328" s="324">
        <f t="shared" si="136"/>
        <v>0</v>
      </c>
      <c r="BH328" s="324">
        <f t="shared" si="137"/>
        <v>0</v>
      </c>
      <c r="BI328" s="324">
        <f t="shared" si="138"/>
        <v>0</v>
      </c>
      <c r="BJ328" s="324">
        <f t="shared" si="139"/>
        <v>0</v>
      </c>
      <c r="BK328" s="324">
        <f t="shared" si="140"/>
        <v>0</v>
      </c>
      <c r="BL328" s="324">
        <f t="shared" si="141"/>
        <v>0</v>
      </c>
      <c r="BM328" s="324">
        <f t="shared" si="142"/>
        <v>0</v>
      </c>
      <c r="BN328" s="324">
        <f t="shared" si="143"/>
        <v>0</v>
      </c>
      <c r="BO328" s="324">
        <f t="shared" si="144"/>
        <v>0</v>
      </c>
      <c r="BP328" s="324">
        <f t="shared" si="145"/>
        <v>0</v>
      </c>
      <c r="BQ328" s="324">
        <f t="shared" si="146"/>
        <v>0</v>
      </c>
      <c r="BR328" s="324">
        <f t="shared" si="147"/>
        <v>0</v>
      </c>
      <c r="BS328" s="324">
        <f t="shared" si="148"/>
        <v>0</v>
      </c>
      <c r="BT328" s="332">
        <f t="shared" si="149"/>
        <v>0</v>
      </c>
    </row>
    <row r="329" spans="1:72" ht="14.25">
      <c r="A329" s="297"/>
      <c r="B329" s="323"/>
      <c r="C329" s="323"/>
      <c r="D329" s="2215"/>
      <c r="E329" s="324">
        <f t="shared" si="121"/>
        <v>0</v>
      </c>
      <c r="F329" s="325"/>
      <c r="G329" s="326">
        <f t="shared" si="122"/>
        <v>0</v>
      </c>
      <c r="H329" s="327">
        <f t="shared" si="12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2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25"/>
        <v>0</v>
      </c>
      <c r="AW329" s="2210">
        <f t="shared" si="126"/>
        <v>0</v>
      </c>
      <c r="AX329" s="2210">
        <f t="shared" si="127"/>
        <v>0</v>
      </c>
      <c r="AY329" s="331">
        <f t="shared" si="128"/>
        <v>0</v>
      </c>
      <c r="AZ329" s="324">
        <f t="shared" si="129"/>
        <v>0</v>
      </c>
      <c r="BA329" s="324">
        <f t="shared" si="130"/>
        <v>0</v>
      </c>
      <c r="BB329" s="324">
        <f t="shared" si="131"/>
        <v>0</v>
      </c>
      <c r="BC329" s="324">
        <f t="shared" si="132"/>
        <v>0</v>
      </c>
      <c r="BD329" s="324">
        <f t="shared" si="133"/>
        <v>0</v>
      </c>
      <c r="BE329" s="324">
        <f t="shared" si="134"/>
        <v>0</v>
      </c>
      <c r="BF329" s="324">
        <f t="shared" si="135"/>
        <v>0</v>
      </c>
      <c r="BG329" s="324">
        <f t="shared" si="136"/>
        <v>0</v>
      </c>
      <c r="BH329" s="324">
        <f t="shared" si="137"/>
        <v>0</v>
      </c>
      <c r="BI329" s="324">
        <f t="shared" si="138"/>
        <v>0</v>
      </c>
      <c r="BJ329" s="324">
        <f t="shared" si="139"/>
        <v>0</v>
      </c>
      <c r="BK329" s="324">
        <f t="shared" si="140"/>
        <v>0</v>
      </c>
      <c r="BL329" s="324">
        <f t="shared" si="141"/>
        <v>0</v>
      </c>
      <c r="BM329" s="324">
        <f t="shared" si="142"/>
        <v>0</v>
      </c>
      <c r="BN329" s="324">
        <f t="shared" si="143"/>
        <v>0</v>
      </c>
      <c r="BO329" s="324">
        <f t="shared" si="144"/>
        <v>0</v>
      </c>
      <c r="BP329" s="324">
        <f t="shared" si="145"/>
        <v>0</v>
      </c>
      <c r="BQ329" s="324">
        <f t="shared" si="146"/>
        <v>0</v>
      </c>
      <c r="BR329" s="324">
        <f t="shared" si="147"/>
        <v>0</v>
      </c>
      <c r="BS329" s="324">
        <f t="shared" si="148"/>
        <v>0</v>
      </c>
      <c r="BT329" s="332">
        <f t="shared" si="149"/>
        <v>0</v>
      </c>
    </row>
    <row r="330" spans="1:72" ht="14.25">
      <c r="A330" s="297"/>
      <c r="B330" s="323"/>
      <c r="C330" s="323"/>
      <c r="D330" s="2215"/>
      <c r="E330" s="324">
        <f t="shared" si="121"/>
        <v>0</v>
      </c>
      <c r="F330" s="325"/>
      <c r="G330" s="326">
        <f t="shared" si="122"/>
        <v>0</v>
      </c>
      <c r="H330" s="327">
        <f t="shared" si="12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2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25"/>
        <v>0</v>
      </c>
      <c r="AW330" s="2210">
        <f t="shared" si="126"/>
        <v>0</v>
      </c>
      <c r="AX330" s="2210">
        <f t="shared" si="127"/>
        <v>0</v>
      </c>
      <c r="AY330" s="331">
        <f t="shared" si="128"/>
        <v>0</v>
      </c>
      <c r="AZ330" s="324">
        <f t="shared" si="129"/>
        <v>0</v>
      </c>
      <c r="BA330" s="324">
        <f t="shared" si="130"/>
        <v>0</v>
      </c>
      <c r="BB330" s="324">
        <f t="shared" si="131"/>
        <v>0</v>
      </c>
      <c r="BC330" s="324">
        <f t="shared" si="132"/>
        <v>0</v>
      </c>
      <c r="BD330" s="324">
        <f t="shared" si="133"/>
        <v>0</v>
      </c>
      <c r="BE330" s="324">
        <f t="shared" si="134"/>
        <v>0</v>
      </c>
      <c r="BF330" s="324">
        <f t="shared" si="135"/>
        <v>0</v>
      </c>
      <c r="BG330" s="324">
        <f t="shared" si="136"/>
        <v>0</v>
      </c>
      <c r="BH330" s="324">
        <f t="shared" si="137"/>
        <v>0</v>
      </c>
      <c r="BI330" s="324">
        <f t="shared" si="138"/>
        <v>0</v>
      </c>
      <c r="BJ330" s="324">
        <f t="shared" si="139"/>
        <v>0</v>
      </c>
      <c r="BK330" s="324">
        <f t="shared" si="140"/>
        <v>0</v>
      </c>
      <c r="BL330" s="324">
        <f t="shared" si="141"/>
        <v>0</v>
      </c>
      <c r="BM330" s="324">
        <f t="shared" si="142"/>
        <v>0</v>
      </c>
      <c r="BN330" s="324">
        <f t="shared" si="143"/>
        <v>0</v>
      </c>
      <c r="BO330" s="324">
        <f t="shared" si="144"/>
        <v>0</v>
      </c>
      <c r="BP330" s="324">
        <f t="shared" si="145"/>
        <v>0</v>
      </c>
      <c r="BQ330" s="324">
        <f t="shared" si="146"/>
        <v>0</v>
      </c>
      <c r="BR330" s="324">
        <f t="shared" si="147"/>
        <v>0</v>
      </c>
      <c r="BS330" s="324">
        <f t="shared" si="148"/>
        <v>0</v>
      </c>
      <c r="BT330" s="332">
        <f t="shared" si="149"/>
        <v>0</v>
      </c>
    </row>
    <row r="331" spans="1:72" ht="14.25">
      <c r="A331" s="297"/>
      <c r="B331" s="323"/>
      <c r="C331" s="323"/>
      <c r="D331" s="2215"/>
      <c r="E331" s="324">
        <f t="shared" si="121"/>
        <v>0</v>
      </c>
      <c r="F331" s="325"/>
      <c r="G331" s="326">
        <f t="shared" si="122"/>
        <v>0</v>
      </c>
      <c r="H331" s="327">
        <f t="shared" si="12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2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25"/>
        <v>0</v>
      </c>
      <c r="AW331" s="2210">
        <f t="shared" si="126"/>
        <v>0</v>
      </c>
      <c r="AX331" s="2210">
        <f t="shared" si="127"/>
        <v>0</v>
      </c>
      <c r="AY331" s="331">
        <f t="shared" si="128"/>
        <v>0</v>
      </c>
      <c r="AZ331" s="324">
        <f t="shared" si="129"/>
        <v>0</v>
      </c>
      <c r="BA331" s="324">
        <f t="shared" si="130"/>
        <v>0</v>
      </c>
      <c r="BB331" s="324">
        <f t="shared" si="131"/>
        <v>0</v>
      </c>
      <c r="BC331" s="324">
        <f t="shared" si="132"/>
        <v>0</v>
      </c>
      <c r="BD331" s="324">
        <f t="shared" si="133"/>
        <v>0</v>
      </c>
      <c r="BE331" s="324">
        <f t="shared" si="134"/>
        <v>0</v>
      </c>
      <c r="BF331" s="324">
        <f t="shared" si="135"/>
        <v>0</v>
      </c>
      <c r="BG331" s="324">
        <f t="shared" si="136"/>
        <v>0</v>
      </c>
      <c r="BH331" s="324">
        <f t="shared" si="137"/>
        <v>0</v>
      </c>
      <c r="BI331" s="324">
        <f t="shared" si="138"/>
        <v>0</v>
      </c>
      <c r="BJ331" s="324">
        <f t="shared" si="139"/>
        <v>0</v>
      </c>
      <c r="BK331" s="324">
        <f t="shared" si="140"/>
        <v>0</v>
      </c>
      <c r="BL331" s="324">
        <f t="shared" si="141"/>
        <v>0</v>
      </c>
      <c r="BM331" s="324">
        <f t="shared" si="142"/>
        <v>0</v>
      </c>
      <c r="BN331" s="324">
        <f t="shared" si="143"/>
        <v>0</v>
      </c>
      <c r="BO331" s="324">
        <f t="shared" si="144"/>
        <v>0</v>
      </c>
      <c r="BP331" s="324">
        <f t="shared" si="145"/>
        <v>0</v>
      </c>
      <c r="BQ331" s="324">
        <f t="shared" si="146"/>
        <v>0</v>
      </c>
      <c r="BR331" s="324">
        <f t="shared" si="147"/>
        <v>0</v>
      </c>
      <c r="BS331" s="324">
        <f t="shared" si="148"/>
        <v>0</v>
      </c>
      <c r="BT331" s="332">
        <f t="shared" si="149"/>
        <v>0</v>
      </c>
    </row>
    <row r="332" spans="1:72" ht="14.25">
      <c r="A332" s="297"/>
      <c r="B332" s="323"/>
      <c r="C332" s="323"/>
      <c r="D332" s="2215"/>
      <c r="E332" s="324">
        <f t="shared" si="121"/>
        <v>0</v>
      </c>
      <c r="F332" s="325"/>
      <c r="G332" s="326">
        <f t="shared" si="122"/>
        <v>0</v>
      </c>
      <c r="H332" s="327">
        <f t="shared" si="123"/>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si="124"/>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25"/>
        <v>0</v>
      </c>
      <c r="AW332" s="2210">
        <f t="shared" si="126"/>
        <v>0</v>
      </c>
      <c r="AX332" s="2210">
        <f t="shared" si="127"/>
        <v>0</v>
      </c>
      <c r="AY332" s="331">
        <f t="shared" si="128"/>
        <v>0</v>
      </c>
      <c r="AZ332" s="324">
        <f t="shared" si="129"/>
        <v>0</v>
      </c>
      <c r="BA332" s="324">
        <f t="shared" si="130"/>
        <v>0</v>
      </c>
      <c r="BB332" s="324">
        <f t="shared" si="131"/>
        <v>0</v>
      </c>
      <c r="BC332" s="324">
        <f t="shared" si="132"/>
        <v>0</v>
      </c>
      <c r="BD332" s="324">
        <f t="shared" si="133"/>
        <v>0</v>
      </c>
      <c r="BE332" s="324">
        <f t="shared" si="134"/>
        <v>0</v>
      </c>
      <c r="BF332" s="324">
        <f t="shared" si="135"/>
        <v>0</v>
      </c>
      <c r="BG332" s="324">
        <f t="shared" si="136"/>
        <v>0</v>
      </c>
      <c r="BH332" s="324">
        <f t="shared" si="137"/>
        <v>0</v>
      </c>
      <c r="BI332" s="324">
        <f t="shared" si="138"/>
        <v>0</v>
      </c>
      <c r="BJ332" s="324">
        <f t="shared" si="139"/>
        <v>0</v>
      </c>
      <c r="BK332" s="324">
        <f t="shared" si="140"/>
        <v>0</v>
      </c>
      <c r="BL332" s="324">
        <f t="shared" si="141"/>
        <v>0</v>
      </c>
      <c r="BM332" s="324">
        <f t="shared" si="142"/>
        <v>0</v>
      </c>
      <c r="BN332" s="324">
        <f t="shared" si="143"/>
        <v>0</v>
      </c>
      <c r="BO332" s="324">
        <f t="shared" si="144"/>
        <v>0</v>
      </c>
      <c r="BP332" s="324">
        <f t="shared" si="145"/>
        <v>0</v>
      </c>
      <c r="BQ332" s="324">
        <f t="shared" si="146"/>
        <v>0</v>
      </c>
      <c r="BR332" s="324">
        <f t="shared" si="147"/>
        <v>0</v>
      </c>
      <c r="BS332" s="324">
        <f t="shared" si="148"/>
        <v>0</v>
      </c>
      <c r="BT332" s="332">
        <f t="shared" si="149"/>
        <v>0</v>
      </c>
    </row>
    <row r="333" spans="1:72" ht="14.25">
      <c r="A333" s="297"/>
      <c r="B333" s="323"/>
      <c r="C333" s="323"/>
      <c r="D333" s="2215"/>
      <c r="E333" s="324">
        <f t="shared" ref="E333:E396" si="150">IF($C$3="是",ROUND($A$3*G333/$B$3,2),ROUND($A$3*(G333-AT333)/$B$3,2))</f>
        <v>0</v>
      </c>
      <c r="F333" s="325"/>
      <c r="G333" s="326">
        <f t="shared" ref="G333:G396" si="151">H333+AC333+AT333</f>
        <v>0</v>
      </c>
      <c r="H333" s="327">
        <f t="shared" ref="H333:H396" si="152">SUMIF(I$12:AB$12,"总值",I333:AB333)</f>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ref="AC333:AC396" si="153">SUMIF(AD$12:AS$12,"总值",AD333:AS333)</f>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ref="AV333:AV396" si="154">A333</f>
        <v>0</v>
      </c>
      <c r="AW333" s="2210">
        <f t="shared" ref="AW333:AW396" si="155">B333</f>
        <v>0</v>
      </c>
      <c r="AX333" s="2210">
        <f t="shared" ref="AX333:AX396" si="156">C333</f>
        <v>0</v>
      </c>
      <c r="AY333" s="331">
        <f t="shared" ref="AY333:AY396" si="157">ROUND($AY$6*AZ333/$AZ$5,2)</f>
        <v>0</v>
      </c>
      <c r="AZ333" s="324">
        <f t="shared" ref="AZ333:AZ396" si="158">BA333+BL333</f>
        <v>0</v>
      </c>
      <c r="BA333" s="324">
        <f t="shared" ref="BA333:BA396" si="159">SUM(BB333:BK333)</f>
        <v>0</v>
      </c>
      <c r="BB333" s="324">
        <f t="shared" ref="BB333:BB396" si="160">IF($D333="是",I333-J333,0)</f>
        <v>0</v>
      </c>
      <c r="BC333" s="324">
        <f t="shared" ref="BC333:BC396" si="161">IF($D333="是",K333-L333,0)</f>
        <v>0</v>
      </c>
      <c r="BD333" s="324">
        <f t="shared" ref="BD333:BD396" si="162">IF($D333="是",M333-N333,0)</f>
        <v>0</v>
      </c>
      <c r="BE333" s="324">
        <f t="shared" ref="BE333:BE396" si="163">IF($D333="是",O333-P333,0)</f>
        <v>0</v>
      </c>
      <c r="BF333" s="324">
        <f t="shared" ref="BF333:BF396" si="164">IF($D333="是",Q333-R333,0)</f>
        <v>0</v>
      </c>
      <c r="BG333" s="324">
        <f t="shared" ref="BG333:BG396" si="165">IF($D333="是",S333-T333,0)</f>
        <v>0</v>
      </c>
      <c r="BH333" s="324">
        <f t="shared" ref="BH333:BH396" si="166">IF($D333="是",U333-V333,0)</f>
        <v>0</v>
      </c>
      <c r="BI333" s="324">
        <f t="shared" ref="BI333:BI396" si="167">IF($D333="是",W333-X333,0)</f>
        <v>0</v>
      </c>
      <c r="BJ333" s="324">
        <f t="shared" ref="BJ333:BJ396" si="168">IF($D333="是",Y333-Z333,0)</f>
        <v>0</v>
      </c>
      <c r="BK333" s="324">
        <f t="shared" ref="BK333:BK396" si="169">IF($D333="是",AA333-AB333,0)</f>
        <v>0</v>
      </c>
      <c r="BL333" s="324">
        <f t="shared" ref="BL333:BL396" si="170">SUM(BM333:BT333)</f>
        <v>0</v>
      </c>
      <c r="BM333" s="324">
        <f t="shared" ref="BM333:BM396" si="171">IF($D333="是",AD333-AE333,0)</f>
        <v>0</v>
      </c>
      <c r="BN333" s="324">
        <f t="shared" ref="BN333:BN396" si="172">IF($D333="是",AF333-AG333,0)</f>
        <v>0</v>
      </c>
      <c r="BO333" s="324">
        <f t="shared" ref="BO333:BO396" si="173">IF($D333="是",AH333-AI333,0)</f>
        <v>0</v>
      </c>
      <c r="BP333" s="324">
        <f t="shared" ref="BP333:BP396" si="174">IF($D333="是",AJ333-AK333,0)</f>
        <v>0</v>
      </c>
      <c r="BQ333" s="324">
        <f t="shared" ref="BQ333:BQ396" si="175">IF($D333="是",AL333-AM333,0)</f>
        <v>0</v>
      </c>
      <c r="BR333" s="324">
        <f t="shared" ref="BR333:BR396" si="176">IF($D333="是",AN333-AO333,0)</f>
        <v>0</v>
      </c>
      <c r="BS333" s="324">
        <f t="shared" ref="BS333:BS396" si="177">IF($D333="是",AP333-AQ333,0)</f>
        <v>0</v>
      </c>
      <c r="BT333" s="332">
        <f t="shared" ref="BT333:BT396" si="178">IF($D333="是",AR333-AS333,0)</f>
        <v>0</v>
      </c>
    </row>
    <row r="334" spans="1:72" ht="14.25">
      <c r="A334" s="297"/>
      <c r="B334" s="323"/>
      <c r="C334" s="323"/>
      <c r="D334" s="2215"/>
      <c r="E334" s="324">
        <f t="shared" si="150"/>
        <v>0</v>
      </c>
      <c r="F334" s="325"/>
      <c r="G334" s="326">
        <f t="shared" si="151"/>
        <v>0</v>
      </c>
      <c r="H334" s="327">
        <f t="shared" si="15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5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54"/>
        <v>0</v>
      </c>
      <c r="AW334" s="2210">
        <f t="shared" si="155"/>
        <v>0</v>
      </c>
      <c r="AX334" s="2210">
        <f t="shared" si="156"/>
        <v>0</v>
      </c>
      <c r="AY334" s="331">
        <f t="shared" si="157"/>
        <v>0</v>
      </c>
      <c r="AZ334" s="324">
        <f t="shared" si="158"/>
        <v>0</v>
      </c>
      <c r="BA334" s="324">
        <f t="shared" si="159"/>
        <v>0</v>
      </c>
      <c r="BB334" s="324">
        <f t="shared" si="160"/>
        <v>0</v>
      </c>
      <c r="BC334" s="324">
        <f t="shared" si="161"/>
        <v>0</v>
      </c>
      <c r="BD334" s="324">
        <f t="shared" si="162"/>
        <v>0</v>
      </c>
      <c r="BE334" s="324">
        <f t="shared" si="163"/>
        <v>0</v>
      </c>
      <c r="BF334" s="324">
        <f t="shared" si="164"/>
        <v>0</v>
      </c>
      <c r="BG334" s="324">
        <f t="shared" si="165"/>
        <v>0</v>
      </c>
      <c r="BH334" s="324">
        <f t="shared" si="166"/>
        <v>0</v>
      </c>
      <c r="BI334" s="324">
        <f t="shared" si="167"/>
        <v>0</v>
      </c>
      <c r="BJ334" s="324">
        <f t="shared" si="168"/>
        <v>0</v>
      </c>
      <c r="BK334" s="324">
        <f t="shared" si="169"/>
        <v>0</v>
      </c>
      <c r="BL334" s="324">
        <f t="shared" si="170"/>
        <v>0</v>
      </c>
      <c r="BM334" s="324">
        <f t="shared" si="171"/>
        <v>0</v>
      </c>
      <c r="BN334" s="324">
        <f t="shared" si="172"/>
        <v>0</v>
      </c>
      <c r="BO334" s="324">
        <f t="shared" si="173"/>
        <v>0</v>
      </c>
      <c r="BP334" s="324">
        <f t="shared" si="174"/>
        <v>0</v>
      </c>
      <c r="BQ334" s="324">
        <f t="shared" si="175"/>
        <v>0</v>
      </c>
      <c r="BR334" s="324">
        <f t="shared" si="176"/>
        <v>0</v>
      </c>
      <c r="BS334" s="324">
        <f t="shared" si="177"/>
        <v>0</v>
      </c>
      <c r="BT334" s="332">
        <f t="shared" si="178"/>
        <v>0</v>
      </c>
    </row>
    <row r="335" spans="1:72" ht="14.25">
      <c r="A335" s="297"/>
      <c r="B335" s="323"/>
      <c r="C335" s="323"/>
      <c r="D335" s="2215"/>
      <c r="E335" s="324">
        <f t="shared" si="150"/>
        <v>0</v>
      </c>
      <c r="F335" s="325"/>
      <c r="G335" s="326">
        <f t="shared" si="151"/>
        <v>0</v>
      </c>
      <c r="H335" s="327">
        <f t="shared" si="15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5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si="154"/>
        <v>0</v>
      </c>
      <c r="AW335" s="2210">
        <f t="shared" si="155"/>
        <v>0</v>
      </c>
      <c r="AX335" s="2210">
        <f t="shared" si="156"/>
        <v>0</v>
      </c>
      <c r="AY335" s="331">
        <f t="shared" si="157"/>
        <v>0</v>
      </c>
      <c r="AZ335" s="324">
        <f t="shared" si="158"/>
        <v>0</v>
      </c>
      <c r="BA335" s="324">
        <f t="shared" si="159"/>
        <v>0</v>
      </c>
      <c r="BB335" s="324">
        <f t="shared" si="160"/>
        <v>0</v>
      </c>
      <c r="BC335" s="324">
        <f t="shared" si="161"/>
        <v>0</v>
      </c>
      <c r="BD335" s="324">
        <f t="shared" si="162"/>
        <v>0</v>
      </c>
      <c r="BE335" s="324">
        <f t="shared" si="163"/>
        <v>0</v>
      </c>
      <c r="BF335" s="324">
        <f t="shared" si="164"/>
        <v>0</v>
      </c>
      <c r="BG335" s="324">
        <f t="shared" si="165"/>
        <v>0</v>
      </c>
      <c r="BH335" s="324">
        <f t="shared" si="166"/>
        <v>0</v>
      </c>
      <c r="BI335" s="324">
        <f t="shared" si="167"/>
        <v>0</v>
      </c>
      <c r="BJ335" s="324">
        <f t="shared" si="168"/>
        <v>0</v>
      </c>
      <c r="BK335" s="324">
        <f t="shared" si="169"/>
        <v>0</v>
      </c>
      <c r="BL335" s="324">
        <f t="shared" si="170"/>
        <v>0</v>
      </c>
      <c r="BM335" s="324">
        <f t="shared" si="171"/>
        <v>0</v>
      </c>
      <c r="BN335" s="324">
        <f t="shared" si="172"/>
        <v>0</v>
      </c>
      <c r="BO335" s="324">
        <f t="shared" si="173"/>
        <v>0</v>
      </c>
      <c r="BP335" s="324">
        <f t="shared" si="174"/>
        <v>0</v>
      </c>
      <c r="BQ335" s="324">
        <f t="shared" si="175"/>
        <v>0</v>
      </c>
      <c r="BR335" s="324">
        <f t="shared" si="176"/>
        <v>0</v>
      </c>
      <c r="BS335" s="324">
        <f t="shared" si="177"/>
        <v>0</v>
      </c>
      <c r="BT335" s="332">
        <f t="shared" si="178"/>
        <v>0</v>
      </c>
    </row>
    <row r="336" spans="1:72" ht="14.25">
      <c r="A336" s="297"/>
      <c r="B336" s="323"/>
      <c r="C336" s="323"/>
      <c r="D336" s="2215"/>
      <c r="E336" s="324">
        <f t="shared" si="150"/>
        <v>0</v>
      </c>
      <c r="F336" s="325"/>
      <c r="G336" s="326">
        <f t="shared" si="151"/>
        <v>0</v>
      </c>
      <c r="H336" s="327">
        <f t="shared" si="15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5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154"/>
        <v>0</v>
      </c>
      <c r="AW336" s="2210">
        <f t="shared" si="155"/>
        <v>0</v>
      </c>
      <c r="AX336" s="2210">
        <f t="shared" si="156"/>
        <v>0</v>
      </c>
      <c r="AY336" s="331">
        <f t="shared" si="157"/>
        <v>0</v>
      </c>
      <c r="AZ336" s="324">
        <f t="shared" si="158"/>
        <v>0</v>
      </c>
      <c r="BA336" s="324">
        <f t="shared" si="159"/>
        <v>0</v>
      </c>
      <c r="BB336" s="324">
        <f t="shared" si="160"/>
        <v>0</v>
      </c>
      <c r="BC336" s="324">
        <f t="shared" si="161"/>
        <v>0</v>
      </c>
      <c r="BD336" s="324">
        <f t="shared" si="162"/>
        <v>0</v>
      </c>
      <c r="BE336" s="324">
        <f t="shared" si="163"/>
        <v>0</v>
      </c>
      <c r="BF336" s="324">
        <f t="shared" si="164"/>
        <v>0</v>
      </c>
      <c r="BG336" s="324">
        <f t="shared" si="165"/>
        <v>0</v>
      </c>
      <c r="BH336" s="324">
        <f t="shared" si="166"/>
        <v>0</v>
      </c>
      <c r="BI336" s="324">
        <f t="shared" si="167"/>
        <v>0</v>
      </c>
      <c r="BJ336" s="324">
        <f t="shared" si="168"/>
        <v>0</v>
      </c>
      <c r="BK336" s="324">
        <f t="shared" si="169"/>
        <v>0</v>
      </c>
      <c r="BL336" s="324">
        <f t="shared" si="170"/>
        <v>0</v>
      </c>
      <c r="BM336" s="324">
        <f t="shared" si="171"/>
        <v>0</v>
      </c>
      <c r="BN336" s="324">
        <f t="shared" si="172"/>
        <v>0</v>
      </c>
      <c r="BO336" s="324">
        <f t="shared" si="173"/>
        <v>0</v>
      </c>
      <c r="BP336" s="324">
        <f t="shared" si="174"/>
        <v>0</v>
      </c>
      <c r="BQ336" s="324">
        <f t="shared" si="175"/>
        <v>0</v>
      </c>
      <c r="BR336" s="324">
        <f t="shared" si="176"/>
        <v>0</v>
      </c>
      <c r="BS336" s="324">
        <f t="shared" si="177"/>
        <v>0</v>
      </c>
      <c r="BT336" s="332">
        <f t="shared" si="178"/>
        <v>0</v>
      </c>
    </row>
    <row r="337" spans="1:72" ht="14.25">
      <c r="A337" s="297"/>
      <c r="B337" s="323"/>
      <c r="C337" s="323"/>
      <c r="D337" s="2215"/>
      <c r="E337" s="324">
        <f t="shared" si="150"/>
        <v>0</v>
      </c>
      <c r="F337" s="325"/>
      <c r="G337" s="326">
        <f t="shared" si="151"/>
        <v>0</v>
      </c>
      <c r="H337" s="327">
        <f t="shared" si="15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5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154"/>
        <v>0</v>
      </c>
      <c r="AW337" s="2210">
        <f t="shared" si="155"/>
        <v>0</v>
      </c>
      <c r="AX337" s="2210">
        <f t="shared" si="156"/>
        <v>0</v>
      </c>
      <c r="AY337" s="331">
        <f t="shared" si="157"/>
        <v>0</v>
      </c>
      <c r="AZ337" s="324">
        <f t="shared" si="158"/>
        <v>0</v>
      </c>
      <c r="BA337" s="324">
        <f t="shared" si="159"/>
        <v>0</v>
      </c>
      <c r="BB337" s="324">
        <f t="shared" si="160"/>
        <v>0</v>
      </c>
      <c r="BC337" s="324">
        <f t="shared" si="161"/>
        <v>0</v>
      </c>
      <c r="BD337" s="324">
        <f t="shared" si="162"/>
        <v>0</v>
      </c>
      <c r="BE337" s="324">
        <f t="shared" si="163"/>
        <v>0</v>
      </c>
      <c r="BF337" s="324">
        <f t="shared" si="164"/>
        <v>0</v>
      </c>
      <c r="BG337" s="324">
        <f t="shared" si="165"/>
        <v>0</v>
      </c>
      <c r="BH337" s="324">
        <f t="shared" si="166"/>
        <v>0</v>
      </c>
      <c r="BI337" s="324">
        <f t="shared" si="167"/>
        <v>0</v>
      </c>
      <c r="BJ337" s="324">
        <f t="shared" si="168"/>
        <v>0</v>
      </c>
      <c r="BK337" s="324">
        <f t="shared" si="169"/>
        <v>0</v>
      </c>
      <c r="BL337" s="324">
        <f t="shared" si="170"/>
        <v>0</v>
      </c>
      <c r="BM337" s="324">
        <f t="shared" si="171"/>
        <v>0</v>
      </c>
      <c r="BN337" s="324">
        <f t="shared" si="172"/>
        <v>0</v>
      </c>
      <c r="BO337" s="324">
        <f t="shared" si="173"/>
        <v>0</v>
      </c>
      <c r="BP337" s="324">
        <f t="shared" si="174"/>
        <v>0</v>
      </c>
      <c r="BQ337" s="324">
        <f t="shared" si="175"/>
        <v>0</v>
      </c>
      <c r="BR337" s="324">
        <f t="shared" si="176"/>
        <v>0</v>
      </c>
      <c r="BS337" s="324">
        <f t="shared" si="177"/>
        <v>0</v>
      </c>
      <c r="BT337" s="332">
        <f t="shared" si="178"/>
        <v>0</v>
      </c>
    </row>
    <row r="338" spans="1:72" ht="14.25">
      <c r="A338" s="297"/>
      <c r="B338" s="323"/>
      <c r="C338" s="323"/>
      <c r="D338" s="2215"/>
      <c r="E338" s="324">
        <f t="shared" si="150"/>
        <v>0</v>
      </c>
      <c r="F338" s="325"/>
      <c r="G338" s="326">
        <f t="shared" si="151"/>
        <v>0</v>
      </c>
      <c r="H338" s="327">
        <f t="shared" si="15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5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154"/>
        <v>0</v>
      </c>
      <c r="AW338" s="2210">
        <f t="shared" si="155"/>
        <v>0</v>
      </c>
      <c r="AX338" s="2210">
        <f t="shared" si="156"/>
        <v>0</v>
      </c>
      <c r="AY338" s="331">
        <f t="shared" si="157"/>
        <v>0</v>
      </c>
      <c r="AZ338" s="324">
        <f t="shared" si="158"/>
        <v>0</v>
      </c>
      <c r="BA338" s="324">
        <f t="shared" si="159"/>
        <v>0</v>
      </c>
      <c r="BB338" s="324">
        <f t="shared" si="160"/>
        <v>0</v>
      </c>
      <c r="BC338" s="324">
        <f t="shared" si="161"/>
        <v>0</v>
      </c>
      <c r="BD338" s="324">
        <f t="shared" si="162"/>
        <v>0</v>
      </c>
      <c r="BE338" s="324">
        <f t="shared" si="163"/>
        <v>0</v>
      </c>
      <c r="BF338" s="324">
        <f t="shared" si="164"/>
        <v>0</v>
      </c>
      <c r="BG338" s="324">
        <f t="shared" si="165"/>
        <v>0</v>
      </c>
      <c r="BH338" s="324">
        <f t="shared" si="166"/>
        <v>0</v>
      </c>
      <c r="BI338" s="324">
        <f t="shared" si="167"/>
        <v>0</v>
      </c>
      <c r="BJ338" s="324">
        <f t="shared" si="168"/>
        <v>0</v>
      </c>
      <c r="BK338" s="324">
        <f t="shared" si="169"/>
        <v>0</v>
      </c>
      <c r="BL338" s="324">
        <f t="shared" si="170"/>
        <v>0</v>
      </c>
      <c r="BM338" s="324">
        <f t="shared" si="171"/>
        <v>0</v>
      </c>
      <c r="BN338" s="324">
        <f t="shared" si="172"/>
        <v>0</v>
      </c>
      <c r="BO338" s="324">
        <f t="shared" si="173"/>
        <v>0</v>
      </c>
      <c r="BP338" s="324">
        <f t="shared" si="174"/>
        <v>0</v>
      </c>
      <c r="BQ338" s="324">
        <f t="shared" si="175"/>
        <v>0</v>
      </c>
      <c r="BR338" s="324">
        <f t="shared" si="176"/>
        <v>0</v>
      </c>
      <c r="BS338" s="324">
        <f t="shared" si="177"/>
        <v>0</v>
      </c>
      <c r="BT338" s="332">
        <f t="shared" si="178"/>
        <v>0</v>
      </c>
    </row>
    <row r="339" spans="1:72" ht="14.25">
      <c r="A339" s="297"/>
      <c r="B339" s="323"/>
      <c r="C339" s="323"/>
      <c r="D339" s="2215"/>
      <c r="E339" s="324">
        <f t="shared" si="150"/>
        <v>0</v>
      </c>
      <c r="F339" s="325"/>
      <c r="G339" s="326">
        <f t="shared" si="151"/>
        <v>0</v>
      </c>
      <c r="H339" s="327">
        <f t="shared" si="15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5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154"/>
        <v>0</v>
      </c>
      <c r="AW339" s="2210">
        <f t="shared" si="155"/>
        <v>0</v>
      </c>
      <c r="AX339" s="2210">
        <f t="shared" si="156"/>
        <v>0</v>
      </c>
      <c r="AY339" s="331">
        <f t="shared" si="157"/>
        <v>0</v>
      </c>
      <c r="AZ339" s="324">
        <f t="shared" si="158"/>
        <v>0</v>
      </c>
      <c r="BA339" s="324">
        <f t="shared" si="159"/>
        <v>0</v>
      </c>
      <c r="BB339" s="324">
        <f t="shared" si="160"/>
        <v>0</v>
      </c>
      <c r="BC339" s="324">
        <f t="shared" si="161"/>
        <v>0</v>
      </c>
      <c r="BD339" s="324">
        <f t="shared" si="162"/>
        <v>0</v>
      </c>
      <c r="BE339" s="324">
        <f t="shared" si="163"/>
        <v>0</v>
      </c>
      <c r="BF339" s="324">
        <f t="shared" si="164"/>
        <v>0</v>
      </c>
      <c r="BG339" s="324">
        <f t="shared" si="165"/>
        <v>0</v>
      </c>
      <c r="BH339" s="324">
        <f t="shared" si="166"/>
        <v>0</v>
      </c>
      <c r="BI339" s="324">
        <f t="shared" si="167"/>
        <v>0</v>
      </c>
      <c r="BJ339" s="324">
        <f t="shared" si="168"/>
        <v>0</v>
      </c>
      <c r="BK339" s="324">
        <f t="shared" si="169"/>
        <v>0</v>
      </c>
      <c r="BL339" s="324">
        <f t="shared" si="170"/>
        <v>0</v>
      </c>
      <c r="BM339" s="324">
        <f t="shared" si="171"/>
        <v>0</v>
      </c>
      <c r="BN339" s="324">
        <f t="shared" si="172"/>
        <v>0</v>
      </c>
      <c r="BO339" s="324">
        <f t="shared" si="173"/>
        <v>0</v>
      </c>
      <c r="BP339" s="324">
        <f t="shared" si="174"/>
        <v>0</v>
      </c>
      <c r="BQ339" s="324">
        <f t="shared" si="175"/>
        <v>0</v>
      </c>
      <c r="BR339" s="324">
        <f t="shared" si="176"/>
        <v>0</v>
      </c>
      <c r="BS339" s="324">
        <f t="shared" si="177"/>
        <v>0</v>
      </c>
      <c r="BT339" s="332">
        <f t="shared" si="178"/>
        <v>0</v>
      </c>
    </row>
    <row r="340" spans="1:72" ht="14.25">
      <c r="A340" s="297"/>
      <c r="B340" s="323"/>
      <c r="C340" s="323"/>
      <c r="D340" s="2215"/>
      <c r="E340" s="324">
        <f t="shared" si="150"/>
        <v>0</v>
      </c>
      <c r="F340" s="325"/>
      <c r="G340" s="326">
        <f t="shared" si="151"/>
        <v>0</v>
      </c>
      <c r="H340" s="327">
        <f t="shared" si="15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5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154"/>
        <v>0</v>
      </c>
      <c r="AW340" s="2210">
        <f t="shared" si="155"/>
        <v>0</v>
      </c>
      <c r="AX340" s="2210">
        <f t="shared" si="156"/>
        <v>0</v>
      </c>
      <c r="AY340" s="331">
        <f t="shared" si="157"/>
        <v>0</v>
      </c>
      <c r="AZ340" s="324">
        <f t="shared" si="158"/>
        <v>0</v>
      </c>
      <c r="BA340" s="324">
        <f t="shared" si="159"/>
        <v>0</v>
      </c>
      <c r="BB340" s="324">
        <f t="shared" si="160"/>
        <v>0</v>
      </c>
      <c r="BC340" s="324">
        <f t="shared" si="161"/>
        <v>0</v>
      </c>
      <c r="BD340" s="324">
        <f t="shared" si="162"/>
        <v>0</v>
      </c>
      <c r="BE340" s="324">
        <f t="shared" si="163"/>
        <v>0</v>
      </c>
      <c r="BF340" s="324">
        <f t="shared" si="164"/>
        <v>0</v>
      </c>
      <c r="BG340" s="324">
        <f t="shared" si="165"/>
        <v>0</v>
      </c>
      <c r="BH340" s="324">
        <f t="shared" si="166"/>
        <v>0</v>
      </c>
      <c r="BI340" s="324">
        <f t="shared" si="167"/>
        <v>0</v>
      </c>
      <c r="BJ340" s="324">
        <f t="shared" si="168"/>
        <v>0</v>
      </c>
      <c r="BK340" s="324">
        <f t="shared" si="169"/>
        <v>0</v>
      </c>
      <c r="BL340" s="324">
        <f t="shared" si="170"/>
        <v>0</v>
      </c>
      <c r="BM340" s="324">
        <f t="shared" si="171"/>
        <v>0</v>
      </c>
      <c r="BN340" s="324">
        <f t="shared" si="172"/>
        <v>0</v>
      </c>
      <c r="BO340" s="324">
        <f t="shared" si="173"/>
        <v>0</v>
      </c>
      <c r="BP340" s="324">
        <f t="shared" si="174"/>
        <v>0</v>
      </c>
      <c r="BQ340" s="324">
        <f t="shared" si="175"/>
        <v>0</v>
      </c>
      <c r="BR340" s="324">
        <f t="shared" si="176"/>
        <v>0</v>
      </c>
      <c r="BS340" s="324">
        <f t="shared" si="177"/>
        <v>0</v>
      </c>
      <c r="BT340" s="332">
        <f t="shared" si="178"/>
        <v>0</v>
      </c>
    </row>
    <row r="341" spans="1:72" ht="14.25">
      <c r="A341" s="297"/>
      <c r="B341" s="323"/>
      <c r="C341" s="323"/>
      <c r="D341" s="2215"/>
      <c r="E341" s="324">
        <f t="shared" si="150"/>
        <v>0</v>
      </c>
      <c r="F341" s="325"/>
      <c r="G341" s="326">
        <f t="shared" si="151"/>
        <v>0</v>
      </c>
      <c r="H341" s="327">
        <f t="shared" si="15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5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154"/>
        <v>0</v>
      </c>
      <c r="AW341" s="2210">
        <f t="shared" si="155"/>
        <v>0</v>
      </c>
      <c r="AX341" s="2210">
        <f t="shared" si="156"/>
        <v>0</v>
      </c>
      <c r="AY341" s="331">
        <f t="shared" si="157"/>
        <v>0</v>
      </c>
      <c r="AZ341" s="324">
        <f t="shared" si="158"/>
        <v>0</v>
      </c>
      <c r="BA341" s="324">
        <f t="shared" si="159"/>
        <v>0</v>
      </c>
      <c r="BB341" s="324">
        <f t="shared" si="160"/>
        <v>0</v>
      </c>
      <c r="BC341" s="324">
        <f t="shared" si="161"/>
        <v>0</v>
      </c>
      <c r="BD341" s="324">
        <f t="shared" si="162"/>
        <v>0</v>
      </c>
      <c r="BE341" s="324">
        <f t="shared" si="163"/>
        <v>0</v>
      </c>
      <c r="BF341" s="324">
        <f t="shared" si="164"/>
        <v>0</v>
      </c>
      <c r="BG341" s="324">
        <f t="shared" si="165"/>
        <v>0</v>
      </c>
      <c r="BH341" s="324">
        <f t="shared" si="166"/>
        <v>0</v>
      </c>
      <c r="BI341" s="324">
        <f t="shared" si="167"/>
        <v>0</v>
      </c>
      <c r="BJ341" s="324">
        <f t="shared" si="168"/>
        <v>0</v>
      </c>
      <c r="BK341" s="324">
        <f t="shared" si="169"/>
        <v>0</v>
      </c>
      <c r="BL341" s="324">
        <f t="shared" si="170"/>
        <v>0</v>
      </c>
      <c r="BM341" s="324">
        <f t="shared" si="171"/>
        <v>0</v>
      </c>
      <c r="BN341" s="324">
        <f t="shared" si="172"/>
        <v>0</v>
      </c>
      <c r="BO341" s="324">
        <f t="shared" si="173"/>
        <v>0</v>
      </c>
      <c r="BP341" s="324">
        <f t="shared" si="174"/>
        <v>0</v>
      </c>
      <c r="BQ341" s="324">
        <f t="shared" si="175"/>
        <v>0</v>
      </c>
      <c r="BR341" s="324">
        <f t="shared" si="176"/>
        <v>0</v>
      </c>
      <c r="BS341" s="324">
        <f t="shared" si="177"/>
        <v>0</v>
      </c>
      <c r="BT341" s="332">
        <f t="shared" si="178"/>
        <v>0</v>
      </c>
    </row>
    <row r="342" spans="1:72" ht="14.25">
      <c r="A342" s="297"/>
      <c r="B342" s="323"/>
      <c r="C342" s="323"/>
      <c r="D342" s="2215"/>
      <c r="E342" s="324">
        <f t="shared" si="150"/>
        <v>0</v>
      </c>
      <c r="F342" s="325"/>
      <c r="G342" s="326">
        <f t="shared" si="151"/>
        <v>0</v>
      </c>
      <c r="H342" s="327">
        <f t="shared" si="15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5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154"/>
        <v>0</v>
      </c>
      <c r="AW342" s="2210">
        <f t="shared" si="155"/>
        <v>0</v>
      </c>
      <c r="AX342" s="2210">
        <f t="shared" si="156"/>
        <v>0</v>
      </c>
      <c r="AY342" s="331">
        <f t="shared" si="157"/>
        <v>0</v>
      </c>
      <c r="AZ342" s="324">
        <f t="shared" si="158"/>
        <v>0</v>
      </c>
      <c r="BA342" s="324">
        <f t="shared" si="159"/>
        <v>0</v>
      </c>
      <c r="BB342" s="324">
        <f t="shared" si="160"/>
        <v>0</v>
      </c>
      <c r="BC342" s="324">
        <f t="shared" si="161"/>
        <v>0</v>
      </c>
      <c r="BD342" s="324">
        <f t="shared" si="162"/>
        <v>0</v>
      </c>
      <c r="BE342" s="324">
        <f t="shared" si="163"/>
        <v>0</v>
      </c>
      <c r="BF342" s="324">
        <f t="shared" si="164"/>
        <v>0</v>
      </c>
      <c r="BG342" s="324">
        <f t="shared" si="165"/>
        <v>0</v>
      </c>
      <c r="BH342" s="324">
        <f t="shared" si="166"/>
        <v>0</v>
      </c>
      <c r="BI342" s="324">
        <f t="shared" si="167"/>
        <v>0</v>
      </c>
      <c r="BJ342" s="324">
        <f t="shared" si="168"/>
        <v>0</v>
      </c>
      <c r="BK342" s="324">
        <f t="shared" si="169"/>
        <v>0</v>
      </c>
      <c r="BL342" s="324">
        <f t="shared" si="170"/>
        <v>0</v>
      </c>
      <c r="BM342" s="324">
        <f t="shared" si="171"/>
        <v>0</v>
      </c>
      <c r="BN342" s="324">
        <f t="shared" si="172"/>
        <v>0</v>
      </c>
      <c r="BO342" s="324">
        <f t="shared" si="173"/>
        <v>0</v>
      </c>
      <c r="BP342" s="324">
        <f t="shared" si="174"/>
        <v>0</v>
      </c>
      <c r="BQ342" s="324">
        <f t="shared" si="175"/>
        <v>0</v>
      </c>
      <c r="BR342" s="324">
        <f t="shared" si="176"/>
        <v>0</v>
      </c>
      <c r="BS342" s="324">
        <f t="shared" si="177"/>
        <v>0</v>
      </c>
      <c r="BT342" s="332">
        <f t="shared" si="178"/>
        <v>0</v>
      </c>
    </row>
    <row r="343" spans="1:72" ht="14.25">
      <c r="A343" s="297"/>
      <c r="B343" s="323"/>
      <c r="C343" s="323"/>
      <c r="D343" s="2215"/>
      <c r="E343" s="324">
        <f t="shared" si="150"/>
        <v>0</v>
      </c>
      <c r="F343" s="325"/>
      <c r="G343" s="326">
        <f t="shared" si="151"/>
        <v>0</v>
      </c>
      <c r="H343" s="327">
        <f t="shared" si="15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5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154"/>
        <v>0</v>
      </c>
      <c r="AW343" s="2210">
        <f t="shared" si="155"/>
        <v>0</v>
      </c>
      <c r="AX343" s="2210">
        <f t="shared" si="156"/>
        <v>0</v>
      </c>
      <c r="AY343" s="331">
        <f t="shared" si="157"/>
        <v>0</v>
      </c>
      <c r="AZ343" s="324">
        <f t="shared" si="158"/>
        <v>0</v>
      </c>
      <c r="BA343" s="324">
        <f t="shared" si="159"/>
        <v>0</v>
      </c>
      <c r="BB343" s="324">
        <f t="shared" si="160"/>
        <v>0</v>
      </c>
      <c r="BC343" s="324">
        <f t="shared" si="161"/>
        <v>0</v>
      </c>
      <c r="BD343" s="324">
        <f t="shared" si="162"/>
        <v>0</v>
      </c>
      <c r="BE343" s="324">
        <f t="shared" si="163"/>
        <v>0</v>
      </c>
      <c r="BF343" s="324">
        <f t="shared" si="164"/>
        <v>0</v>
      </c>
      <c r="BG343" s="324">
        <f t="shared" si="165"/>
        <v>0</v>
      </c>
      <c r="BH343" s="324">
        <f t="shared" si="166"/>
        <v>0</v>
      </c>
      <c r="BI343" s="324">
        <f t="shared" si="167"/>
        <v>0</v>
      </c>
      <c r="BJ343" s="324">
        <f t="shared" si="168"/>
        <v>0</v>
      </c>
      <c r="BK343" s="324">
        <f t="shared" si="169"/>
        <v>0</v>
      </c>
      <c r="BL343" s="324">
        <f t="shared" si="170"/>
        <v>0</v>
      </c>
      <c r="BM343" s="324">
        <f t="shared" si="171"/>
        <v>0</v>
      </c>
      <c r="BN343" s="324">
        <f t="shared" si="172"/>
        <v>0</v>
      </c>
      <c r="BO343" s="324">
        <f t="shared" si="173"/>
        <v>0</v>
      </c>
      <c r="BP343" s="324">
        <f t="shared" si="174"/>
        <v>0</v>
      </c>
      <c r="BQ343" s="324">
        <f t="shared" si="175"/>
        <v>0</v>
      </c>
      <c r="BR343" s="324">
        <f t="shared" si="176"/>
        <v>0</v>
      </c>
      <c r="BS343" s="324">
        <f t="shared" si="177"/>
        <v>0</v>
      </c>
      <c r="BT343" s="332">
        <f t="shared" si="178"/>
        <v>0</v>
      </c>
    </row>
    <row r="344" spans="1:72" ht="14.25">
      <c r="A344" s="297"/>
      <c r="B344" s="323"/>
      <c r="C344" s="323"/>
      <c r="D344" s="2215"/>
      <c r="E344" s="324">
        <f t="shared" si="150"/>
        <v>0</v>
      </c>
      <c r="F344" s="325"/>
      <c r="G344" s="326">
        <f t="shared" si="151"/>
        <v>0</v>
      </c>
      <c r="H344" s="327">
        <f t="shared" si="15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5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154"/>
        <v>0</v>
      </c>
      <c r="AW344" s="2210">
        <f t="shared" si="155"/>
        <v>0</v>
      </c>
      <c r="AX344" s="2210">
        <f t="shared" si="156"/>
        <v>0</v>
      </c>
      <c r="AY344" s="331">
        <f t="shared" si="157"/>
        <v>0</v>
      </c>
      <c r="AZ344" s="324">
        <f t="shared" si="158"/>
        <v>0</v>
      </c>
      <c r="BA344" s="324">
        <f t="shared" si="159"/>
        <v>0</v>
      </c>
      <c r="BB344" s="324">
        <f t="shared" si="160"/>
        <v>0</v>
      </c>
      <c r="BC344" s="324">
        <f t="shared" si="161"/>
        <v>0</v>
      </c>
      <c r="BD344" s="324">
        <f t="shared" si="162"/>
        <v>0</v>
      </c>
      <c r="BE344" s="324">
        <f t="shared" si="163"/>
        <v>0</v>
      </c>
      <c r="BF344" s="324">
        <f t="shared" si="164"/>
        <v>0</v>
      </c>
      <c r="BG344" s="324">
        <f t="shared" si="165"/>
        <v>0</v>
      </c>
      <c r="BH344" s="324">
        <f t="shared" si="166"/>
        <v>0</v>
      </c>
      <c r="BI344" s="324">
        <f t="shared" si="167"/>
        <v>0</v>
      </c>
      <c r="BJ344" s="324">
        <f t="shared" si="168"/>
        <v>0</v>
      </c>
      <c r="BK344" s="324">
        <f t="shared" si="169"/>
        <v>0</v>
      </c>
      <c r="BL344" s="324">
        <f t="shared" si="170"/>
        <v>0</v>
      </c>
      <c r="BM344" s="324">
        <f t="shared" si="171"/>
        <v>0</v>
      </c>
      <c r="BN344" s="324">
        <f t="shared" si="172"/>
        <v>0</v>
      </c>
      <c r="BO344" s="324">
        <f t="shared" si="173"/>
        <v>0</v>
      </c>
      <c r="BP344" s="324">
        <f t="shared" si="174"/>
        <v>0</v>
      </c>
      <c r="BQ344" s="324">
        <f t="shared" si="175"/>
        <v>0</v>
      </c>
      <c r="BR344" s="324">
        <f t="shared" si="176"/>
        <v>0</v>
      </c>
      <c r="BS344" s="324">
        <f t="shared" si="177"/>
        <v>0</v>
      </c>
      <c r="BT344" s="332">
        <f t="shared" si="178"/>
        <v>0</v>
      </c>
    </row>
    <row r="345" spans="1:72" ht="14.25">
      <c r="A345" s="297"/>
      <c r="B345" s="323"/>
      <c r="C345" s="323"/>
      <c r="D345" s="2215"/>
      <c r="E345" s="324">
        <f t="shared" si="150"/>
        <v>0</v>
      </c>
      <c r="F345" s="325"/>
      <c r="G345" s="326">
        <f t="shared" si="151"/>
        <v>0</v>
      </c>
      <c r="H345" s="327">
        <f t="shared" si="15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5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154"/>
        <v>0</v>
      </c>
      <c r="AW345" s="2210">
        <f t="shared" si="155"/>
        <v>0</v>
      </c>
      <c r="AX345" s="2210">
        <f t="shared" si="156"/>
        <v>0</v>
      </c>
      <c r="AY345" s="331">
        <f t="shared" si="157"/>
        <v>0</v>
      </c>
      <c r="AZ345" s="324">
        <f t="shared" si="158"/>
        <v>0</v>
      </c>
      <c r="BA345" s="324">
        <f t="shared" si="159"/>
        <v>0</v>
      </c>
      <c r="BB345" s="324">
        <f t="shared" si="160"/>
        <v>0</v>
      </c>
      <c r="BC345" s="324">
        <f t="shared" si="161"/>
        <v>0</v>
      </c>
      <c r="BD345" s="324">
        <f t="shared" si="162"/>
        <v>0</v>
      </c>
      <c r="BE345" s="324">
        <f t="shared" si="163"/>
        <v>0</v>
      </c>
      <c r="BF345" s="324">
        <f t="shared" si="164"/>
        <v>0</v>
      </c>
      <c r="BG345" s="324">
        <f t="shared" si="165"/>
        <v>0</v>
      </c>
      <c r="BH345" s="324">
        <f t="shared" si="166"/>
        <v>0</v>
      </c>
      <c r="BI345" s="324">
        <f t="shared" si="167"/>
        <v>0</v>
      </c>
      <c r="BJ345" s="324">
        <f t="shared" si="168"/>
        <v>0</v>
      </c>
      <c r="BK345" s="324">
        <f t="shared" si="169"/>
        <v>0</v>
      </c>
      <c r="BL345" s="324">
        <f t="shared" si="170"/>
        <v>0</v>
      </c>
      <c r="BM345" s="324">
        <f t="shared" si="171"/>
        <v>0</v>
      </c>
      <c r="BN345" s="324">
        <f t="shared" si="172"/>
        <v>0</v>
      </c>
      <c r="BO345" s="324">
        <f t="shared" si="173"/>
        <v>0</v>
      </c>
      <c r="BP345" s="324">
        <f t="shared" si="174"/>
        <v>0</v>
      </c>
      <c r="BQ345" s="324">
        <f t="shared" si="175"/>
        <v>0</v>
      </c>
      <c r="BR345" s="324">
        <f t="shared" si="176"/>
        <v>0</v>
      </c>
      <c r="BS345" s="324">
        <f t="shared" si="177"/>
        <v>0</v>
      </c>
      <c r="BT345" s="332">
        <f t="shared" si="178"/>
        <v>0</v>
      </c>
    </row>
    <row r="346" spans="1:72" ht="14.25">
      <c r="A346" s="297"/>
      <c r="B346" s="323"/>
      <c r="C346" s="323"/>
      <c r="D346" s="2215"/>
      <c r="E346" s="324">
        <f t="shared" si="150"/>
        <v>0</v>
      </c>
      <c r="F346" s="325"/>
      <c r="G346" s="326">
        <f t="shared" si="151"/>
        <v>0</v>
      </c>
      <c r="H346" s="327">
        <f t="shared" si="15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5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154"/>
        <v>0</v>
      </c>
      <c r="AW346" s="2210">
        <f t="shared" si="155"/>
        <v>0</v>
      </c>
      <c r="AX346" s="2210">
        <f t="shared" si="156"/>
        <v>0</v>
      </c>
      <c r="AY346" s="331">
        <f t="shared" si="157"/>
        <v>0</v>
      </c>
      <c r="AZ346" s="324">
        <f t="shared" si="158"/>
        <v>0</v>
      </c>
      <c r="BA346" s="324">
        <f t="shared" si="159"/>
        <v>0</v>
      </c>
      <c r="BB346" s="324">
        <f t="shared" si="160"/>
        <v>0</v>
      </c>
      <c r="BC346" s="324">
        <f t="shared" si="161"/>
        <v>0</v>
      </c>
      <c r="BD346" s="324">
        <f t="shared" si="162"/>
        <v>0</v>
      </c>
      <c r="BE346" s="324">
        <f t="shared" si="163"/>
        <v>0</v>
      </c>
      <c r="BF346" s="324">
        <f t="shared" si="164"/>
        <v>0</v>
      </c>
      <c r="BG346" s="324">
        <f t="shared" si="165"/>
        <v>0</v>
      </c>
      <c r="BH346" s="324">
        <f t="shared" si="166"/>
        <v>0</v>
      </c>
      <c r="BI346" s="324">
        <f t="shared" si="167"/>
        <v>0</v>
      </c>
      <c r="BJ346" s="324">
        <f t="shared" si="168"/>
        <v>0</v>
      </c>
      <c r="BK346" s="324">
        <f t="shared" si="169"/>
        <v>0</v>
      </c>
      <c r="BL346" s="324">
        <f t="shared" si="170"/>
        <v>0</v>
      </c>
      <c r="BM346" s="324">
        <f t="shared" si="171"/>
        <v>0</v>
      </c>
      <c r="BN346" s="324">
        <f t="shared" si="172"/>
        <v>0</v>
      </c>
      <c r="BO346" s="324">
        <f t="shared" si="173"/>
        <v>0</v>
      </c>
      <c r="BP346" s="324">
        <f t="shared" si="174"/>
        <v>0</v>
      </c>
      <c r="BQ346" s="324">
        <f t="shared" si="175"/>
        <v>0</v>
      </c>
      <c r="BR346" s="324">
        <f t="shared" si="176"/>
        <v>0</v>
      </c>
      <c r="BS346" s="324">
        <f t="shared" si="177"/>
        <v>0</v>
      </c>
      <c r="BT346" s="332">
        <f t="shared" si="178"/>
        <v>0</v>
      </c>
    </row>
    <row r="347" spans="1:72" ht="14.25">
      <c r="A347" s="297"/>
      <c r="B347" s="323"/>
      <c r="C347" s="323"/>
      <c r="D347" s="2215"/>
      <c r="E347" s="324">
        <f t="shared" si="150"/>
        <v>0</v>
      </c>
      <c r="F347" s="325"/>
      <c r="G347" s="326">
        <f t="shared" si="151"/>
        <v>0</v>
      </c>
      <c r="H347" s="327">
        <f t="shared" si="15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5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154"/>
        <v>0</v>
      </c>
      <c r="AW347" s="2210">
        <f t="shared" si="155"/>
        <v>0</v>
      </c>
      <c r="AX347" s="2210">
        <f t="shared" si="156"/>
        <v>0</v>
      </c>
      <c r="AY347" s="331">
        <f t="shared" si="157"/>
        <v>0</v>
      </c>
      <c r="AZ347" s="324">
        <f t="shared" si="158"/>
        <v>0</v>
      </c>
      <c r="BA347" s="324">
        <f t="shared" si="159"/>
        <v>0</v>
      </c>
      <c r="BB347" s="324">
        <f t="shared" si="160"/>
        <v>0</v>
      </c>
      <c r="BC347" s="324">
        <f t="shared" si="161"/>
        <v>0</v>
      </c>
      <c r="BD347" s="324">
        <f t="shared" si="162"/>
        <v>0</v>
      </c>
      <c r="BE347" s="324">
        <f t="shared" si="163"/>
        <v>0</v>
      </c>
      <c r="BF347" s="324">
        <f t="shared" si="164"/>
        <v>0</v>
      </c>
      <c r="BG347" s="324">
        <f t="shared" si="165"/>
        <v>0</v>
      </c>
      <c r="BH347" s="324">
        <f t="shared" si="166"/>
        <v>0</v>
      </c>
      <c r="BI347" s="324">
        <f t="shared" si="167"/>
        <v>0</v>
      </c>
      <c r="BJ347" s="324">
        <f t="shared" si="168"/>
        <v>0</v>
      </c>
      <c r="BK347" s="324">
        <f t="shared" si="169"/>
        <v>0</v>
      </c>
      <c r="BL347" s="324">
        <f t="shared" si="170"/>
        <v>0</v>
      </c>
      <c r="BM347" s="324">
        <f t="shared" si="171"/>
        <v>0</v>
      </c>
      <c r="BN347" s="324">
        <f t="shared" si="172"/>
        <v>0</v>
      </c>
      <c r="BO347" s="324">
        <f t="shared" si="173"/>
        <v>0</v>
      </c>
      <c r="BP347" s="324">
        <f t="shared" si="174"/>
        <v>0</v>
      </c>
      <c r="BQ347" s="324">
        <f t="shared" si="175"/>
        <v>0</v>
      </c>
      <c r="BR347" s="324">
        <f t="shared" si="176"/>
        <v>0</v>
      </c>
      <c r="BS347" s="324">
        <f t="shared" si="177"/>
        <v>0</v>
      </c>
      <c r="BT347" s="332">
        <f t="shared" si="178"/>
        <v>0</v>
      </c>
    </row>
    <row r="348" spans="1:72" ht="14.25">
      <c r="A348" s="297"/>
      <c r="B348" s="323"/>
      <c r="C348" s="323"/>
      <c r="D348" s="2215"/>
      <c r="E348" s="324">
        <f t="shared" si="150"/>
        <v>0</v>
      </c>
      <c r="F348" s="325"/>
      <c r="G348" s="326">
        <f t="shared" si="151"/>
        <v>0</v>
      </c>
      <c r="H348" s="327">
        <f t="shared" si="15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5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154"/>
        <v>0</v>
      </c>
      <c r="AW348" s="2210">
        <f t="shared" si="155"/>
        <v>0</v>
      </c>
      <c r="AX348" s="2210">
        <f t="shared" si="156"/>
        <v>0</v>
      </c>
      <c r="AY348" s="331">
        <f t="shared" si="157"/>
        <v>0</v>
      </c>
      <c r="AZ348" s="324">
        <f t="shared" si="158"/>
        <v>0</v>
      </c>
      <c r="BA348" s="324">
        <f t="shared" si="159"/>
        <v>0</v>
      </c>
      <c r="BB348" s="324">
        <f t="shared" si="160"/>
        <v>0</v>
      </c>
      <c r="BC348" s="324">
        <f t="shared" si="161"/>
        <v>0</v>
      </c>
      <c r="BD348" s="324">
        <f t="shared" si="162"/>
        <v>0</v>
      </c>
      <c r="BE348" s="324">
        <f t="shared" si="163"/>
        <v>0</v>
      </c>
      <c r="BF348" s="324">
        <f t="shared" si="164"/>
        <v>0</v>
      </c>
      <c r="BG348" s="324">
        <f t="shared" si="165"/>
        <v>0</v>
      </c>
      <c r="BH348" s="324">
        <f t="shared" si="166"/>
        <v>0</v>
      </c>
      <c r="BI348" s="324">
        <f t="shared" si="167"/>
        <v>0</v>
      </c>
      <c r="BJ348" s="324">
        <f t="shared" si="168"/>
        <v>0</v>
      </c>
      <c r="BK348" s="324">
        <f t="shared" si="169"/>
        <v>0</v>
      </c>
      <c r="BL348" s="324">
        <f t="shared" si="170"/>
        <v>0</v>
      </c>
      <c r="BM348" s="324">
        <f t="shared" si="171"/>
        <v>0</v>
      </c>
      <c r="BN348" s="324">
        <f t="shared" si="172"/>
        <v>0</v>
      </c>
      <c r="BO348" s="324">
        <f t="shared" si="173"/>
        <v>0</v>
      </c>
      <c r="BP348" s="324">
        <f t="shared" si="174"/>
        <v>0</v>
      </c>
      <c r="BQ348" s="324">
        <f t="shared" si="175"/>
        <v>0</v>
      </c>
      <c r="BR348" s="324">
        <f t="shared" si="176"/>
        <v>0</v>
      </c>
      <c r="BS348" s="324">
        <f t="shared" si="177"/>
        <v>0</v>
      </c>
      <c r="BT348" s="332">
        <f t="shared" si="178"/>
        <v>0</v>
      </c>
    </row>
    <row r="349" spans="1:72" ht="14.25">
      <c r="A349" s="297"/>
      <c r="B349" s="323"/>
      <c r="C349" s="323"/>
      <c r="D349" s="2215"/>
      <c r="E349" s="324">
        <f t="shared" si="150"/>
        <v>0</v>
      </c>
      <c r="F349" s="325"/>
      <c r="G349" s="326">
        <f t="shared" si="151"/>
        <v>0</v>
      </c>
      <c r="H349" s="327">
        <f t="shared" si="15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5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154"/>
        <v>0</v>
      </c>
      <c r="AW349" s="2210">
        <f t="shared" si="155"/>
        <v>0</v>
      </c>
      <c r="AX349" s="2210">
        <f t="shared" si="156"/>
        <v>0</v>
      </c>
      <c r="AY349" s="331">
        <f t="shared" si="157"/>
        <v>0</v>
      </c>
      <c r="AZ349" s="324">
        <f t="shared" si="158"/>
        <v>0</v>
      </c>
      <c r="BA349" s="324">
        <f t="shared" si="159"/>
        <v>0</v>
      </c>
      <c r="BB349" s="324">
        <f t="shared" si="160"/>
        <v>0</v>
      </c>
      <c r="BC349" s="324">
        <f t="shared" si="161"/>
        <v>0</v>
      </c>
      <c r="BD349" s="324">
        <f t="shared" si="162"/>
        <v>0</v>
      </c>
      <c r="BE349" s="324">
        <f t="shared" si="163"/>
        <v>0</v>
      </c>
      <c r="BF349" s="324">
        <f t="shared" si="164"/>
        <v>0</v>
      </c>
      <c r="BG349" s="324">
        <f t="shared" si="165"/>
        <v>0</v>
      </c>
      <c r="BH349" s="324">
        <f t="shared" si="166"/>
        <v>0</v>
      </c>
      <c r="BI349" s="324">
        <f t="shared" si="167"/>
        <v>0</v>
      </c>
      <c r="BJ349" s="324">
        <f t="shared" si="168"/>
        <v>0</v>
      </c>
      <c r="BK349" s="324">
        <f t="shared" si="169"/>
        <v>0</v>
      </c>
      <c r="BL349" s="324">
        <f t="shared" si="170"/>
        <v>0</v>
      </c>
      <c r="BM349" s="324">
        <f t="shared" si="171"/>
        <v>0</v>
      </c>
      <c r="BN349" s="324">
        <f t="shared" si="172"/>
        <v>0</v>
      </c>
      <c r="BO349" s="324">
        <f t="shared" si="173"/>
        <v>0</v>
      </c>
      <c r="BP349" s="324">
        <f t="shared" si="174"/>
        <v>0</v>
      </c>
      <c r="BQ349" s="324">
        <f t="shared" si="175"/>
        <v>0</v>
      </c>
      <c r="BR349" s="324">
        <f t="shared" si="176"/>
        <v>0</v>
      </c>
      <c r="BS349" s="324">
        <f t="shared" si="177"/>
        <v>0</v>
      </c>
      <c r="BT349" s="332">
        <f t="shared" si="178"/>
        <v>0</v>
      </c>
    </row>
    <row r="350" spans="1:72" ht="14.25">
      <c r="A350" s="297"/>
      <c r="B350" s="323"/>
      <c r="C350" s="323"/>
      <c r="D350" s="2215"/>
      <c r="E350" s="324">
        <f t="shared" si="150"/>
        <v>0</v>
      </c>
      <c r="F350" s="325"/>
      <c r="G350" s="326">
        <f t="shared" si="151"/>
        <v>0</v>
      </c>
      <c r="H350" s="327">
        <f t="shared" si="15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5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154"/>
        <v>0</v>
      </c>
      <c r="AW350" s="2210">
        <f t="shared" si="155"/>
        <v>0</v>
      </c>
      <c r="AX350" s="2210">
        <f t="shared" si="156"/>
        <v>0</v>
      </c>
      <c r="AY350" s="331">
        <f t="shared" si="157"/>
        <v>0</v>
      </c>
      <c r="AZ350" s="324">
        <f t="shared" si="158"/>
        <v>0</v>
      </c>
      <c r="BA350" s="324">
        <f t="shared" si="159"/>
        <v>0</v>
      </c>
      <c r="BB350" s="324">
        <f t="shared" si="160"/>
        <v>0</v>
      </c>
      <c r="BC350" s="324">
        <f t="shared" si="161"/>
        <v>0</v>
      </c>
      <c r="BD350" s="324">
        <f t="shared" si="162"/>
        <v>0</v>
      </c>
      <c r="BE350" s="324">
        <f t="shared" si="163"/>
        <v>0</v>
      </c>
      <c r="BF350" s="324">
        <f t="shared" si="164"/>
        <v>0</v>
      </c>
      <c r="BG350" s="324">
        <f t="shared" si="165"/>
        <v>0</v>
      </c>
      <c r="BH350" s="324">
        <f t="shared" si="166"/>
        <v>0</v>
      </c>
      <c r="BI350" s="324">
        <f t="shared" si="167"/>
        <v>0</v>
      </c>
      <c r="BJ350" s="324">
        <f t="shared" si="168"/>
        <v>0</v>
      </c>
      <c r="BK350" s="324">
        <f t="shared" si="169"/>
        <v>0</v>
      </c>
      <c r="BL350" s="324">
        <f t="shared" si="170"/>
        <v>0</v>
      </c>
      <c r="BM350" s="324">
        <f t="shared" si="171"/>
        <v>0</v>
      </c>
      <c r="BN350" s="324">
        <f t="shared" si="172"/>
        <v>0</v>
      </c>
      <c r="BO350" s="324">
        <f t="shared" si="173"/>
        <v>0</v>
      </c>
      <c r="BP350" s="324">
        <f t="shared" si="174"/>
        <v>0</v>
      </c>
      <c r="BQ350" s="324">
        <f t="shared" si="175"/>
        <v>0</v>
      </c>
      <c r="BR350" s="324">
        <f t="shared" si="176"/>
        <v>0</v>
      </c>
      <c r="BS350" s="324">
        <f t="shared" si="177"/>
        <v>0</v>
      </c>
      <c r="BT350" s="332">
        <f t="shared" si="178"/>
        <v>0</v>
      </c>
    </row>
    <row r="351" spans="1:72" ht="14.25">
      <c r="A351" s="297"/>
      <c r="B351" s="323"/>
      <c r="C351" s="323"/>
      <c r="D351" s="2215"/>
      <c r="E351" s="324">
        <f t="shared" si="150"/>
        <v>0</v>
      </c>
      <c r="F351" s="325"/>
      <c r="G351" s="326">
        <f t="shared" si="151"/>
        <v>0</v>
      </c>
      <c r="H351" s="327">
        <f t="shared" si="15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5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154"/>
        <v>0</v>
      </c>
      <c r="AW351" s="2210">
        <f t="shared" si="155"/>
        <v>0</v>
      </c>
      <c r="AX351" s="2210">
        <f t="shared" si="156"/>
        <v>0</v>
      </c>
      <c r="AY351" s="331">
        <f t="shared" si="157"/>
        <v>0</v>
      </c>
      <c r="AZ351" s="324">
        <f t="shared" si="158"/>
        <v>0</v>
      </c>
      <c r="BA351" s="324">
        <f t="shared" si="159"/>
        <v>0</v>
      </c>
      <c r="BB351" s="324">
        <f t="shared" si="160"/>
        <v>0</v>
      </c>
      <c r="BC351" s="324">
        <f t="shared" si="161"/>
        <v>0</v>
      </c>
      <c r="BD351" s="324">
        <f t="shared" si="162"/>
        <v>0</v>
      </c>
      <c r="BE351" s="324">
        <f t="shared" si="163"/>
        <v>0</v>
      </c>
      <c r="BF351" s="324">
        <f t="shared" si="164"/>
        <v>0</v>
      </c>
      <c r="BG351" s="324">
        <f t="shared" si="165"/>
        <v>0</v>
      </c>
      <c r="BH351" s="324">
        <f t="shared" si="166"/>
        <v>0</v>
      </c>
      <c r="BI351" s="324">
        <f t="shared" si="167"/>
        <v>0</v>
      </c>
      <c r="BJ351" s="324">
        <f t="shared" si="168"/>
        <v>0</v>
      </c>
      <c r="BK351" s="324">
        <f t="shared" si="169"/>
        <v>0</v>
      </c>
      <c r="BL351" s="324">
        <f t="shared" si="170"/>
        <v>0</v>
      </c>
      <c r="BM351" s="324">
        <f t="shared" si="171"/>
        <v>0</v>
      </c>
      <c r="BN351" s="324">
        <f t="shared" si="172"/>
        <v>0</v>
      </c>
      <c r="BO351" s="324">
        <f t="shared" si="173"/>
        <v>0</v>
      </c>
      <c r="BP351" s="324">
        <f t="shared" si="174"/>
        <v>0</v>
      </c>
      <c r="BQ351" s="324">
        <f t="shared" si="175"/>
        <v>0</v>
      </c>
      <c r="BR351" s="324">
        <f t="shared" si="176"/>
        <v>0</v>
      </c>
      <c r="BS351" s="324">
        <f t="shared" si="177"/>
        <v>0</v>
      </c>
      <c r="BT351" s="332">
        <f t="shared" si="178"/>
        <v>0</v>
      </c>
    </row>
    <row r="352" spans="1:72" ht="14.25">
      <c r="A352" s="297"/>
      <c r="B352" s="323"/>
      <c r="C352" s="323"/>
      <c r="D352" s="2215"/>
      <c r="E352" s="324">
        <f t="shared" si="150"/>
        <v>0</v>
      </c>
      <c r="F352" s="325"/>
      <c r="G352" s="326">
        <f t="shared" si="151"/>
        <v>0</v>
      </c>
      <c r="H352" s="327">
        <f t="shared" si="15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5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154"/>
        <v>0</v>
      </c>
      <c r="AW352" s="2210">
        <f t="shared" si="155"/>
        <v>0</v>
      </c>
      <c r="AX352" s="2210">
        <f t="shared" si="156"/>
        <v>0</v>
      </c>
      <c r="AY352" s="331">
        <f t="shared" si="157"/>
        <v>0</v>
      </c>
      <c r="AZ352" s="324">
        <f t="shared" si="158"/>
        <v>0</v>
      </c>
      <c r="BA352" s="324">
        <f t="shared" si="159"/>
        <v>0</v>
      </c>
      <c r="BB352" s="324">
        <f t="shared" si="160"/>
        <v>0</v>
      </c>
      <c r="BC352" s="324">
        <f t="shared" si="161"/>
        <v>0</v>
      </c>
      <c r="BD352" s="324">
        <f t="shared" si="162"/>
        <v>0</v>
      </c>
      <c r="BE352" s="324">
        <f t="shared" si="163"/>
        <v>0</v>
      </c>
      <c r="BF352" s="324">
        <f t="shared" si="164"/>
        <v>0</v>
      </c>
      <c r="BG352" s="324">
        <f t="shared" si="165"/>
        <v>0</v>
      </c>
      <c r="BH352" s="324">
        <f t="shared" si="166"/>
        <v>0</v>
      </c>
      <c r="BI352" s="324">
        <f t="shared" si="167"/>
        <v>0</v>
      </c>
      <c r="BJ352" s="324">
        <f t="shared" si="168"/>
        <v>0</v>
      </c>
      <c r="BK352" s="324">
        <f t="shared" si="169"/>
        <v>0</v>
      </c>
      <c r="BL352" s="324">
        <f t="shared" si="170"/>
        <v>0</v>
      </c>
      <c r="BM352" s="324">
        <f t="shared" si="171"/>
        <v>0</v>
      </c>
      <c r="BN352" s="324">
        <f t="shared" si="172"/>
        <v>0</v>
      </c>
      <c r="BO352" s="324">
        <f t="shared" si="173"/>
        <v>0</v>
      </c>
      <c r="BP352" s="324">
        <f t="shared" si="174"/>
        <v>0</v>
      </c>
      <c r="BQ352" s="324">
        <f t="shared" si="175"/>
        <v>0</v>
      </c>
      <c r="BR352" s="324">
        <f t="shared" si="176"/>
        <v>0</v>
      </c>
      <c r="BS352" s="324">
        <f t="shared" si="177"/>
        <v>0</v>
      </c>
      <c r="BT352" s="332">
        <f t="shared" si="178"/>
        <v>0</v>
      </c>
    </row>
    <row r="353" spans="1:72" ht="14.25">
      <c r="A353" s="297"/>
      <c r="B353" s="323"/>
      <c r="C353" s="323"/>
      <c r="D353" s="2215"/>
      <c r="E353" s="324">
        <f t="shared" si="150"/>
        <v>0</v>
      </c>
      <c r="F353" s="325"/>
      <c r="G353" s="326">
        <f t="shared" si="151"/>
        <v>0</v>
      </c>
      <c r="H353" s="327">
        <f t="shared" si="15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5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154"/>
        <v>0</v>
      </c>
      <c r="AW353" s="2210">
        <f t="shared" si="155"/>
        <v>0</v>
      </c>
      <c r="AX353" s="2210">
        <f t="shared" si="156"/>
        <v>0</v>
      </c>
      <c r="AY353" s="331">
        <f t="shared" si="157"/>
        <v>0</v>
      </c>
      <c r="AZ353" s="324">
        <f t="shared" si="158"/>
        <v>0</v>
      </c>
      <c r="BA353" s="324">
        <f t="shared" si="159"/>
        <v>0</v>
      </c>
      <c r="BB353" s="324">
        <f t="shared" si="160"/>
        <v>0</v>
      </c>
      <c r="BC353" s="324">
        <f t="shared" si="161"/>
        <v>0</v>
      </c>
      <c r="BD353" s="324">
        <f t="shared" si="162"/>
        <v>0</v>
      </c>
      <c r="BE353" s="324">
        <f t="shared" si="163"/>
        <v>0</v>
      </c>
      <c r="BF353" s="324">
        <f t="shared" si="164"/>
        <v>0</v>
      </c>
      <c r="BG353" s="324">
        <f t="shared" si="165"/>
        <v>0</v>
      </c>
      <c r="BH353" s="324">
        <f t="shared" si="166"/>
        <v>0</v>
      </c>
      <c r="BI353" s="324">
        <f t="shared" si="167"/>
        <v>0</v>
      </c>
      <c r="BJ353" s="324">
        <f t="shared" si="168"/>
        <v>0</v>
      </c>
      <c r="BK353" s="324">
        <f t="shared" si="169"/>
        <v>0</v>
      </c>
      <c r="BL353" s="324">
        <f t="shared" si="170"/>
        <v>0</v>
      </c>
      <c r="BM353" s="324">
        <f t="shared" si="171"/>
        <v>0</v>
      </c>
      <c r="BN353" s="324">
        <f t="shared" si="172"/>
        <v>0</v>
      </c>
      <c r="BO353" s="324">
        <f t="shared" si="173"/>
        <v>0</v>
      </c>
      <c r="BP353" s="324">
        <f t="shared" si="174"/>
        <v>0</v>
      </c>
      <c r="BQ353" s="324">
        <f t="shared" si="175"/>
        <v>0</v>
      </c>
      <c r="BR353" s="324">
        <f t="shared" si="176"/>
        <v>0</v>
      </c>
      <c r="BS353" s="324">
        <f t="shared" si="177"/>
        <v>0</v>
      </c>
      <c r="BT353" s="332">
        <f t="shared" si="178"/>
        <v>0</v>
      </c>
    </row>
    <row r="354" spans="1:72" ht="14.25">
      <c r="A354" s="297"/>
      <c r="B354" s="323"/>
      <c r="C354" s="323"/>
      <c r="D354" s="2215"/>
      <c r="E354" s="324">
        <f t="shared" si="150"/>
        <v>0</v>
      </c>
      <c r="F354" s="325"/>
      <c r="G354" s="326">
        <f t="shared" si="151"/>
        <v>0</v>
      </c>
      <c r="H354" s="327">
        <f t="shared" si="15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5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154"/>
        <v>0</v>
      </c>
      <c r="AW354" s="2210">
        <f t="shared" si="155"/>
        <v>0</v>
      </c>
      <c r="AX354" s="2210">
        <f t="shared" si="156"/>
        <v>0</v>
      </c>
      <c r="AY354" s="331">
        <f t="shared" si="157"/>
        <v>0</v>
      </c>
      <c r="AZ354" s="324">
        <f t="shared" si="158"/>
        <v>0</v>
      </c>
      <c r="BA354" s="324">
        <f t="shared" si="159"/>
        <v>0</v>
      </c>
      <c r="BB354" s="324">
        <f t="shared" si="160"/>
        <v>0</v>
      </c>
      <c r="BC354" s="324">
        <f t="shared" si="161"/>
        <v>0</v>
      </c>
      <c r="BD354" s="324">
        <f t="shared" si="162"/>
        <v>0</v>
      </c>
      <c r="BE354" s="324">
        <f t="shared" si="163"/>
        <v>0</v>
      </c>
      <c r="BF354" s="324">
        <f t="shared" si="164"/>
        <v>0</v>
      </c>
      <c r="BG354" s="324">
        <f t="shared" si="165"/>
        <v>0</v>
      </c>
      <c r="BH354" s="324">
        <f t="shared" si="166"/>
        <v>0</v>
      </c>
      <c r="BI354" s="324">
        <f t="shared" si="167"/>
        <v>0</v>
      </c>
      <c r="BJ354" s="324">
        <f t="shared" si="168"/>
        <v>0</v>
      </c>
      <c r="BK354" s="324">
        <f t="shared" si="169"/>
        <v>0</v>
      </c>
      <c r="BL354" s="324">
        <f t="shared" si="170"/>
        <v>0</v>
      </c>
      <c r="BM354" s="324">
        <f t="shared" si="171"/>
        <v>0</v>
      </c>
      <c r="BN354" s="324">
        <f t="shared" si="172"/>
        <v>0</v>
      </c>
      <c r="BO354" s="324">
        <f t="shared" si="173"/>
        <v>0</v>
      </c>
      <c r="BP354" s="324">
        <f t="shared" si="174"/>
        <v>0</v>
      </c>
      <c r="BQ354" s="324">
        <f t="shared" si="175"/>
        <v>0</v>
      </c>
      <c r="BR354" s="324">
        <f t="shared" si="176"/>
        <v>0</v>
      </c>
      <c r="BS354" s="324">
        <f t="shared" si="177"/>
        <v>0</v>
      </c>
      <c r="BT354" s="332">
        <f t="shared" si="178"/>
        <v>0</v>
      </c>
    </row>
    <row r="355" spans="1:72" ht="14.25">
      <c r="A355" s="297"/>
      <c r="B355" s="323"/>
      <c r="C355" s="323"/>
      <c r="D355" s="2215"/>
      <c r="E355" s="324">
        <f t="shared" si="150"/>
        <v>0</v>
      </c>
      <c r="F355" s="325"/>
      <c r="G355" s="326">
        <f t="shared" si="151"/>
        <v>0</v>
      </c>
      <c r="H355" s="327">
        <f t="shared" si="15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5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154"/>
        <v>0</v>
      </c>
      <c r="AW355" s="2210">
        <f t="shared" si="155"/>
        <v>0</v>
      </c>
      <c r="AX355" s="2210">
        <f t="shared" si="156"/>
        <v>0</v>
      </c>
      <c r="AY355" s="331">
        <f t="shared" si="157"/>
        <v>0</v>
      </c>
      <c r="AZ355" s="324">
        <f t="shared" si="158"/>
        <v>0</v>
      </c>
      <c r="BA355" s="324">
        <f t="shared" si="159"/>
        <v>0</v>
      </c>
      <c r="BB355" s="324">
        <f t="shared" si="160"/>
        <v>0</v>
      </c>
      <c r="BC355" s="324">
        <f t="shared" si="161"/>
        <v>0</v>
      </c>
      <c r="BD355" s="324">
        <f t="shared" si="162"/>
        <v>0</v>
      </c>
      <c r="BE355" s="324">
        <f t="shared" si="163"/>
        <v>0</v>
      </c>
      <c r="BF355" s="324">
        <f t="shared" si="164"/>
        <v>0</v>
      </c>
      <c r="BG355" s="324">
        <f t="shared" si="165"/>
        <v>0</v>
      </c>
      <c r="BH355" s="324">
        <f t="shared" si="166"/>
        <v>0</v>
      </c>
      <c r="BI355" s="324">
        <f t="shared" si="167"/>
        <v>0</v>
      </c>
      <c r="BJ355" s="324">
        <f t="shared" si="168"/>
        <v>0</v>
      </c>
      <c r="BK355" s="324">
        <f t="shared" si="169"/>
        <v>0</v>
      </c>
      <c r="BL355" s="324">
        <f t="shared" si="170"/>
        <v>0</v>
      </c>
      <c r="BM355" s="324">
        <f t="shared" si="171"/>
        <v>0</v>
      </c>
      <c r="BN355" s="324">
        <f t="shared" si="172"/>
        <v>0</v>
      </c>
      <c r="BO355" s="324">
        <f t="shared" si="173"/>
        <v>0</v>
      </c>
      <c r="BP355" s="324">
        <f t="shared" si="174"/>
        <v>0</v>
      </c>
      <c r="BQ355" s="324">
        <f t="shared" si="175"/>
        <v>0</v>
      </c>
      <c r="BR355" s="324">
        <f t="shared" si="176"/>
        <v>0</v>
      </c>
      <c r="BS355" s="324">
        <f t="shared" si="177"/>
        <v>0</v>
      </c>
      <c r="BT355" s="332">
        <f t="shared" si="178"/>
        <v>0</v>
      </c>
    </row>
    <row r="356" spans="1:72" ht="14.25">
      <c r="A356" s="297"/>
      <c r="B356" s="323"/>
      <c r="C356" s="323"/>
      <c r="D356" s="2215"/>
      <c r="E356" s="324">
        <f t="shared" si="150"/>
        <v>0</v>
      </c>
      <c r="F356" s="325"/>
      <c r="G356" s="326">
        <f t="shared" si="151"/>
        <v>0</v>
      </c>
      <c r="H356" s="327">
        <f t="shared" si="15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5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154"/>
        <v>0</v>
      </c>
      <c r="AW356" s="2210">
        <f t="shared" si="155"/>
        <v>0</v>
      </c>
      <c r="AX356" s="2210">
        <f t="shared" si="156"/>
        <v>0</v>
      </c>
      <c r="AY356" s="331">
        <f t="shared" si="157"/>
        <v>0</v>
      </c>
      <c r="AZ356" s="324">
        <f t="shared" si="158"/>
        <v>0</v>
      </c>
      <c r="BA356" s="324">
        <f t="shared" si="159"/>
        <v>0</v>
      </c>
      <c r="BB356" s="324">
        <f t="shared" si="160"/>
        <v>0</v>
      </c>
      <c r="BC356" s="324">
        <f t="shared" si="161"/>
        <v>0</v>
      </c>
      <c r="BD356" s="324">
        <f t="shared" si="162"/>
        <v>0</v>
      </c>
      <c r="BE356" s="324">
        <f t="shared" si="163"/>
        <v>0</v>
      </c>
      <c r="BF356" s="324">
        <f t="shared" si="164"/>
        <v>0</v>
      </c>
      <c r="BG356" s="324">
        <f t="shared" si="165"/>
        <v>0</v>
      </c>
      <c r="BH356" s="324">
        <f t="shared" si="166"/>
        <v>0</v>
      </c>
      <c r="BI356" s="324">
        <f t="shared" si="167"/>
        <v>0</v>
      </c>
      <c r="BJ356" s="324">
        <f t="shared" si="168"/>
        <v>0</v>
      </c>
      <c r="BK356" s="324">
        <f t="shared" si="169"/>
        <v>0</v>
      </c>
      <c r="BL356" s="324">
        <f t="shared" si="170"/>
        <v>0</v>
      </c>
      <c r="BM356" s="324">
        <f t="shared" si="171"/>
        <v>0</v>
      </c>
      <c r="BN356" s="324">
        <f t="shared" si="172"/>
        <v>0</v>
      </c>
      <c r="BO356" s="324">
        <f t="shared" si="173"/>
        <v>0</v>
      </c>
      <c r="BP356" s="324">
        <f t="shared" si="174"/>
        <v>0</v>
      </c>
      <c r="BQ356" s="324">
        <f t="shared" si="175"/>
        <v>0</v>
      </c>
      <c r="BR356" s="324">
        <f t="shared" si="176"/>
        <v>0</v>
      </c>
      <c r="BS356" s="324">
        <f t="shared" si="177"/>
        <v>0</v>
      </c>
      <c r="BT356" s="332">
        <f t="shared" si="178"/>
        <v>0</v>
      </c>
    </row>
    <row r="357" spans="1:72" ht="14.25">
      <c r="A357" s="297"/>
      <c r="B357" s="323"/>
      <c r="C357" s="323"/>
      <c r="D357" s="2215"/>
      <c r="E357" s="324">
        <f t="shared" si="150"/>
        <v>0</v>
      </c>
      <c r="F357" s="325"/>
      <c r="G357" s="326">
        <f t="shared" si="151"/>
        <v>0</v>
      </c>
      <c r="H357" s="327">
        <f t="shared" si="15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5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154"/>
        <v>0</v>
      </c>
      <c r="AW357" s="2210">
        <f t="shared" si="155"/>
        <v>0</v>
      </c>
      <c r="AX357" s="2210">
        <f t="shared" si="156"/>
        <v>0</v>
      </c>
      <c r="AY357" s="331">
        <f t="shared" si="157"/>
        <v>0</v>
      </c>
      <c r="AZ357" s="324">
        <f t="shared" si="158"/>
        <v>0</v>
      </c>
      <c r="BA357" s="324">
        <f t="shared" si="159"/>
        <v>0</v>
      </c>
      <c r="BB357" s="324">
        <f t="shared" si="160"/>
        <v>0</v>
      </c>
      <c r="BC357" s="324">
        <f t="shared" si="161"/>
        <v>0</v>
      </c>
      <c r="BD357" s="324">
        <f t="shared" si="162"/>
        <v>0</v>
      </c>
      <c r="BE357" s="324">
        <f t="shared" si="163"/>
        <v>0</v>
      </c>
      <c r="BF357" s="324">
        <f t="shared" si="164"/>
        <v>0</v>
      </c>
      <c r="BG357" s="324">
        <f t="shared" si="165"/>
        <v>0</v>
      </c>
      <c r="BH357" s="324">
        <f t="shared" si="166"/>
        <v>0</v>
      </c>
      <c r="BI357" s="324">
        <f t="shared" si="167"/>
        <v>0</v>
      </c>
      <c r="BJ357" s="324">
        <f t="shared" si="168"/>
        <v>0</v>
      </c>
      <c r="BK357" s="324">
        <f t="shared" si="169"/>
        <v>0</v>
      </c>
      <c r="BL357" s="324">
        <f t="shared" si="170"/>
        <v>0</v>
      </c>
      <c r="BM357" s="324">
        <f t="shared" si="171"/>
        <v>0</v>
      </c>
      <c r="BN357" s="324">
        <f t="shared" si="172"/>
        <v>0</v>
      </c>
      <c r="BO357" s="324">
        <f t="shared" si="173"/>
        <v>0</v>
      </c>
      <c r="BP357" s="324">
        <f t="shared" si="174"/>
        <v>0</v>
      </c>
      <c r="BQ357" s="324">
        <f t="shared" si="175"/>
        <v>0</v>
      </c>
      <c r="BR357" s="324">
        <f t="shared" si="176"/>
        <v>0</v>
      </c>
      <c r="BS357" s="324">
        <f t="shared" si="177"/>
        <v>0</v>
      </c>
      <c r="BT357" s="332">
        <f t="shared" si="178"/>
        <v>0</v>
      </c>
    </row>
    <row r="358" spans="1:72" ht="14.25">
      <c r="A358" s="297"/>
      <c r="B358" s="323"/>
      <c r="C358" s="323"/>
      <c r="D358" s="2215"/>
      <c r="E358" s="324">
        <f t="shared" si="150"/>
        <v>0</v>
      </c>
      <c r="F358" s="325"/>
      <c r="G358" s="326">
        <f t="shared" si="151"/>
        <v>0</v>
      </c>
      <c r="H358" s="327">
        <f t="shared" si="15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5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154"/>
        <v>0</v>
      </c>
      <c r="AW358" s="2210">
        <f t="shared" si="155"/>
        <v>0</v>
      </c>
      <c r="AX358" s="2210">
        <f t="shared" si="156"/>
        <v>0</v>
      </c>
      <c r="AY358" s="331">
        <f t="shared" si="157"/>
        <v>0</v>
      </c>
      <c r="AZ358" s="324">
        <f t="shared" si="158"/>
        <v>0</v>
      </c>
      <c r="BA358" s="324">
        <f t="shared" si="159"/>
        <v>0</v>
      </c>
      <c r="BB358" s="324">
        <f t="shared" si="160"/>
        <v>0</v>
      </c>
      <c r="BC358" s="324">
        <f t="shared" si="161"/>
        <v>0</v>
      </c>
      <c r="BD358" s="324">
        <f t="shared" si="162"/>
        <v>0</v>
      </c>
      <c r="BE358" s="324">
        <f t="shared" si="163"/>
        <v>0</v>
      </c>
      <c r="BF358" s="324">
        <f t="shared" si="164"/>
        <v>0</v>
      </c>
      <c r="BG358" s="324">
        <f t="shared" si="165"/>
        <v>0</v>
      </c>
      <c r="BH358" s="324">
        <f t="shared" si="166"/>
        <v>0</v>
      </c>
      <c r="BI358" s="324">
        <f t="shared" si="167"/>
        <v>0</v>
      </c>
      <c r="BJ358" s="324">
        <f t="shared" si="168"/>
        <v>0</v>
      </c>
      <c r="BK358" s="324">
        <f t="shared" si="169"/>
        <v>0</v>
      </c>
      <c r="BL358" s="324">
        <f t="shared" si="170"/>
        <v>0</v>
      </c>
      <c r="BM358" s="324">
        <f t="shared" si="171"/>
        <v>0</v>
      </c>
      <c r="BN358" s="324">
        <f t="shared" si="172"/>
        <v>0</v>
      </c>
      <c r="BO358" s="324">
        <f t="shared" si="173"/>
        <v>0</v>
      </c>
      <c r="BP358" s="324">
        <f t="shared" si="174"/>
        <v>0</v>
      </c>
      <c r="BQ358" s="324">
        <f t="shared" si="175"/>
        <v>0</v>
      </c>
      <c r="BR358" s="324">
        <f t="shared" si="176"/>
        <v>0</v>
      </c>
      <c r="BS358" s="324">
        <f t="shared" si="177"/>
        <v>0</v>
      </c>
      <c r="BT358" s="332">
        <f t="shared" si="178"/>
        <v>0</v>
      </c>
    </row>
    <row r="359" spans="1:72" ht="14.25">
      <c r="A359" s="297"/>
      <c r="B359" s="323"/>
      <c r="C359" s="323"/>
      <c r="D359" s="2215"/>
      <c r="E359" s="324">
        <f t="shared" si="150"/>
        <v>0</v>
      </c>
      <c r="F359" s="325"/>
      <c r="G359" s="326">
        <f t="shared" si="151"/>
        <v>0</v>
      </c>
      <c r="H359" s="327">
        <f t="shared" si="15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5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154"/>
        <v>0</v>
      </c>
      <c r="AW359" s="2210">
        <f t="shared" si="155"/>
        <v>0</v>
      </c>
      <c r="AX359" s="2210">
        <f t="shared" si="156"/>
        <v>0</v>
      </c>
      <c r="AY359" s="331">
        <f t="shared" si="157"/>
        <v>0</v>
      </c>
      <c r="AZ359" s="324">
        <f t="shared" si="158"/>
        <v>0</v>
      </c>
      <c r="BA359" s="324">
        <f t="shared" si="159"/>
        <v>0</v>
      </c>
      <c r="BB359" s="324">
        <f t="shared" si="160"/>
        <v>0</v>
      </c>
      <c r="BC359" s="324">
        <f t="shared" si="161"/>
        <v>0</v>
      </c>
      <c r="BD359" s="324">
        <f t="shared" si="162"/>
        <v>0</v>
      </c>
      <c r="BE359" s="324">
        <f t="shared" si="163"/>
        <v>0</v>
      </c>
      <c r="BF359" s="324">
        <f t="shared" si="164"/>
        <v>0</v>
      </c>
      <c r="BG359" s="324">
        <f t="shared" si="165"/>
        <v>0</v>
      </c>
      <c r="BH359" s="324">
        <f t="shared" si="166"/>
        <v>0</v>
      </c>
      <c r="BI359" s="324">
        <f t="shared" si="167"/>
        <v>0</v>
      </c>
      <c r="BJ359" s="324">
        <f t="shared" si="168"/>
        <v>0</v>
      </c>
      <c r="BK359" s="324">
        <f t="shared" si="169"/>
        <v>0</v>
      </c>
      <c r="BL359" s="324">
        <f t="shared" si="170"/>
        <v>0</v>
      </c>
      <c r="BM359" s="324">
        <f t="shared" si="171"/>
        <v>0</v>
      </c>
      <c r="BN359" s="324">
        <f t="shared" si="172"/>
        <v>0</v>
      </c>
      <c r="BO359" s="324">
        <f t="shared" si="173"/>
        <v>0</v>
      </c>
      <c r="BP359" s="324">
        <f t="shared" si="174"/>
        <v>0</v>
      </c>
      <c r="BQ359" s="324">
        <f t="shared" si="175"/>
        <v>0</v>
      </c>
      <c r="BR359" s="324">
        <f t="shared" si="176"/>
        <v>0</v>
      </c>
      <c r="BS359" s="324">
        <f t="shared" si="177"/>
        <v>0</v>
      </c>
      <c r="BT359" s="332">
        <f t="shared" si="178"/>
        <v>0</v>
      </c>
    </row>
    <row r="360" spans="1:72" ht="14.25">
      <c r="A360" s="297"/>
      <c r="B360" s="323"/>
      <c r="C360" s="323"/>
      <c r="D360" s="2215"/>
      <c r="E360" s="324">
        <f t="shared" si="150"/>
        <v>0</v>
      </c>
      <c r="F360" s="325"/>
      <c r="G360" s="326">
        <f t="shared" si="151"/>
        <v>0</v>
      </c>
      <c r="H360" s="327">
        <f t="shared" si="15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5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154"/>
        <v>0</v>
      </c>
      <c r="AW360" s="2210">
        <f t="shared" si="155"/>
        <v>0</v>
      </c>
      <c r="AX360" s="2210">
        <f t="shared" si="156"/>
        <v>0</v>
      </c>
      <c r="AY360" s="331">
        <f t="shared" si="157"/>
        <v>0</v>
      </c>
      <c r="AZ360" s="324">
        <f t="shared" si="158"/>
        <v>0</v>
      </c>
      <c r="BA360" s="324">
        <f t="shared" si="159"/>
        <v>0</v>
      </c>
      <c r="BB360" s="324">
        <f t="shared" si="160"/>
        <v>0</v>
      </c>
      <c r="BC360" s="324">
        <f t="shared" si="161"/>
        <v>0</v>
      </c>
      <c r="BD360" s="324">
        <f t="shared" si="162"/>
        <v>0</v>
      </c>
      <c r="BE360" s="324">
        <f t="shared" si="163"/>
        <v>0</v>
      </c>
      <c r="BF360" s="324">
        <f t="shared" si="164"/>
        <v>0</v>
      </c>
      <c r="BG360" s="324">
        <f t="shared" si="165"/>
        <v>0</v>
      </c>
      <c r="BH360" s="324">
        <f t="shared" si="166"/>
        <v>0</v>
      </c>
      <c r="BI360" s="324">
        <f t="shared" si="167"/>
        <v>0</v>
      </c>
      <c r="BJ360" s="324">
        <f t="shared" si="168"/>
        <v>0</v>
      </c>
      <c r="BK360" s="324">
        <f t="shared" si="169"/>
        <v>0</v>
      </c>
      <c r="BL360" s="324">
        <f t="shared" si="170"/>
        <v>0</v>
      </c>
      <c r="BM360" s="324">
        <f t="shared" si="171"/>
        <v>0</v>
      </c>
      <c r="BN360" s="324">
        <f t="shared" si="172"/>
        <v>0</v>
      </c>
      <c r="BO360" s="324">
        <f t="shared" si="173"/>
        <v>0</v>
      </c>
      <c r="BP360" s="324">
        <f t="shared" si="174"/>
        <v>0</v>
      </c>
      <c r="BQ360" s="324">
        <f t="shared" si="175"/>
        <v>0</v>
      </c>
      <c r="BR360" s="324">
        <f t="shared" si="176"/>
        <v>0</v>
      </c>
      <c r="BS360" s="324">
        <f t="shared" si="177"/>
        <v>0</v>
      </c>
      <c r="BT360" s="332">
        <f t="shared" si="178"/>
        <v>0</v>
      </c>
    </row>
    <row r="361" spans="1:72" ht="14.25">
      <c r="A361" s="297"/>
      <c r="B361" s="323"/>
      <c r="C361" s="323"/>
      <c r="D361" s="2215"/>
      <c r="E361" s="324">
        <f t="shared" si="150"/>
        <v>0</v>
      </c>
      <c r="F361" s="325"/>
      <c r="G361" s="326">
        <f t="shared" si="151"/>
        <v>0</v>
      </c>
      <c r="H361" s="327">
        <f t="shared" si="15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5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154"/>
        <v>0</v>
      </c>
      <c r="AW361" s="2210">
        <f t="shared" si="155"/>
        <v>0</v>
      </c>
      <c r="AX361" s="2210">
        <f t="shared" si="156"/>
        <v>0</v>
      </c>
      <c r="AY361" s="331">
        <f t="shared" si="157"/>
        <v>0</v>
      </c>
      <c r="AZ361" s="324">
        <f t="shared" si="158"/>
        <v>0</v>
      </c>
      <c r="BA361" s="324">
        <f t="shared" si="159"/>
        <v>0</v>
      </c>
      <c r="BB361" s="324">
        <f t="shared" si="160"/>
        <v>0</v>
      </c>
      <c r="BC361" s="324">
        <f t="shared" si="161"/>
        <v>0</v>
      </c>
      <c r="BD361" s="324">
        <f t="shared" si="162"/>
        <v>0</v>
      </c>
      <c r="BE361" s="324">
        <f t="shared" si="163"/>
        <v>0</v>
      </c>
      <c r="BF361" s="324">
        <f t="shared" si="164"/>
        <v>0</v>
      </c>
      <c r="BG361" s="324">
        <f t="shared" si="165"/>
        <v>0</v>
      </c>
      <c r="BH361" s="324">
        <f t="shared" si="166"/>
        <v>0</v>
      </c>
      <c r="BI361" s="324">
        <f t="shared" si="167"/>
        <v>0</v>
      </c>
      <c r="BJ361" s="324">
        <f t="shared" si="168"/>
        <v>0</v>
      </c>
      <c r="BK361" s="324">
        <f t="shared" si="169"/>
        <v>0</v>
      </c>
      <c r="BL361" s="324">
        <f t="shared" si="170"/>
        <v>0</v>
      </c>
      <c r="BM361" s="324">
        <f t="shared" si="171"/>
        <v>0</v>
      </c>
      <c r="BN361" s="324">
        <f t="shared" si="172"/>
        <v>0</v>
      </c>
      <c r="BO361" s="324">
        <f t="shared" si="173"/>
        <v>0</v>
      </c>
      <c r="BP361" s="324">
        <f t="shared" si="174"/>
        <v>0</v>
      </c>
      <c r="BQ361" s="324">
        <f t="shared" si="175"/>
        <v>0</v>
      </c>
      <c r="BR361" s="324">
        <f t="shared" si="176"/>
        <v>0</v>
      </c>
      <c r="BS361" s="324">
        <f t="shared" si="177"/>
        <v>0</v>
      </c>
      <c r="BT361" s="332">
        <f t="shared" si="178"/>
        <v>0</v>
      </c>
    </row>
    <row r="362" spans="1:72" ht="14.25">
      <c r="A362" s="297"/>
      <c r="B362" s="323"/>
      <c r="C362" s="323"/>
      <c r="D362" s="2215"/>
      <c r="E362" s="324">
        <f t="shared" si="150"/>
        <v>0</v>
      </c>
      <c r="F362" s="325"/>
      <c r="G362" s="326">
        <f t="shared" si="151"/>
        <v>0</v>
      </c>
      <c r="H362" s="327">
        <f t="shared" si="15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5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154"/>
        <v>0</v>
      </c>
      <c r="AW362" s="2210">
        <f t="shared" si="155"/>
        <v>0</v>
      </c>
      <c r="AX362" s="2210">
        <f t="shared" si="156"/>
        <v>0</v>
      </c>
      <c r="AY362" s="331">
        <f t="shared" si="157"/>
        <v>0</v>
      </c>
      <c r="AZ362" s="324">
        <f t="shared" si="158"/>
        <v>0</v>
      </c>
      <c r="BA362" s="324">
        <f t="shared" si="159"/>
        <v>0</v>
      </c>
      <c r="BB362" s="324">
        <f t="shared" si="160"/>
        <v>0</v>
      </c>
      <c r="BC362" s="324">
        <f t="shared" si="161"/>
        <v>0</v>
      </c>
      <c r="BD362" s="324">
        <f t="shared" si="162"/>
        <v>0</v>
      </c>
      <c r="BE362" s="324">
        <f t="shared" si="163"/>
        <v>0</v>
      </c>
      <c r="BF362" s="324">
        <f t="shared" si="164"/>
        <v>0</v>
      </c>
      <c r="BG362" s="324">
        <f t="shared" si="165"/>
        <v>0</v>
      </c>
      <c r="BH362" s="324">
        <f t="shared" si="166"/>
        <v>0</v>
      </c>
      <c r="BI362" s="324">
        <f t="shared" si="167"/>
        <v>0</v>
      </c>
      <c r="BJ362" s="324">
        <f t="shared" si="168"/>
        <v>0</v>
      </c>
      <c r="BK362" s="324">
        <f t="shared" si="169"/>
        <v>0</v>
      </c>
      <c r="BL362" s="324">
        <f t="shared" si="170"/>
        <v>0</v>
      </c>
      <c r="BM362" s="324">
        <f t="shared" si="171"/>
        <v>0</v>
      </c>
      <c r="BN362" s="324">
        <f t="shared" si="172"/>
        <v>0</v>
      </c>
      <c r="BO362" s="324">
        <f t="shared" si="173"/>
        <v>0</v>
      </c>
      <c r="BP362" s="324">
        <f t="shared" si="174"/>
        <v>0</v>
      </c>
      <c r="BQ362" s="324">
        <f t="shared" si="175"/>
        <v>0</v>
      </c>
      <c r="BR362" s="324">
        <f t="shared" si="176"/>
        <v>0</v>
      </c>
      <c r="BS362" s="324">
        <f t="shared" si="177"/>
        <v>0</v>
      </c>
      <c r="BT362" s="332">
        <f t="shared" si="178"/>
        <v>0</v>
      </c>
    </row>
    <row r="363" spans="1:72" ht="14.25">
      <c r="A363" s="297"/>
      <c r="B363" s="323"/>
      <c r="C363" s="323"/>
      <c r="D363" s="2215"/>
      <c r="E363" s="324">
        <f t="shared" si="150"/>
        <v>0</v>
      </c>
      <c r="F363" s="325"/>
      <c r="G363" s="326">
        <f t="shared" si="151"/>
        <v>0</v>
      </c>
      <c r="H363" s="327">
        <f t="shared" si="15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5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154"/>
        <v>0</v>
      </c>
      <c r="AW363" s="2210">
        <f t="shared" si="155"/>
        <v>0</v>
      </c>
      <c r="AX363" s="2210">
        <f t="shared" si="156"/>
        <v>0</v>
      </c>
      <c r="AY363" s="331">
        <f t="shared" si="157"/>
        <v>0</v>
      </c>
      <c r="AZ363" s="324">
        <f t="shared" si="158"/>
        <v>0</v>
      </c>
      <c r="BA363" s="324">
        <f t="shared" si="159"/>
        <v>0</v>
      </c>
      <c r="BB363" s="324">
        <f t="shared" si="160"/>
        <v>0</v>
      </c>
      <c r="BC363" s="324">
        <f t="shared" si="161"/>
        <v>0</v>
      </c>
      <c r="BD363" s="324">
        <f t="shared" si="162"/>
        <v>0</v>
      </c>
      <c r="BE363" s="324">
        <f t="shared" si="163"/>
        <v>0</v>
      </c>
      <c r="BF363" s="324">
        <f t="shared" si="164"/>
        <v>0</v>
      </c>
      <c r="BG363" s="324">
        <f t="shared" si="165"/>
        <v>0</v>
      </c>
      <c r="BH363" s="324">
        <f t="shared" si="166"/>
        <v>0</v>
      </c>
      <c r="BI363" s="324">
        <f t="shared" si="167"/>
        <v>0</v>
      </c>
      <c r="BJ363" s="324">
        <f t="shared" si="168"/>
        <v>0</v>
      </c>
      <c r="BK363" s="324">
        <f t="shared" si="169"/>
        <v>0</v>
      </c>
      <c r="BL363" s="324">
        <f t="shared" si="170"/>
        <v>0</v>
      </c>
      <c r="BM363" s="324">
        <f t="shared" si="171"/>
        <v>0</v>
      </c>
      <c r="BN363" s="324">
        <f t="shared" si="172"/>
        <v>0</v>
      </c>
      <c r="BO363" s="324">
        <f t="shared" si="173"/>
        <v>0</v>
      </c>
      <c r="BP363" s="324">
        <f t="shared" si="174"/>
        <v>0</v>
      </c>
      <c r="BQ363" s="324">
        <f t="shared" si="175"/>
        <v>0</v>
      </c>
      <c r="BR363" s="324">
        <f t="shared" si="176"/>
        <v>0</v>
      </c>
      <c r="BS363" s="324">
        <f t="shared" si="177"/>
        <v>0</v>
      </c>
      <c r="BT363" s="332">
        <f t="shared" si="178"/>
        <v>0</v>
      </c>
    </row>
    <row r="364" spans="1:72" ht="14.25">
      <c r="A364" s="297"/>
      <c r="B364" s="323"/>
      <c r="C364" s="323"/>
      <c r="D364" s="2215"/>
      <c r="E364" s="324">
        <f t="shared" si="150"/>
        <v>0</v>
      </c>
      <c r="F364" s="325"/>
      <c r="G364" s="326">
        <f t="shared" si="151"/>
        <v>0</v>
      </c>
      <c r="H364" s="327">
        <f t="shared" si="152"/>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si="153"/>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154"/>
        <v>0</v>
      </c>
      <c r="AW364" s="2210">
        <f t="shared" si="155"/>
        <v>0</v>
      </c>
      <c r="AX364" s="2210">
        <f t="shared" si="156"/>
        <v>0</v>
      </c>
      <c r="AY364" s="331">
        <f t="shared" si="157"/>
        <v>0</v>
      </c>
      <c r="AZ364" s="324">
        <f t="shared" si="158"/>
        <v>0</v>
      </c>
      <c r="BA364" s="324">
        <f t="shared" si="159"/>
        <v>0</v>
      </c>
      <c r="BB364" s="324">
        <f t="shared" si="160"/>
        <v>0</v>
      </c>
      <c r="BC364" s="324">
        <f t="shared" si="161"/>
        <v>0</v>
      </c>
      <c r="BD364" s="324">
        <f t="shared" si="162"/>
        <v>0</v>
      </c>
      <c r="BE364" s="324">
        <f t="shared" si="163"/>
        <v>0</v>
      </c>
      <c r="BF364" s="324">
        <f t="shared" si="164"/>
        <v>0</v>
      </c>
      <c r="BG364" s="324">
        <f t="shared" si="165"/>
        <v>0</v>
      </c>
      <c r="BH364" s="324">
        <f t="shared" si="166"/>
        <v>0</v>
      </c>
      <c r="BI364" s="324">
        <f t="shared" si="167"/>
        <v>0</v>
      </c>
      <c r="BJ364" s="324">
        <f t="shared" si="168"/>
        <v>0</v>
      </c>
      <c r="BK364" s="324">
        <f t="shared" si="169"/>
        <v>0</v>
      </c>
      <c r="BL364" s="324">
        <f t="shared" si="170"/>
        <v>0</v>
      </c>
      <c r="BM364" s="324">
        <f t="shared" si="171"/>
        <v>0</v>
      </c>
      <c r="BN364" s="324">
        <f t="shared" si="172"/>
        <v>0</v>
      </c>
      <c r="BO364" s="324">
        <f t="shared" si="173"/>
        <v>0</v>
      </c>
      <c r="BP364" s="324">
        <f t="shared" si="174"/>
        <v>0</v>
      </c>
      <c r="BQ364" s="324">
        <f t="shared" si="175"/>
        <v>0</v>
      </c>
      <c r="BR364" s="324">
        <f t="shared" si="176"/>
        <v>0</v>
      </c>
      <c r="BS364" s="324">
        <f t="shared" si="177"/>
        <v>0</v>
      </c>
      <c r="BT364" s="332">
        <f t="shared" si="178"/>
        <v>0</v>
      </c>
    </row>
    <row r="365" spans="1:72" ht="14.25">
      <c r="A365" s="297"/>
      <c r="B365" s="323"/>
      <c r="C365" s="323"/>
      <c r="D365" s="2215"/>
      <c r="E365" s="324">
        <f t="shared" si="150"/>
        <v>0</v>
      </c>
      <c r="F365" s="325"/>
      <c r="G365" s="326">
        <f t="shared" si="151"/>
        <v>0</v>
      </c>
      <c r="H365" s="327">
        <f t="shared" si="152"/>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153"/>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154"/>
        <v>0</v>
      </c>
      <c r="AW365" s="2210">
        <f t="shared" si="155"/>
        <v>0</v>
      </c>
      <c r="AX365" s="2210">
        <f t="shared" si="156"/>
        <v>0</v>
      </c>
      <c r="AY365" s="331">
        <f t="shared" si="157"/>
        <v>0</v>
      </c>
      <c r="AZ365" s="324">
        <f t="shared" si="158"/>
        <v>0</v>
      </c>
      <c r="BA365" s="324">
        <f t="shared" si="159"/>
        <v>0</v>
      </c>
      <c r="BB365" s="324">
        <f t="shared" si="160"/>
        <v>0</v>
      </c>
      <c r="BC365" s="324">
        <f t="shared" si="161"/>
        <v>0</v>
      </c>
      <c r="BD365" s="324">
        <f t="shared" si="162"/>
        <v>0</v>
      </c>
      <c r="BE365" s="324">
        <f t="shared" si="163"/>
        <v>0</v>
      </c>
      <c r="BF365" s="324">
        <f t="shared" si="164"/>
        <v>0</v>
      </c>
      <c r="BG365" s="324">
        <f t="shared" si="165"/>
        <v>0</v>
      </c>
      <c r="BH365" s="324">
        <f t="shared" si="166"/>
        <v>0</v>
      </c>
      <c r="BI365" s="324">
        <f t="shared" si="167"/>
        <v>0</v>
      </c>
      <c r="BJ365" s="324">
        <f t="shared" si="168"/>
        <v>0</v>
      </c>
      <c r="BK365" s="324">
        <f t="shared" si="169"/>
        <v>0</v>
      </c>
      <c r="BL365" s="324">
        <f t="shared" si="170"/>
        <v>0</v>
      </c>
      <c r="BM365" s="324">
        <f t="shared" si="171"/>
        <v>0</v>
      </c>
      <c r="BN365" s="324">
        <f t="shared" si="172"/>
        <v>0</v>
      </c>
      <c r="BO365" s="324">
        <f t="shared" si="173"/>
        <v>0</v>
      </c>
      <c r="BP365" s="324">
        <f t="shared" si="174"/>
        <v>0</v>
      </c>
      <c r="BQ365" s="324">
        <f t="shared" si="175"/>
        <v>0</v>
      </c>
      <c r="BR365" s="324">
        <f t="shared" si="176"/>
        <v>0</v>
      </c>
      <c r="BS365" s="324">
        <f t="shared" si="177"/>
        <v>0</v>
      </c>
      <c r="BT365" s="332">
        <f t="shared" si="178"/>
        <v>0</v>
      </c>
    </row>
    <row r="366" spans="1:72" ht="14.25">
      <c r="A366" s="297"/>
      <c r="B366" s="323"/>
      <c r="C366" s="323"/>
      <c r="D366" s="2215"/>
      <c r="E366" s="324">
        <f t="shared" si="150"/>
        <v>0</v>
      </c>
      <c r="F366" s="325"/>
      <c r="G366" s="326">
        <f t="shared" si="151"/>
        <v>0</v>
      </c>
      <c r="H366" s="327">
        <f t="shared" si="152"/>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153"/>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154"/>
        <v>0</v>
      </c>
      <c r="AW366" s="2210">
        <f t="shared" si="155"/>
        <v>0</v>
      </c>
      <c r="AX366" s="2210">
        <f t="shared" si="156"/>
        <v>0</v>
      </c>
      <c r="AY366" s="331">
        <f t="shared" si="157"/>
        <v>0</v>
      </c>
      <c r="AZ366" s="324">
        <f t="shared" si="158"/>
        <v>0</v>
      </c>
      <c r="BA366" s="324">
        <f t="shared" si="159"/>
        <v>0</v>
      </c>
      <c r="BB366" s="324">
        <f t="shared" si="160"/>
        <v>0</v>
      </c>
      <c r="BC366" s="324">
        <f t="shared" si="161"/>
        <v>0</v>
      </c>
      <c r="BD366" s="324">
        <f t="shared" si="162"/>
        <v>0</v>
      </c>
      <c r="BE366" s="324">
        <f t="shared" si="163"/>
        <v>0</v>
      </c>
      <c r="BF366" s="324">
        <f t="shared" si="164"/>
        <v>0</v>
      </c>
      <c r="BG366" s="324">
        <f t="shared" si="165"/>
        <v>0</v>
      </c>
      <c r="BH366" s="324">
        <f t="shared" si="166"/>
        <v>0</v>
      </c>
      <c r="BI366" s="324">
        <f t="shared" si="167"/>
        <v>0</v>
      </c>
      <c r="BJ366" s="324">
        <f t="shared" si="168"/>
        <v>0</v>
      </c>
      <c r="BK366" s="324">
        <f t="shared" si="169"/>
        <v>0</v>
      </c>
      <c r="BL366" s="324">
        <f t="shared" si="170"/>
        <v>0</v>
      </c>
      <c r="BM366" s="324">
        <f t="shared" si="171"/>
        <v>0</v>
      </c>
      <c r="BN366" s="324">
        <f t="shared" si="172"/>
        <v>0</v>
      </c>
      <c r="BO366" s="324">
        <f t="shared" si="173"/>
        <v>0</v>
      </c>
      <c r="BP366" s="324">
        <f t="shared" si="174"/>
        <v>0</v>
      </c>
      <c r="BQ366" s="324">
        <f t="shared" si="175"/>
        <v>0</v>
      </c>
      <c r="BR366" s="324">
        <f t="shared" si="176"/>
        <v>0</v>
      </c>
      <c r="BS366" s="324">
        <f t="shared" si="177"/>
        <v>0</v>
      </c>
      <c r="BT366" s="332">
        <f t="shared" si="178"/>
        <v>0</v>
      </c>
    </row>
    <row r="367" spans="1:72" ht="14.25">
      <c r="A367" s="297"/>
      <c r="B367" s="323"/>
      <c r="C367" s="323"/>
      <c r="D367" s="2215"/>
      <c r="E367" s="324">
        <f t="shared" si="150"/>
        <v>0</v>
      </c>
      <c r="F367" s="325"/>
      <c r="G367" s="326">
        <f t="shared" si="151"/>
        <v>0</v>
      </c>
      <c r="H367" s="327">
        <f t="shared" si="152"/>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153"/>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si="154"/>
        <v>0</v>
      </c>
      <c r="AW367" s="2210">
        <f t="shared" si="155"/>
        <v>0</v>
      </c>
      <c r="AX367" s="2210">
        <f t="shared" si="156"/>
        <v>0</v>
      </c>
      <c r="AY367" s="331">
        <f t="shared" si="157"/>
        <v>0</v>
      </c>
      <c r="AZ367" s="324">
        <f t="shared" si="158"/>
        <v>0</v>
      </c>
      <c r="BA367" s="324">
        <f t="shared" si="159"/>
        <v>0</v>
      </c>
      <c r="BB367" s="324">
        <f t="shared" si="160"/>
        <v>0</v>
      </c>
      <c r="BC367" s="324">
        <f t="shared" si="161"/>
        <v>0</v>
      </c>
      <c r="BD367" s="324">
        <f t="shared" si="162"/>
        <v>0</v>
      </c>
      <c r="BE367" s="324">
        <f t="shared" si="163"/>
        <v>0</v>
      </c>
      <c r="BF367" s="324">
        <f t="shared" si="164"/>
        <v>0</v>
      </c>
      <c r="BG367" s="324">
        <f t="shared" si="165"/>
        <v>0</v>
      </c>
      <c r="BH367" s="324">
        <f t="shared" si="166"/>
        <v>0</v>
      </c>
      <c r="BI367" s="324">
        <f t="shared" si="167"/>
        <v>0</v>
      </c>
      <c r="BJ367" s="324">
        <f t="shared" si="168"/>
        <v>0</v>
      </c>
      <c r="BK367" s="324">
        <f t="shared" si="169"/>
        <v>0</v>
      </c>
      <c r="BL367" s="324">
        <f t="shared" si="170"/>
        <v>0</v>
      </c>
      <c r="BM367" s="324">
        <f t="shared" si="171"/>
        <v>0</v>
      </c>
      <c r="BN367" s="324">
        <f t="shared" si="172"/>
        <v>0</v>
      </c>
      <c r="BO367" s="324">
        <f t="shared" si="173"/>
        <v>0</v>
      </c>
      <c r="BP367" s="324">
        <f t="shared" si="174"/>
        <v>0</v>
      </c>
      <c r="BQ367" s="324">
        <f t="shared" si="175"/>
        <v>0</v>
      </c>
      <c r="BR367" s="324">
        <f t="shared" si="176"/>
        <v>0</v>
      </c>
      <c r="BS367" s="324">
        <f t="shared" si="177"/>
        <v>0</v>
      </c>
      <c r="BT367" s="332">
        <f t="shared" si="178"/>
        <v>0</v>
      </c>
    </row>
    <row r="368" spans="1:72" ht="14.25">
      <c r="A368" s="297"/>
      <c r="B368" s="323"/>
      <c r="C368" s="323"/>
      <c r="D368" s="2215"/>
      <c r="E368" s="324">
        <f t="shared" si="150"/>
        <v>0</v>
      </c>
      <c r="F368" s="325"/>
      <c r="G368" s="326">
        <f t="shared" si="151"/>
        <v>0</v>
      </c>
      <c r="H368" s="327">
        <f t="shared" si="152"/>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153"/>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154"/>
        <v>0</v>
      </c>
      <c r="AW368" s="2210">
        <f t="shared" si="155"/>
        <v>0</v>
      </c>
      <c r="AX368" s="2210">
        <f t="shared" si="156"/>
        <v>0</v>
      </c>
      <c r="AY368" s="331">
        <f t="shared" si="157"/>
        <v>0</v>
      </c>
      <c r="AZ368" s="324">
        <f t="shared" si="158"/>
        <v>0</v>
      </c>
      <c r="BA368" s="324">
        <f t="shared" si="159"/>
        <v>0</v>
      </c>
      <c r="BB368" s="324">
        <f t="shared" si="160"/>
        <v>0</v>
      </c>
      <c r="BC368" s="324">
        <f t="shared" si="161"/>
        <v>0</v>
      </c>
      <c r="BD368" s="324">
        <f t="shared" si="162"/>
        <v>0</v>
      </c>
      <c r="BE368" s="324">
        <f t="shared" si="163"/>
        <v>0</v>
      </c>
      <c r="BF368" s="324">
        <f t="shared" si="164"/>
        <v>0</v>
      </c>
      <c r="BG368" s="324">
        <f t="shared" si="165"/>
        <v>0</v>
      </c>
      <c r="BH368" s="324">
        <f t="shared" si="166"/>
        <v>0</v>
      </c>
      <c r="BI368" s="324">
        <f t="shared" si="167"/>
        <v>0</v>
      </c>
      <c r="BJ368" s="324">
        <f t="shared" si="168"/>
        <v>0</v>
      </c>
      <c r="BK368" s="324">
        <f t="shared" si="169"/>
        <v>0</v>
      </c>
      <c r="BL368" s="324">
        <f t="shared" si="170"/>
        <v>0</v>
      </c>
      <c r="BM368" s="324">
        <f t="shared" si="171"/>
        <v>0</v>
      </c>
      <c r="BN368" s="324">
        <f t="shared" si="172"/>
        <v>0</v>
      </c>
      <c r="BO368" s="324">
        <f t="shared" si="173"/>
        <v>0</v>
      </c>
      <c r="BP368" s="324">
        <f t="shared" si="174"/>
        <v>0</v>
      </c>
      <c r="BQ368" s="324">
        <f t="shared" si="175"/>
        <v>0</v>
      </c>
      <c r="BR368" s="324">
        <f t="shared" si="176"/>
        <v>0</v>
      </c>
      <c r="BS368" s="324">
        <f t="shared" si="177"/>
        <v>0</v>
      </c>
      <c r="BT368" s="332">
        <f t="shared" si="178"/>
        <v>0</v>
      </c>
    </row>
    <row r="369" spans="1:72" ht="14.25">
      <c r="A369" s="297"/>
      <c r="B369" s="323"/>
      <c r="C369" s="323"/>
      <c r="D369" s="2215"/>
      <c r="E369" s="324">
        <f t="shared" si="150"/>
        <v>0</v>
      </c>
      <c r="F369" s="325"/>
      <c r="G369" s="326">
        <f t="shared" si="151"/>
        <v>0</v>
      </c>
      <c r="H369" s="327">
        <f t="shared" si="152"/>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153"/>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154"/>
        <v>0</v>
      </c>
      <c r="AW369" s="2210">
        <f t="shared" si="155"/>
        <v>0</v>
      </c>
      <c r="AX369" s="2210">
        <f t="shared" si="156"/>
        <v>0</v>
      </c>
      <c r="AY369" s="331">
        <f t="shared" si="157"/>
        <v>0</v>
      </c>
      <c r="AZ369" s="324">
        <f t="shared" si="158"/>
        <v>0</v>
      </c>
      <c r="BA369" s="324">
        <f t="shared" si="159"/>
        <v>0</v>
      </c>
      <c r="BB369" s="324">
        <f t="shared" si="160"/>
        <v>0</v>
      </c>
      <c r="BC369" s="324">
        <f t="shared" si="161"/>
        <v>0</v>
      </c>
      <c r="BD369" s="324">
        <f t="shared" si="162"/>
        <v>0</v>
      </c>
      <c r="BE369" s="324">
        <f t="shared" si="163"/>
        <v>0</v>
      </c>
      <c r="BF369" s="324">
        <f t="shared" si="164"/>
        <v>0</v>
      </c>
      <c r="BG369" s="324">
        <f t="shared" si="165"/>
        <v>0</v>
      </c>
      <c r="BH369" s="324">
        <f t="shared" si="166"/>
        <v>0</v>
      </c>
      <c r="BI369" s="324">
        <f t="shared" si="167"/>
        <v>0</v>
      </c>
      <c r="BJ369" s="324">
        <f t="shared" si="168"/>
        <v>0</v>
      </c>
      <c r="BK369" s="324">
        <f t="shared" si="169"/>
        <v>0</v>
      </c>
      <c r="BL369" s="324">
        <f t="shared" si="170"/>
        <v>0</v>
      </c>
      <c r="BM369" s="324">
        <f t="shared" si="171"/>
        <v>0</v>
      </c>
      <c r="BN369" s="324">
        <f t="shared" si="172"/>
        <v>0</v>
      </c>
      <c r="BO369" s="324">
        <f t="shared" si="173"/>
        <v>0</v>
      </c>
      <c r="BP369" s="324">
        <f t="shared" si="174"/>
        <v>0</v>
      </c>
      <c r="BQ369" s="324">
        <f t="shared" si="175"/>
        <v>0</v>
      </c>
      <c r="BR369" s="324">
        <f t="shared" si="176"/>
        <v>0</v>
      </c>
      <c r="BS369" s="324">
        <f t="shared" si="177"/>
        <v>0</v>
      </c>
      <c r="BT369" s="332">
        <f t="shared" si="178"/>
        <v>0</v>
      </c>
    </row>
    <row r="370" spans="1:72" ht="14.25">
      <c r="A370" s="297"/>
      <c r="B370" s="323"/>
      <c r="C370" s="323"/>
      <c r="D370" s="2215"/>
      <c r="E370" s="324">
        <f t="shared" si="150"/>
        <v>0</v>
      </c>
      <c r="F370" s="325"/>
      <c r="G370" s="326">
        <f t="shared" si="151"/>
        <v>0</v>
      </c>
      <c r="H370" s="327">
        <f t="shared" si="152"/>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153"/>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154"/>
        <v>0</v>
      </c>
      <c r="AW370" s="2210">
        <f t="shared" si="155"/>
        <v>0</v>
      </c>
      <c r="AX370" s="2210">
        <f t="shared" si="156"/>
        <v>0</v>
      </c>
      <c r="AY370" s="331">
        <f t="shared" si="157"/>
        <v>0</v>
      </c>
      <c r="AZ370" s="324">
        <f t="shared" si="158"/>
        <v>0</v>
      </c>
      <c r="BA370" s="324">
        <f t="shared" si="159"/>
        <v>0</v>
      </c>
      <c r="BB370" s="324">
        <f t="shared" si="160"/>
        <v>0</v>
      </c>
      <c r="BC370" s="324">
        <f t="shared" si="161"/>
        <v>0</v>
      </c>
      <c r="BD370" s="324">
        <f t="shared" si="162"/>
        <v>0</v>
      </c>
      <c r="BE370" s="324">
        <f t="shared" si="163"/>
        <v>0</v>
      </c>
      <c r="BF370" s="324">
        <f t="shared" si="164"/>
        <v>0</v>
      </c>
      <c r="BG370" s="324">
        <f t="shared" si="165"/>
        <v>0</v>
      </c>
      <c r="BH370" s="324">
        <f t="shared" si="166"/>
        <v>0</v>
      </c>
      <c r="BI370" s="324">
        <f t="shared" si="167"/>
        <v>0</v>
      </c>
      <c r="BJ370" s="324">
        <f t="shared" si="168"/>
        <v>0</v>
      </c>
      <c r="BK370" s="324">
        <f t="shared" si="169"/>
        <v>0</v>
      </c>
      <c r="BL370" s="324">
        <f t="shared" si="170"/>
        <v>0</v>
      </c>
      <c r="BM370" s="324">
        <f t="shared" si="171"/>
        <v>0</v>
      </c>
      <c r="BN370" s="324">
        <f t="shared" si="172"/>
        <v>0</v>
      </c>
      <c r="BO370" s="324">
        <f t="shared" si="173"/>
        <v>0</v>
      </c>
      <c r="BP370" s="324">
        <f t="shared" si="174"/>
        <v>0</v>
      </c>
      <c r="BQ370" s="324">
        <f t="shared" si="175"/>
        <v>0</v>
      </c>
      <c r="BR370" s="324">
        <f t="shared" si="176"/>
        <v>0</v>
      </c>
      <c r="BS370" s="324">
        <f t="shared" si="177"/>
        <v>0</v>
      </c>
      <c r="BT370" s="332">
        <f t="shared" si="178"/>
        <v>0</v>
      </c>
    </row>
    <row r="371" spans="1:72" ht="14.25">
      <c r="A371" s="297"/>
      <c r="B371" s="323"/>
      <c r="C371" s="323"/>
      <c r="D371" s="2215"/>
      <c r="E371" s="324">
        <f t="shared" si="150"/>
        <v>0</v>
      </c>
      <c r="F371" s="325"/>
      <c r="G371" s="326">
        <f t="shared" si="151"/>
        <v>0</v>
      </c>
      <c r="H371" s="327">
        <f t="shared" si="152"/>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153"/>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154"/>
        <v>0</v>
      </c>
      <c r="AW371" s="2210">
        <f t="shared" si="155"/>
        <v>0</v>
      </c>
      <c r="AX371" s="2210">
        <f t="shared" si="156"/>
        <v>0</v>
      </c>
      <c r="AY371" s="331">
        <f t="shared" si="157"/>
        <v>0</v>
      </c>
      <c r="AZ371" s="324">
        <f t="shared" si="158"/>
        <v>0</v>
      </c>
      <c r="BA371" s="324">
        <f t="shared" si="159"/>
        <v>0</v>
      </c>
      <c r="BB371" s="324">
        <f t="shared" si="160"/>
        <v>0</v>
      </c>
      <c r="BC371" s="324">
        <f t="shared" si="161"/>
        <v>0</v>
      </c>
      <c r="BD371" s="324">
        <f t="shared" si="162"/>
        <v>0</v>
      </c>
      <c r="BE371" s="324">
        <f t="shared" si="163"/>
        <v>0</v>
      </c>
      <c r="BF371" s="324">
        <f t="shared" si="164"/>
        <v>0</v>
      </c>
      <c r="BG371" s="324">
        <f t="shared" si="165"/>
        <v>0</v>
      </c>
      <c r="BH371" s="324">
        <f t="shared" si="166"/>
        <v>0</v>
      </c>
      <c r="BI371" s="324">
        <f t="shared" si="167"/>
        <v>0</v>
      </c>
      <c r="BJ371" s="324">
        <f t="shared" si="168"/>
        <v>0</v>
      </c>
      <c r="BK371" s="324">
        <f t="shared" si="169"/>
        <v>0</v>
      </c>
      <c r="BL371" s="324">
        <f t="shared" si="170"/>
        <v>0</v>
      </c>
      <c r="BM371" s="324">
        <f t="shared" si="171"/>
        <v>0</v>
      </c>
      <c r="BN371" s="324">
        <f t="shared" si="172"/>
        <v>0</v>
      </c>
      <c r="BO371" s="324">
        <f t="shared" si="173"/>
        <v>0</v>
      </c>
      <c r="BP371" s="324">
        <f t="shared" si="174"/>
        <v>0</v>
      </c>
      <c r="BQ371" s="324">
        <f t="shared" si="175"/>
        <v>0</v>
      </c>
      <c r="BR371" s="324">
        <f t="shared" si="176"/>
        <v>0</v>
      </c>
      <c r="BS371" s="324">
        <f t="shared" si="177"/>
        <v>0</v>
      </c>
      <c r="BT371" s="332">
        <f t="shared" si="178"/>
        <v>0</v>
      </c>
    </row>
    <row r="372" spans="1:72" ht="14.25">
      <c r="A372" s="297"/>
      <c r="B372" s="323"/>
      <c r="C372" s="323"/>
      <c r="D372" s="2215"/>
      <c r="E372" s="324">
        <f t="shared" si="150"/>
        <v>0</v>
      </c>
      <c r="F372" s="325"/>
      <c r="G372" s="326">
        <f t="shared" si="151"/>
        <v>0</v>
      </c>
      <c r="H372" s="327">
        <f t="shared" si="152"/>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153"/>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154"/>
        <v>0</v>
      </c>
      <c r="AW372" s="2210">
        <f t="shared" si="155"/>
        <v>0</v>
      </c>
      <c r="AX372" s="2210">
        <f t="shared" si="156"/>
        <v>0</v>
      </c>
      <c r="AY372" s="331">
        <f t="shared" si="157"/>
        <v>0</v>
      </c>
      <c r="AZ372" s="324">
        <f t="shared" si="158"/>
        <v>0</v>
      </c>
      <c r="BA372" s="324">
        <f t="shared" si="159"/>
        <v>0</v>
      </c>
      <c r="BB372" s="324">
        <f t="shared" si="160"/>
        <v>0</v>
      </c>
      <c r="BC372" s="324">
        <f t="shared" si="161"/>
        <v>0</v>
      </c>
      <c r="BD372" s="324">
        <f t="shared" si="162"/>
        <v>0</v>
      </c>
      <c r="BE372" s="324">
        <f t="shared" si="163"/>
        <v>0</v>
      </c>
      <c r="BF372" s="324">
        <f t="shared" si="164"/>
        <v>0</v>
      </c>
      <c r="BG372" s="324">
        <f t="shared" si="165"/>
        <v>0</v>
      </c>
      <c r="BH372" s="324">
        <f t="shared" si="166"/>
        <v>0</v>
      </c>
      <c r="BI372" s="324">
        <f t="shared" si="167"/>
        <v>0</v>
      </c>
      <c r="BJ372" s="324">
        <f t="shared" si="168"/>
        <v>0</v>
      </c>
      <c r="BK372" s="324">
        <f t="shared" si="169"/>
        <v>0</v>
      </c>
      <c r="BL372" s="324">
        <f t="shared" si="170"/>
        <v>0</v>
      </c>
      <c r="BM372" s="324">
        <f t="shared" si="171"/>
        <v>0</v>
      </c>
      <c r="BN372" s="324">
        <f t="shared" si="172"/>
        <v>0</v>
      </c>
      <c r="BO372" s="324">
        <f t="shared" si="173"/>
        <v>0</v>
      </c>
      <c r="BP372" s="324">
        <f t="shared" si="174"/>
        <v>0</v>
      </c>
      <c r="BQ372" s="324">
        <f t="shared" si="175"/>
        <v>0</v>
      </c>
      <c r="BR372" s="324">
        <f t="shared" si="176"/>
        <v>0</v>
      </c>
      <c r="BS372" s="324">
        <f t="shared" si="177"/>
        <v>0</v>
      </c>
      <c r="BT372" s="332">
        <f t="shared" si="178"/>
        <v>0</v>
      </c>
    </row>
    <row r="373" spans="1:72" ht="14.25">
      <c r="A373" s="297"/>
      <c r="B373" s="323"/>
      <c r="C373" s="323"/>
      <c r="D373" s="2215"/>
      <c r="E373" s="324">
        <f t="shared" si="150"/>
        <v>0</v>
      </c>
      <c r="F373" s="325"/>
      <c r="G373" s="326">
        <f t="shared" si="151"/>
        <v>0</v>
      </c>
      <c r="H373" s="327">
        <f t="shared" si="152"/>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153"/>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154"/>
        <v>0</v>
      </c>
      <c r="AW373" s="2210">
        <f t="shared" si="155"/>
        <v>0</v>
      </c>
      <c r="AX373" s="2210">
        <f t="shared" si="156"/>
        <v>0</v>
      </c>
      <c r="AY373" s="331">
        <f t="shared" si="157"/>
        <v>0</v>
      </c>
      <c r="AZ373" s="324">
        <f t="shared" si="158"/>
        <v>0</v>
      </c>
      <c r="BA373" s="324">
        <f t="shared" si="159"/>
        <v>0</v>
      </c>
      <c r="BB373" s="324">
        <f t="shared" si="160"/>
        <v>0</v>
      </c>
      <c r="BC373" s="324">
        <f t="shared" si="161"/>
        <v>0</v>
      </c>
      <c r="BD373" s="324">
        <f t="shared" si="162"/>
        <v>0</v>
      </c>
      <c r="BE373" s="324">
        <f t="shared" si="163"/>
        <v>0</v>
      </c>
      <c r="BF373" s="324">
        <f t="shared" si="164"/>
        <v>0</v>
      </c>
      <c r="BG373" s="324">
        <f t="shared" si="165"/>
        <v>0</v>
      </c>
      <c r="BH373" s="324">
        <f t="shared" si="166"/>
        <v>0</v>
      </c>
      <c r="BI373" s="324">
        <f t="shared" si="167"/>
        <v>0</v>
      </c>
      <c r="BJ373" s="324">
        <f t="shared" si="168"/>
        <v>0</v>
      </c>
      <c r="BK373" s="324">
        <f t="shared" si="169"/>
        <v>0</v>
      </c>
      <c r="BL373" s="324">
        <f t="shared" si="170"/>
        <v>0</v>
      </c>
      <c r="BM373" s="324">
        <f t="shared" si="171"/>
        <v>0</v>
      </c>
      <c r="BN373" s="324">
        <f t="shared" si="172"/>
        <v>0</v>
      </c>
      <c r="BO373" s="324">
        <f t="shared" si="173"/>
        <v>0</v>
      </c>
      <c r="BP373" s="324">
        <f t="shared" si="174"/>
        <v>0</v>
      </c>
      <c r="BQ373" s="324">
        <f t="shared" si="175"/>
        <v>0</v>
      </c>
      <c r="BR373" s="324">
        <f t="shared" si="176"/>
        <v>0</v>
      </c>
      <c r="BS373" s="324">
        <f t="shared" si="177"/>
        <v>0</v>
      </c>
      <c r="BT373" s="332">
        <f t="shared" si="178"/>
        <v>0</v>
      </c>
    </row>
    <row r="374" spans="1:72" ht="14.25">
      <c r="A374" s="297"/>
      <c r="B374" s="323"/>
      <c r="C374" s="323"/>
      <c r="D374" s="2215"/>
      <c r="E374" s="324">
        <f t="shared" si="150"/>
        <v>0</v>
      </c>
      <c r="F374" s="325"/>
      <c r="G374" s="326">
        <f t="shared" si="151"/>
        <v>0</v>
      </c>
      <c r="H374" s="327">
        <f t="shared" si="152"/>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153"/>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154"/>
        <v>0</v>
      </c>
      <c r="AW374" s="2210">
        <f t="shared" si="155"/>
        <v>0</v>
      </c>
      <c r="AX374" s="2210">
        <f t="shared" si="156"/>
        <v>0</v>
      </c>
      <c r="AY374" s="331">
        <f t="shared" si="157"/>
        <v>0</v>
      </c>
      <c r="AZ374" s="324">
        <f t="shared" si="158"/>
        <v>0</v>
      </c>
      <c r="BA374" s="324">
        <f t="shared" si="159"/>
        <v>0</v>
      </c>
      <c r="BB374" s="324">
        <f t="shared" si="160"/>
        <v>0</v>
      </c>
      <c r="BC374" s="324">
        <f t="shared" si="161"/>
        <v>0</v>
      </c>
      <c r="BD374" s="324">
        <f t="shared" si="162"/>
        <v>0</v>
      </c>
      <c r="BE374" s="324">
        <f t="shared" si="163"/>
        <v>0</v>
      </c>
      <c r="BF374" s="324">
        <f t="shared" si="164"/>
        <v>0</v>
      </c>
      <c r="BG374" s="324">
        <f t="shared" si="165"/>
        <v>0</v>
      </c>
      <c r="BH374" s="324">
        <f t="shared" si="166"/>
        <v>0</v>
      </c>
      <c r="BI374" s="324">
        <f t="shared" si="167"/>
        <v>0</v>
      </c>
      <c r="BJ374" s="324">
        <f t="shared" si="168"/>
        <v>0</v>
      </c>
      <c r="BK374" s="324">
        <f t="shared" si="169"/>
        <v>0</v>
      </c>
      <c r="BL374" s="324">
        <f t="shared" si="170"/>
        <v>0</v>
      </c>
      <c r="BM374" s="324">
        <f t="shared" si="171"/>
        <v>0</v>
      </c>
      <c r="BN374" s="324">
        <f t="shared" si="172"/>
        <v>0</v>
      </c>
      <c r="BO374" s="324">
        <f t="shared" si="173"/>
        <v>0</v>
      </c>
      <c r="BP374" s="324">
        <f t="shared" si="174"/>
        <v>0</v>
      </c>
      <c r="BQ374" s="324">
        <f t="shared" si="175"/>
        <v>0</v>
      </c>
      <c r="BR374" s="324">
        <f t="shared" si="176"/>
        <v>0</v>
      </c>
      <c r="BS374" s="324">
        <f t="shared" si="177"/>
        <v>0</v>
      </c>
      <c r="BT374" s="332">
        <f t="shared" si="178"/>
        <v>0</v>
      </c>
    </row>
    <row r="375" spans="1:72" ht="14.25">
      <c r="A375" s="297"/>
      <c r="B375" s="323"/>
      <c r="C375" s="323"/>
      <c r="D375" s="2215"/>
      <c r="E375" s="324">
        <f t="shared" si="150"/>
        <v>0</v>
      </c>
      <c r="F375" s="325"/>
      <c r="G375" s="326">
        <f t="shared" si="151"/>
        <v>0</v>
      </c>
      <c r="H375" s="327">
        <f t="shared" si="152"/>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153"/>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154"/>
        <v>0</v>
      </c>
      <c r="AW375" s="2210">
        <f t="shared" si="155"/>
        <v>0</v>
      </c>
      <c r="AX375" s="2210">
        <f t="shared" si="156"/>
        <v>0</v>
      </c>
      <c r="AY375" s="331">
        <f t="shared" si="157"/>
        <v>0</v>
      </c>
      <c r="AZ375" s="324">
        <f t="shared" si="158"/>
        <v>0</v>
      </c>
      <c r="BA375" s="324">
        <f t="shared" si="159"/>
        <v>0</v>
      </c>
      <c r="BB375" s="324">
        <f t="shared" si="160"/>
        <v>0</v>
      </c>
      <c r="BC375" s="324">
        <f t="shared" si="161"/>
        <v>0</v>
      </c>
      <c r="BD375" s="324">
        <f t="shared" si="162"/>
        <v>0</v>
      </c>
      <c r="BE375" s="324">
        <f t="shared" si="163"/>
        <v>0</v>
      </c>
      <c r="BF375" s="324">
        <f t="shared" si="164"/>
        <v>0</v>
      </c>
      <c r="BG375" s="324">
        <f t="shared" si="165"/>
        <v>0</v>
      </c>
      <c r="BH375" s="324">
        <f t="shared" si="166"/>
        <v>0</v>
      </c>
      <c r="BI375" s="324">
        <f t="shared" si="167"/>
        <v>0</v>
      </c>
      <c r="BJ375" s="324">
        <f t="shared" si="168"/>
        <v>0</v>
      </c>
      <c r="BK375" s="324">
        <f t="shared" si="169"/>
        <v>0</v>
      </c>
      <c r="BL375" s="324">
        <f t="shared" si="170"/>
        <v>0</v>
      </c>
      <c r="BM375" s="324">
        <f t="shared" si="171"/>
        <v>0</v>
      </c>
      <c r="BN375" s="324">
        <f t="shared" si="172"/>
        <v>0</v>
      </c>
      <c r="BO375" s="324">
        <f t="shared" si="173"/>
        <v>0</v>
      </c>
      <c r="BP375" s="324">
        <f t="shared" si="174"/>
        <v>0</v>
      </c>
      <c r="BQ375" s="324">
        <f t="shared" si="175"/>
        <v>0</v>
      </c>
      <c r="BR375" s="324">
        <f t="shared" si="176"/>
        <v>0</v>
      </c>
      <c r="BS375" s="324">
        <f t="shared" si="177"/>
        <v>0</v>
      </c>
      <c r="BT375" s="332">
        <f t="shared" si="178"/>
        <v>0</v>
      </c>
    </row>
    <row r="376" spans="1:72" ht="14.25">
      <c r="A376" s="297"/>
      <c r="B376" s="323"/>
      <c r="C376" s="323"/>
      <c r="D376" s="2215"/>
      <c r="E376" s="324">
        <f t="shared" si="150"/>
        <v>0</v>
      </c>
      <c r="F376" s="325"/>
      <c r="G376" s="326">
        <f t="shared" si="151"/>
        <v>0</v>
      </c>
      <c r="H376" s="327">
        <f t="shared" si="152"/>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153"/>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154"/>
        <v>0</v>
      </c>
      <c r="AW376" s="2210">
        <f t="shared" si="155"/>
        <v>0</v>
      </c>
      <c r="AX376" s="2210">
        <f t="shared" si="156"/>
        <v>0</v>
      </c>
      <c r="AY376" s="331">
        <f t="shared" si="157"/>
        <v>0</v>
      </c>
      <c r="AZ376" s="324">
        <f t="shared" si="158"/>
        <v>0</v>
      </c>
      <c r="BA376" s="324">
        <f t="shared" si="159"/>
        <v>0</v>
      </c>
      <c r="BB376" s="324">
        <f t="shared" si="160"/>
        <v>0</v>
      </c>
      <c r="BC376" s="324">
        <f t="shared" si="161"/>
        <v>0</v>
      </c>
      <c r="BD376" s="324">
        <f t="shared" si="162"/>
        <v>0</v>
      </c>
      <c r="BE376" s="324">
        <f t="shared" si="163"/>
        <v>0</v>
      </c>
      <c r="BF376" s="324">
        <f t="shared" si="164"/>
        <v>0</v>
      </c>
      <c r="BG376" s="324">
        <f t="shared" si="165"/>
        <v>0</v>
      </c>
      <c r="BH376" s="324">
        <f t="shared" si="166"/>
        <v>0</v>
      </c>
      <c r="BI376" s="324">
        <f t="shared" si="167"/>
        <v>0</v>
      </c>
      <c r="BJ376" s="324">
        <f t="shared" si="168"/>
        <v>0</v>
      </c>
      <c r="BK376" s="324">
        <f t="shared" si="169"/>
        <v>0</v>
      </c>
      <c r="BL376" s="324">
        <f t="shared" si="170"/>
        <v>0</v>
      </c>
      <c r="BM376" s="324">
        <f t="shared" si="171"/>
        <v>0</v>
      </c>
      <c r="BN376" s="324">
        <f t="shared" si="172"/>
        <v>0</v>
      </c>
      <c r="BO376" s="324">
        <f t="shared" si="173"/>
        <v>0</v>
      </c>
      <c r="BP376" s="324">
        <f t="shared" si="174"/>
        <v>0</v>
      </c>
      <c r="BQ376" s="324">
        <f t="shared" si="175"/>
        <v>0</v>
      </c>
      <c r="BR376" s="324">
        <f t="shared" si="176"/>
        <v>0</v>
      </c>
      <c r="BS376" s="324">
        <f t="shared" si="177"/>
        <v>0</v>
      </c>
      <c r="BT376" s="332">
        <f t="shared" si="178"/>
        <v>0</v>
      </c>
    </row>
    <row r="377" spans="1:72" ht="14.25">
      <c r="A377" s="297"/>
      <c r="B377" s="323"/>
      <c r="C377" s="323"/>
      <c r="D377" s="2215"/>
      <c r="E377" s="324">
        <f t="shared" si="150"/>
        <v>0</v>
      </c>
      <c r="F377" s="325"/>
      <c r="G377" s="326">
        <f t="shared" si="151"/>
        <v>0</v>
      </c>
      <c r="H377" s="327">
        <f t="shared" si="152"/>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153"/>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154"/>
        <v>0</v>
      </c>
      <c r="AW377" s="2210">
        <f t="shared" si="155"/>
        <v>0</v>
      </c>
      <c r="AX377" s="2210">
        <f t="shared" si="156"/>
        <v>0</v>
      </c>
      <c r="AY377" s="331">
        <f t="shared" si="157"/>
        <v>0</v>
      </c>
      <c r="AZ377" s="324">
        <f t="shared" si="158"/>
        <v>0</v>
      </c>
      <c r="BA377" s="324">
        <f t="shared" si="159"/>
        <v>0</v>
      </c>
      <c r="BB377" s="324">
        <f t="shared" si="160"/>
        <v>0</v>
      </c>
      <c r="BC377" s="324">
        <f t="shared" si="161"/>
        <v>0</v>
      </c>
      <c r="BD377" s="324">
        <f t="shared" si="162"/>
        <v>0</v>
      </c>
      <c r="BE377" s="324">
        <f t="shared" si="163"/>
        <v>0</v>
      </c>
      <c r="BF377" s="324">
        <f t="shared" si="164"/>
        <v>0</v>
      </c>
      <c r="BG377" s="324">
        <f t="shared" si="165"/>
        <v>0</v>
      </c>
      <c r="BH377" s="324">
        <f t="shared" si="166"/>
        <v>0</v>
      </c>
      <c r="BI377" s="324">
        <f t="shared" si="167"/>
        <v>0</v>
      </c>
      <c r="BJ377" s="324">
        <f t="shared" si="168"/>
        <v>0</v>
      </c>
      <c r="BK377" s="324">
        <f t="shared" si="169"/>
        <v>0</v>
      </c>
      <c r="BL377" s="324">
        <f t="shared" si="170"/>
        <v>0</v>
      </c>
      <c r="BM377" s="324">
        <f t="shared" si="171"/>
        <v>0</v>
      </c>
      <c r="BN377" s="324">
        <f t="shared" si="172"/>
        <v>0</v>
      </c>
      <c r="BO377" s="324">
        <f t="shared" si="173"/>
        <v>0</v>
      </c>
      <c r="BP377" s="324">
        <f t="shared" si="174"/>
        <v>0</v>
      </c>
      <c r="BQ377" s="324">
        <f t="shared" si="175"/>
        <v>0</v>
      </c>
      <c r="BR377" s="324">
        <f t="shared" si="176"/>
        <v>0</v>
      </c>
      <c r="BS377" s="324">
        <f t="shared" si="177"/>
        <v>0</v>
      </c>
      <c r="BT377" s="332">
        <f t="shared" si="178"/>
        <v>0</v>
      </c>
    </row>
    <row r="378" spans="1:72" ht="14.25">
      <c r="A378" s="297"/>
      <c r="B378" s="323"/>
      <c r="C378" s="323"/>
      <c r="D378" s="2215"/>
      <c r="E378" s="324">
        <f t="shared" si="150"/>
        <v>0</v>
      </c>
      <c r="F378" s="325"/>
      <c r="G378" s="326">
        <f t="shared" si="151"/>
        <v>0</v>
      </c>
      <c r="H378" s="327">
        <f t="shared" si="152"/>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153"/>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154"/>
        <v>0</v>
      </c>
      <c r="AW378" s="2210">
        <f t="shared" si="155"/>
        <v>0</v>
      </c>
      <c r="AX378" s="2210">
        <f t="shared" si="156"/>
        <v>0</v>
      </c>
      <c r="AY378" s="331">
        <f t="shared" si="157"/>
        <v>0</v>
      </c>
      <c r="AZ378" s="324">
        <f t="shared" si="158"/>
        <v>0</v>
      </c>
      <c r="BA378" s="324">
        <f t="shared" si="159"/>
        <v>0</v>
      </c>
      <c r="BB378" s="324">
        <f t="shared" si="160"/>
        <v>0</v>
      </c>
      <c r="BC378" s="324">
        <f t="shared" si="161"/>
        <v>0</v>
      </c>
      <c r="BD378" s="324">
        <f t="shared" si="162"/>
        <v>0</v>
      </c>
      <c r="BE378" s="324">
        <f t="shared" si="163"/>
        <v>0</v>
      </c>
      <c r="BF378" s="324">
        <f t="shared" si="164"/>
        <v>0</v>
      </c>
      <c r="BG378" s="324">
        <f t="shared" si="165"/>
        <v>0</v>
      </c>
      <c r="BH378" s="324">
        <f t="shared" si="166"/>
        <v>0</v>
      </c>
      <c r="BI378" s="324">
        <f t="shared" si="167"/>
        <v>0</v>
      </c>
      <c r="BJ378" s="324">
        <f t="shared" si="168"/>
        <v>0</v>
      </c>
      <c r="BK378" s="324">
        <f t="shared" si="169"/>
        <v>0</v>
      </c>
      <c r="BL378" s="324">
        <f t="shared" si="170"/>
        <v>0</v>
      </c>
      <c r="BM378" s="324">
        <f t="shared" si="171"/>
        <v>0</v>
      </c>
      <c r="BN378" s="324">
        <f t="shared" si="172"/>
        <v>0</v>
      </c>
      <c r="BO378" s="324">
        <f t="shared" si="173"/>
        <v>0</v>
      </c>
      <c r="BP378" s="324">
        <f t="shared" si="174"/>
        <v>0</v>
      </c>
      <c r="BQ378" s="324">
        <f t="shared" si="175"/>
        <v>0</v>
      </c>
      <c r="BR378" s="324">
        <f t="shared" si="176"/>
        <v>0</v>
      </c>
      <c r="BS378" s="324">
        <f t="shared" si="177"/>
        <v>0</v>
      </c>
      <c r="BT378" s="332">
        <f t="shared" si="178"/>
        <v>0</v>
      </c>
    </row>
    <row r="379" spans="1:72" ht="14.25">
      <c r="A379" s="297"/>
      <c r="B379" s="323"/>
      <c r="C379" s="323"/>
      <c r="D379" s="2215"/>
      <c r="E379" s="324">
        <f t="shared" si="150"/>
        <v>0</v>
      </c>
      <c r="F379" s="325"/>
      <c r="G379" s="326">
        <f t="shared" si="151"/>
        <v>0</v>
      </c>
      <c r="H379" s="327">
        <f t="shared" si="152"/>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153"/>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154"/>
        <v>0</v>
      </c>
      <c r="AW379" s="2210">
        <f t="shared" si="155"/>
        <v>0</v>
      </c>
      <c r="AX379" s="2210">
        <f t="shared" si="156"/>
        <v>0</v>
      </c>
      <c r="AY379" s="331">
        <f t="shared" si="157"/>
        <v>0</v>
      </c>
      <c r="AZ379" s="324">
        <f t="shared" si="158"/>
        <v>0</v>
      </c>
      <c r="BA379" s="324">
        <f t="shared" si="159"/>
        <v>0</v>
      </c>
      <c r="BB379" s="324">
        <f t="shared" si="160"/>
        <v>0</v>
      </c>
      <c r="BC379" s="324">
        <f t="shared" si="161"/>
        <v>0</v>
      </c>
      <c r="BD379" s="324">
        <f t="shared" si="162"/>
        <v>0</v>
      </c>
      <c r="BE379" s="324">
        <f t="shared" si="163"/>
        <v>0</v>
      </c>
      <c r="BF379" s="324">
        <f t="shared" si="164"/>
        <v>0</v>
      </c>
      <c r="BG379" s="324">
        <f t="shared" si="165"/>
        <v>0</v>
      </c>
      <c r="BH379" s="324">
        <f t="shared" si="166"/>
        <v>0</v>
      </c>
      <c r="BI379" s="324">
        <f t="shared" si="167"/>
        <v>0</v>
      </c>
      <c r="BJ379" s="324">
        <f t="shared" si="168"/>
        <v>0</v>
      </c>
      <c r="BK379" s="324">
        <f t="shared" si="169"/>
        <v>0</v>
      </c>
      <c r="BL379" s="324">
        <f t="shared" si="170"/>
        <v>0</v>
      </c>
      <c r="BM379" s="324">
        <f t="shared" si="171"/>
        <v>0</v>
      </c>
      <c r="BN379" s="324">
        <f t="shared" si="172"/>
        <v>0</v>
      </c>
      <c r="BO379" s="324">
        <f t="shared" si="173"/>
        <v>0</v>
      </c>
      <c r="BP379" s="324">
        <f t="shared" si="174"/>
        <v>0</v>
      </c>
      <c r="BQ379" s="324">
        <f t="shared" si="175"/>
        <v>0</v>
      </c>
      <c r="BR379" s="324">
        <f t="shared" si="176"/>
        <v>0</v>
      </c>
      <c r="BS379" s="324">
        <f t="shared" si="177"/>
        <v>0</v>
      </c>
      <c r="BT379" s="332">
        <f t="shared" si="178"/>
        <v>0</v>
      </c>
    </row>
    <row r="380" spans="1:72" ht="14.25">
      <c r="A380" s="297"/>
      <c r="B380" s="323"/>
      <c r="C380" s="323"/>
      <c r="D380" s="2215"/>
      <c r="E380" s="324">
        <f t="shared" si="150"/>
        <v>0</v>
      </c>
      <c r="F380" s="325"/>
      <c r="G380" s="326">
        <f t="shared" si="151"/>
        <v>0</v>
      </c>
      <c r="H380" s="327">
        <f t="shared" si="152"/>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153"/>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154"/>
        <v>0</v>
      </c>
      <c r="AW380" s="2210">
        <f t="shared" si="155"/>
        <v>0</v>
      </c>
      <c r="AX380" s="2210">
        <f t="shared" si="156"/>
        <v>0</v>
      </c>
      <c r="AY380" s="331">
        <f t="shared" si="157"/>
        <v>0</v>
      </c>
      <c r="AZ380" s="324">
        <f t="shared" si="158"/>
        <v>0</v>
      </c>
      <c r="BA380" s="324">
        <f t="shared" si="159"/>
        <v>0</v>
      </c>
      <c r="BB380" s="324">
        <f t="shared" si="160"/>
        <v>0</v>
      </c>
      <c r="BC380" s="324">
        <f t="shared" si="161"/>
        <v>0</v>
      </c>
      <c r="BD380" s="324">
        <f t="shared" si="162"/>
        <v>0</v>
      </c>
      <c r="BE380" s="324">
        <f t="shared" si="163"/>
        <v>0</v>
      </c>
      <c r="BF380" s="324">
        <f t="shared" si="164"/>
        <v>0</v>
      </c>
      <c r="BG380" s="324">
        <f t="shared" si="165"/>
        <v>0</v>
      </c>
      <c r="BH380" s="324">
        <f t="shared" si="166"/>
        <v>0</v>
      </c>
      <c r="BI380" s="324">
        <f t="shared" si="167"/>
        <v>0</v>
      </c>
      <c r="BJ380" s="324">
        <f t="shared" si="168"/>
        <v>0</v>
      </c>
      <c r="BK380" s="324">
        <f t="shared" si="169"/>
        <v>0</v>
      </c>
      <c r="BL380" s="324">
        <f t="shared" si="170"/>
        <v>0</v>
      </c>
      <c r="BM380" s="324">
        <f t="shared" si="171"/>
        <v>0</v>
      </c>
      <c r="BN380" s="324">
        <f t="shared" si="172"/>
        <v>0</v>
      </c>
      <c r="BO380" s="324">
        <f t="shared" si="173"/>
        <v>0</v>
      </c>
      <c r="BP380" s="324">
        <f t="shared" si="174"/>
        <v>0</v>
      </c>
      <c r="BQ380" s="324">
        <f t="shared" si="175"/>
        <v>0</v>
      </c>
      <c r="BR380" s="324">
        <f t="shared" si="176"/>
        <v>0</v>
      </c>
      <c r="BS380" s="324">
        <f t="shared" si="177"/>
        <v>0</v>
      </c>
      <c r="BT380" s="332">
        <f t="shared" si="178"/>
        <v>0</v>
      </c>
    </row>
    <row r="381" spans="1:72" ht="14.25">
      <c r="A381" s="297"/>
      <c r="B381" s="323"/>
      <c r="C381" s="323"/>
      <c r="D381" s="2215"/>
      <c r="E381" s="324">
        <f t="shared" si="150"/>
        <v>0</v>
      </c>
      <c r="F381" s="325"/>
      <c r="G381" s="326">
        <f t="shared" si="151"/>
        <v>0</v>
      </c>
      <c r="H381" s="327">
        <f t="shared" si="152"/>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153"/>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154"/>
        <v>0</v>
      </c>
      <c r="AW381" s="2210">
        <f t="shared" si="155"/>
        <v>0</v>
      </c>
      <c r="AX381" s="2210">
        <f t="shared" si="156"/>
        <v>0</v>
      </c>
      <c r="AY381" s="331">
        <f t="shared" si="157"/>
        <v>0</v>
      </c>
      <c r="AZ381" s="324">
        <f t="shared" si="158"/>
        <v>0</v>
      </c>
      <c r="BA381" s="324">
        <f t="shared" si="159"/>
        <v>0</v>
      </c>
      <c r="BB381" s="324">
        <f t="shared" si="160"/>
        <v>0</v>
      </c>
      <c r="BC381" s="324">
        <f t="shared" si="161"/>
        <v>0</v>
      </c>
      <c r="BD381" s="324">
        <f t="shared" si="162"/>
        <v>0</v>
      </c>
      <c r="BE381" s="324">
        <f t="shared" si="163"/>
        <v>0</v>
      </c>
      <c r="BF381" s="324">
        <f t="shared" si="164"/>
        <v>0</v>
      </c>
      <c r="BG381" s="324">
        <f t="shared" si="165"/>
        <v>0</v>
      </c>
      <c r="BH381" s="324">
        <f t="shared" si="166"/>
        <v>0</v>
      </c>
      <c r="BI381" s="324">
        <f t="shared" si="167"/>
        <v>0</v>
      </c>
      <c r="BJ381" s="324">
        <f t="shared" si="168"/>
        <v>0</v>
      </c>
      <c r="BK381" s="324">
        <f t="shared" si="169"/>
        <v>0</v>
      </c>
      <c r="BL381" s="324">
        <f t="shared" si="170"/>
        <v>0</v>
      </c>
      <c r="BM381" s="324">
        <f t="shared" si="171"/>
        <v>0</v>
      </c>
      <c r="BN381" s="324">
        <f t="shared" si="172"/>
        <v>0</v>
      </c>
      <c r="BO381" s="324">
        <f t="shared" si="173"/>
        <v>0</v>
      </c>
      <c r="BP381" s="324">
        <f t="shared" si="174"/>
        <v>0</v>
      </c>
      <c r="BQ381" s="324">
        <f t="shared" si="175"/>
        <v>0</v>
      </c>
      <c r="BR381" s="324">
        <f t="shared" si="176"/>
        <v>0</v>
      </c>
      <c r="BS381" s="324">
        <f t="shared" si="177"/>
        <v>0</v>
      </c>
      <c r="BT381" s="332">
        <f t="shared" si="178"/>
        <v>0</v>
      </c>
    </row>
    <row r="382" spans="1:72" ht="14.25">
      <c r="A382" s="297"/>
      <c r="B382" s="323"/>
      <c r="C382" s="323"/>
      <c r="D382" s="2215"/>
      <c r="E382" s="324">
        <f t="shared" si="150"/>
        <v>0</v>
      </c>
      <c r="F382" s="325"/>
      <c r="G382" s="326">
        <f t="shared" si="151"/>
        <v>0</v>
      </c>
      <c r="H382" s="327">
        <f t="shared" si="152"/>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153"/>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154"/>
        <v>0</v>
      </c>
      <c r="AW382" s="2210">
        <f t="shared" si="155"/>
        <v>0</v>
      </c>
      <c r="AX382" s="2210">
        <f t="shared" si="156"/>
        <v>0</v>
      </c>
      <c r="AY382" s="331">
        <f t="shared" si="157"/>
        <v>0</v>
      </c>
      <c r="AZ382" s="324">
        <f t="shared" si="158"/>
        <v>0</v>
      </c>
      <c r="BA382" s="324">
        <f t="shared" si="159"/>
        <v>0</v>
      </c>
      <c r="BB382" s="324">
        <f t="shared" si="160"/>
        <v>0</v>
      </c>
      <c r="BC382" s="324">
        <f t="shared" si="161"/>
        <v>0</v>
      </c>
      <c r="BD382" s="324">
        <f t="shared" si="162"/>
        <v>0</v>
      </c>
      <c r="BE382" s="324">
        <f t="shared" si="163"/>
        <v>0</v>
      </c>
      <c r="BF382" s="324">
        <f t="shared" si="164"/>
        <v>0</v>
      </c>
      <c r="BG382" s="324">
        <f t="shared" si="165"/>
        <v>0</v>
      </c>
      <c r="BH382" s="324">
        <f t="shared" si="166"/>
        <v>0</v>
      </c>
      <c r="BI382" s="324">
        <f t="shared" si="167"/>
        <v>0</v>
      </c>
      <c r="BJ382" s="324">
        <f t="shared" si="168"/>
        <v>0</v>
      </c>
      <c r="BK382" s="324">
        <f t="shared" si="169"/>
        <v>0</v>
      </c>
      <c r="BL382" s="324">
        <f t="shared" si="170"/>
        <v>0</v>
      </c>
      <c r="BM382" s="324">
        <f t="shared" si="171"/>
        <v>0</v>
      </c>
      <c r="BN382" s="324">
        <f t="shared" si="172"/>
        <v>0</v>
      </c>
      <c r="BO382" s="324">
        <f t="shared" si="173"/>
        <v>0</v>
      </c>
      <c r="BP382" s="324">
        <f t="shared" si="174"/>
        <v>0</v>
      </c>
      <c r="BQ382" s="324">
        <f t="shared" si="175"/>
        <v>0</v>
      </c>
      <c r="BR382" s="324">
        <f t="shared" si="176"/>
        <v>0</v>
      </c>
      <c r="BS382" s="324">
        <f t="shared" si="177"/>
        <v>0</v>
      </c>
      <c r="BT382" s="332">
        <f t="shared" si="178"/>
        <v>0</v>
      </c>
    </row>
    <row r="383" spans="1:72" ht="14.25">
      <c r="A383" s="297"/>
      <c r="B383" s="323"/>
      <c r="C383" s="323"/>
      <c r="D383" s="2215"/>
      <c r="E383" s="324">
        <f t="shared" si="150"/>
        <v>0</v>
      </c>
      <c r="F383" s="325"/>
      <c r="G383" s="326">
        <f t="shared" si="151"/>
        <v>0</v>
      </c>
      <c r="H383" s="327">
        <f t="shared" si="152"/>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153"/>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154"/>
        <v>0</v>
      </c>
      <c r="AW383" s="2210">
        <f t="shared" si="155"/>
        <v>0</v>
      </c>
      <c r="AX383" s="2210">
        <f t="shared" si="156"/>
        <v>0</v>
      </c>
      <c r="AY383" s="331">
        <f t="shared" si="157"/>
        <v>0</v>
      </c>
      <c r="AZ383" s="324">
        <f t="shared" si="158"/>
        <v>0</v>
      </c>
      <c r="BA383" s="324">
        <f t="shared" si="159"/>
        <v>0</v>
      </c>
      <c r="BB383" s="324">
        <f t="shared" si="160"/>
        <v>0</v>
      </c>
      <c r="BC383" s="324">
        <f t="shared" si="161"/>
        <v>0</v>
      </c>
      <c r="BD383" s="324">
        <f t="shared" si="162"/>
        <v>0</v>
      </c>
      <c r="BE383" s="324">
        <f t="shared" si="163"/>
        <v>0</v>
      </c>
      <c r="BF383" s="324">
        <f t="shared" si="164"/>
        <v>0</v>
      </c>
      <c r="BG383" s="324">
        <f t="shared" si="165"/>
        <v>0</v>
      </c>
      <c r="BH383" s="324">
        <f t="shared" si="166"/>
        <v>0</v>
      </c>
      <c r="BI383" s="324">
        <f t="shared" si="167"/>
        <v>0</v>
      </c>
      <c r="BJ383" s="324">
        <f t="shared" si="168"/>
        <v>0</v>
      </c>
      <c r="BK383" s="324">
        <f t="shared" si="169"/>
        <v>0</v>
      </c>
      <c r="BL383" s="324">
        <f t="shared" si="170"/>
        <v>0</v>
      </c>
      <c r="BM383" s="324">
        <f t="shared" si="171"/>
        <v>0</v>
      </c>
      <c r="BN383" s="324">
        <f t="shared" si="172"/>
        <v>0</v>
      </c>
      <c r="BO383" s="324">
        <f t="shared" si="173"/>
        <v>0</v>
      </c>
      <c r="BP383" s="324">
        <f t="shared" si="174"/>
        <v>0</v>
      </c>
      <c r="BQ383" s="324">
        <f t="shared" si="175"/>
        <v>0</v>
      </c>
      <c r="BR383" s="324">
        <f t="shared" si="176"/>
        <v>0</v>
      </c>
      <c r="BS383" s="324">
        <f t="shared" si="177"/>
        <v>0</v>
      </c>
      <c r="BT383" s="332">
        <f t="shared" si="178"/>
        <v>0</v>
      </c>
    </row>
    <row r="384" spans="1:72" ht="14.25">
      <c r="A384" s="297"/>
      <c r="B384" s="323"/>
      <c r="C384" s="323"/>
      <c r="D384" s="2215"/>
      <c r="E384" s="324">
        <f t="shared" si="150"/>
        <v>0</v>
      </c>
      <c r="F384" s="325"/>
      <c r="G384" s="326">
        <f t="shared" si="151"/>
        <v>0</v>
      </c>
      <c r="H384" s="327">
        <f t="shared" si="152"/>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153"/>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154"/>
        <v>0</v>
      </c>
      <c r="AW384" s="2210">
        <f t="shared" si="155"/>
        <v>0</v>
      </c>
      <c r="AX384" s="2210">
        <f t="shared" si="156"/>
        <v>0</v>
      </c>
      <c r="AY384" s="331">
        <f t="shared" si="157"/>
        <v>0</v>
      </c>
      <c r="AZ384" s="324">
        <f t="shared" si="158"/>
        <v>0</v>
      </c>
      <c r="BA384" s="324">
        <f t="shared" si="159"/>
        <v>0</v>
      </c>
      <c r="BB384" s="324">
        <f t="shared" si="160"/>
        <v>0</v>
      </c>
      <c r="BC384" s="324">
        <f t="shared" si="161"/>
        <v>0</v>
      </c>
      <c r="BD384" s="324">
        <f t="shared" si="162"/>
        <v>0</v>
      </c>
      <c r="BE384" s="324">
        <f t="shared" si="163"/>
        <v>0</v>
      </c>
      <c r="BF384" s="324">
        <f t="shared" si="164"/>
        <v>0</v>
      </c>
      <c r="BG384" s="324">
        <f t="shared" si="165"/>
        <v>0</v>
      </c>
      <c r="BH384" s="324">
        <f t="shared" si="166"/>
        <v>0</v>
      </c>
      <c r="BI384" s="324">
        <f t="shared" si="167"/>
        <v>0</v>
      </c>
      <c r="BJ384" s="324">
        <f t="shared" si="168"/>
        <v>0</v>
      </c>
      <c r="BK384" s="324">
        <f t="shared" si="169"/>
        <v>0</v>
      </c>
      <c r="BL384" s="324">
        <f t="shared" si="170"/>
        <v>0</v>
      </c>
      <c r="BM384" s="324">
        <f t="shared" si="171"/>
        <v>0</v>
      </c>
      <c r="BN384" s="324">
        <f t="shared" si="172"/>
        <v>0</v>
      </c>
      <c r="BO384" s="324">
        <f t="shared" si="173"/>
        <v>0</v>
      </c>
      <c r="BP384" s="324">
        <f t="shared" si="174"/>
        <v>0</v>
      </c>
      <c r="BQ384" s="324">
        <f t="shared" si="175"/>
        <v>0</v>
      </c>
      <c r="BR384" s="324">
        <f t="shared" si="176"/>
        <v>0</v>
      </c>
      <c r="BS384" s="324">
        <f t="shared" si="177"/>
        <v>0</v>
      </c>
      <c r="BT384" s="332">
        <f t="shared" si="178"/>
        <v>0</v>
      </c>
    </row>
    <row r="385" spans="1:72" ht="14.25">
      <c r="A385" s="297"/>
      <c r="B385" s="323"/>
      <c r="C385" s="323"/>
      <c r="D385" s="2215"/>
      <c r="E385" s="324">
        <f t="shared" si="150"/>
        <v>0</v>
      </c>
      <c r="F385" s="325"/>
      <c r="G385" s="326">
        <f t="shared" si="151"/>
        <v>0</v>
      </c>
      <c r="H385" s="327">
        <f t="shared" si="152"/>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153"/>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154"/>
        <v>0</v>
      </c>
      <c r="AW385" s="2210">
        <f t="shared" si="155"/>
        <v>0</v>
      </c>
      <c r="AX385" s="2210">
        <f t="shared" si="156"/>
        <v>0</v>
      </c>
      <c r="AY385" s="331">
        <f t="shared" si="157"/>
        <v>0</v>
      </c>
      <c r="AZ385" s="324">
        <f t="shared" si="158"/>
        <v>0</v>
      </c>
      <c r="BA385" s="324">
        <f t="shared" si="159"/>
        <v>0</v>
      </c>
      <c r="BB385" s="324">
        <f t="shared" si="160"/>
        <v>0</v>
      </c>
      <c r="BC385" s="324">
        <f t="shared" si="161"/>
        <v>0</v>
      </c>
      <c r="BD385" s="324">
        <f t="shared" si="162"/>
        <v>0</v>
      </c>
      <c r="BE385" s="324">
        <f t="shared" si="163"/>
        <v>0</v>
      </c>
      <c r="BF385" s="324">
        <f t="shared" si="164"/>
        <v>0</v>
      </c>
      <c r="BG385" s="324">
        <f t="shared" si="165"/>
        <v>0</v>
      </c>
      <c r="BH385" s="324">
        <f t="shared" si="166"/>
        <v>0</v>
      </c>
      <c r="BI385" s="324">
        <f t="shared" si="167"/>
        <v>0</v>
      </c>
      <c r="BJ385" s="324">
        <f t="shared" si="168"/>
        <v>0</v>
      </c>
      <c r="BK385" s="324">
        <f t="shared" si="169"/>
        <v>0</v>
      </c>
      <c r="BL385" s="324">
        <f t="shared" si="170"/>
        <v>0</v>
      </c>
      <c r="BM385" s="324">
        <f t="shared" si="171"/>
        <v>0</v>
      </c>
      <c r="BN385" s="324">
        <f t="shared" si="172"/>
        <v>0</v>
      </c>
      <c r="BO385" s="324">
        <f t="shared" si="173"/>
        <v>0</v>
      </c>
      <c r="BP385" s="324">
        <f t="shared" si="174"/>
        <v>0</v>
      </c>
      <c r="BQ385" s="324">
        <f t="shared" si="175"/>
        <v>0</v>
      </c>
      <c r="BR385" s="324">
        <f t="shared" si="176"/>
        <v>0</v>
      </c>
      <c r="BS385" s="324">
        <f t="shared" si="177"/>
        <v>0</v>
      </c>
      <c r="BT385" s="332">
        <f t="shared" si="178"/>
        <v>0</v>
      </c>
    </row>
    <row r="386" spans="1:72" ht="14.25">
      <c r="A386" s="297"/>
      <c r="B386" s="323"/>
      <c r="C386" s="323"/>
      <c r="D386" s="2215"/>
      <c r="E386" s="324">
        <f t="shared" si="150"/>
        <v>0</v>
      </c>
      <c r="F386" s="325"/>
      <c r="G386" s="326">
        <f t="shared" si="151"/>
        <v>0</v>
      </c>
      <c r="H386" s="327">
        <f t="shared" si="152"/>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153"/>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154"/>
        <v>0</v>
      </c>
      <c r="AW386" s="2210">
        <f t="shared" si="155"/>
        <v>0</v>
      </c>
      <c r="AX386" s="2210">
        <f t="shared" si="156"/>
        <v>0</v>
      </c>
      <c r="AY386" s="331">
        <f t="shared" si="157"/>
        <v>0</v>
      </c>
      <c r="AZ386" s="324">
        <f t="shared" si="158"/>
        <v>0</v>
      </c>
      <c r="BA386" s="324">
        <f t="shared" si="159"/>
        <v>0</v>
      </c>
      <c r="BB386" s="324">
        <f t="shared" si="160"/>
        <v>0</v>
      </c>
      <c r="BC386" s="324">
        <f t="shared" si="161"/>
        <v>0</v>
      </c>
      <c r="BD386" s="324">
        <f t="shared" si="162"/>
        <v>0</v>
      </c>
      <c r="BE386" s="324">
        <f t="shared" si="163"/>
        <v>0</v>
      </c>
      <c r="BF386" s="324">
        <f t="shared" si="164"/>
        <v>0</v>
      </c>
      <c r="BG386" s="324">
        <f t="shared" si="165"/>
        <v>0</v>
      </c>
      <c r="BH386" s="324">
        <f t="shared" si="166"/>
        <v>0</v>
      </c>
      <c r="BI386" s="324">
        <f t="shared" si="167"/>
        <v>0</v>
      </c>
      <c r="BJ386" s="324">
        <f t="shared" si="168"/>
        <v>0</v>
      </c>
      <c r="BK386" s="324">
        <f t="shared" si="169"/>
        <v>0</v>
      </c>
      <c r="BL386" s="324">
        <f t="shared" si="170"/>
        <v>0</v>
      </c>
      <c r="BM386" s="324">
        <f t="shared" si="171"/>
        <v>0</v>
      </c>
      <c r="BN386" s="324">
        <f t="shared" si="172"/>
        <v>0</v>
      </c>
      <c r="BO386" s="324">
        <f t="shared" si="173"/>
        <v>0</v>
      </c>
      <c r="BP386" s="324">
        <f t="shared" si="174"/>
        <v>0</v>
      </c>
      <c r="BQ386" s="324">
        <f t="shared" si="175"/>
        <v>0</v>
      </c>
      <c r="BR386" s="324">
        <f t="shared" si="176"/>
        <v>0</v>
      </c>
      <c r="BS386" s="324">
        <f t="shared" si="177"/>
        <v>0</v>
      </c>
      <c r="BT386" s="332">
        <f t="shared" si="178"/>
        <v>0</v>
      </c>
    </row>
    <row r="387" spans="1:72" ht="14.25">
      <c r="A387" s="297"/>
      <c r="B387" s="323"/>
      <c r="C387" s="323"/>
      <c r="D387" s="2215"/>
      <c r="E387" s="324">
        <f t="shared" si="150"/>
        <v>0</v>
      </c>
      <c r="F387" s="325"/>
      <c r="G387" s="326">
        <f t="shared" si="151"/>
        <v>0</v>
      </c>
      <c r="H387" s="327">
        <f t="shared" si="152"/>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153"/>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154"/>
        <v>0</v>
      </c>
      <c r="AW387" s="2210">
        <f t="shared" si="155"/>
        <v>0</v>
      </c>
      <c r="AX387" s="2210">
        <f t="shared" si="156"/>
        <v>0</v>
      </c>
      <c r="AY387" s="331">
        <f t="shared" si="157"/>
        <v>0</v>
      </c>
      <c r="AZ387" s="324">
        <f t="shared" si="158"/>
        <v>0</v>
      </c>
      <c r="BA387" s="324">
        <f t="shared" si="159"/>
        <v>0</v>
      </c>
      <c r="BB387" s="324">
        <f t="shared" si="160"/>
        <v>0</v>
      </c>
      <c r="BC387" s="324">
        <f t="shared" si="161"/>
        <v>0</v>
      </c>
      <c r="BD387" s="324">
        <f t="shared" si="162"/>
        <v>0</v>
      </c>
      <c r="BE387" s="324">
        <f t="shared" si="163"/>
        <v>0</v>
      </c>
      <c r="BF387" s="324">
        <f t="shared" si="164"/>
        <v>0</v>
      </c>
      <c r="BG387" s="324">
        <f t="shared" si="165"/>
        <v>0</v>
      </c>
      <c r="BH387" s="324">
        <f t="shared" si="166"/>
        <v>0</v>
      </c>
      <c r="BI387" s="324">
        <f t="shared" si="167"/>
        <v>0</v>
      </c>
      <c r="BJ387" s="324">
        <f t="shared" si="168"/>
        <v>0</v>
      </c>
      <c r="BK387" s="324">
        <f t="shared" si="169"/>
        <v>0</v>
      </c>
      <c r="BL387" s="324">
        <f t="shared" si="170"/>
        <v>0</v>
      </c>
      <c r="BM387" s="324">
        <f t="shared" si="171"/>
        <v>0</v>
      </c>
      <c r="BN387" s="324">
        <f t="shared" si="172"/>
        <v>0</v>
      </c>
      <c r="BO387" s="324">
        <f t="shared" si="173"/>
        <v>0</v>
      </c>
      <c r="BP387" s="324">
        <f t="shared" si="174"/>
        <v>0</v>
      </c>
      <c r="BQ387" s="324">
        <f t="shared" si="175"/>
        <v>0</v>
      </c>
      <c r="BR387" s="324">
        <f t="shared" si="176"/>
        <v>0</v>
      </c>
      <c r="BS387" s="324">
        <f t="shared" si="177"/>
        <v>0</v>
      </c>
      <c r="BT387" s="332">
        <f t="shared" si="178"/>
        <v>0</v>
      </c>
    </row>
    <row r="388" spans="1:72" ht="14.25">
      <c r="A388" s="297"/>
      <c r="B388" s="323"/>
      <c r="C388" s="323"/>
      <c r="D388" s="2215"/>
      <c r="E388" s="324">
        <f t="shared" si="150"/>
        <v>0</v>
      </c>
      <c r="F388" s="325"/>
      <c r="G388" s="326">
        <f t="shared" si="151"/>
        <v>0</v>
      </c>
      <c r="H388" s="327">
        <f t="shared" si="152"/>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153"/>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154"/>
        <v>0</v>
      </c>
      <c r="AW388" s="2210">
        <f t="shared" si="155"/>
        <v>0</v>
      </c>
      <c r="AX388" s="2210">
        <f t="shared" si="156"/>
        <v>0</v>
      </c>
      <c r="AY388" s="331">
        <f t="shared" si="157"/>
        <v>0</v>
      </c>
      <c r="AZ388" s="324">
        <f t="shared" si="158"/>
        <v>0</v>
      </c>
      <c r="BA388" s="324">
        <f t="shared" si="159"/>
        <v>0</v>
      </c>
      <c r="BB388" s="324">
        <f t="shared" si="160"/>
        <v>0</v>
      </c>
      <c r="BC388" s="324">
        <f t="shared" si="161"/>
        <v>0</v>
      </c>
      <c r="BD388" s="324">
        <f t="shared" si="162"/>
        <v>0</v>
      </c>
      <c r="BE388" s="324">
        <f t="shared" si="163"/>
        <v>0</v>
      </c>
      <c r="BF388" s="324">
        <f t="shared" si="164"/>
        <v>0</v>
      </c>
      <c r="BG388" s="324">
        <f t="shared" si="165"/>
        <v>0</v>
      </c>
      <c r="BH388" s="324">
        <f t="shared" si="166"/>
        <v>0</v>
      </c>
      <c r="BI388" s="324">
        <f t="shared" si="167"/>
        <v>0</v>
      </c>
      <c r="BJ388" s="324">
        <f t="shared" si="168"/>
        <v>0</v>
      </c>
      <c r="BK388" s="324">
        <f t="shared" si="169"/>
        <v>0</v>
      </c>
      <c r="BL388" s="324">
        <f t="shared" si="170"/>
        <v>0</v>
      </c>
      <c r="BM388" s="324">
        <f t="shared" si="171"/>
        <v>0</v>
      </c>
      <c r="BN388" s="324">
        <f t="shared" si="172"/>
        <v>0</v>
      </c>
      <c r="BO388" s="324">
        <f t="shared" si="173"/>
        <v>0</v>
      </c>
      <c r="BP388" s="324">
        <f t="shared" si="174"/>
        <v>0</v>
      </c>
      <c r="BQ388" s="324">
        <f t="shared" si="175"/>
        <v>0</v>
      </c>
      <c r="BR388" s="324">
        <f t="shared" si="176"/>
        <v>0</v>
      </c>
      <c r="BS388" s="324">
        <f t="shared" si="177"/>
        <v>0</v>
      </c>
      <c r="BT388" s="332">
        <f t="shared" si="178"/>
        <v>0</v>
      </c>
    </row>
    <row r="389" spans="1:72" ht="14.25">
      <c r="A389" s="297"/>
      <c r="B389" s="323"/>
      <c r="C389" s="323"/>
      <c r="D389" s="2215"/>
      <c r="E389" s="324">
        <f t="shared" si="150"/>
        <v>0</v>
      </c>
      <c r="F389" s="325"/>
      <c r="G389" s="326">
        <f t="shared" si="151"/>
        <v>0</v>
      </c>
      <c r="H389" s="327">
        <f t="shared" si="152"/>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153"/>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154"/>
        <v>0</v>
      </c>
      <c r="AW389" s="2210">
        <f t="shared" si="155"/>
        <v>0</v>
      </c>
      <c r="AX389" s="2210">
        <f t="shared" si="156"/>
        <v>0</v>
      </c>
      <c r="AY389" s="331">
        <f t="shared" si="157"/>
        <v>0</v>
      </c>
      <c r="AZ389" s="324">
        <f t="shared" si="158"/>
        <v>0</v>
      </c>
      <c r="BA389" s="324">
        <f t="shared" si="159"/>
        <v>0</v>
      </c>
      <c r="BB389" s="324">
        <f t="shared" si="160"/>
        <v>0</v>
      </c>
      <c r="BC389" s="324">
        <f t="shared" si="161"/>
        <v>0</v>
      </c>
      <c r="BD389" s="324">
        <f t="shared" si="162"/>
        <v>0</v>
      </c>
      <c r="BE389" s="324">
        <f t="shared" si="163"/>
        <v>0</v>
      </c>
      <c r="BF389" s="324">
        <f t="shared" si="164"/>
        <v>0</v>
      </c>
      <c r="BG389" s="324">
        <f t="shared" si="165"/>
        <v>0</v>
      </c>
      <c r="BH389" s="324">
        <f t="shared" si="166"/>
        <v>0</v>
      </c>
      <c r="BI389" s="324">
        <f t="shared" si="167"/>
        <v>0</v>
      </c>
      <c r="BJ389" s="324">
        <f t="shared" si="168"/>
        <v>0</v>
      </c>
      <c r="BK389" s="324">
        <f t="shared" si="169"/>
        <v>0</v>
      </c>
      <c r="BL389" s="324">
        <f t="shared" si="170"/>
        <v>0</v>
      </c>
      <c r="BM389" s="324">
        <f t="shared" si="171"/>
        <v>0</v>
      </c>
      <c r="BN389" s="324">
        <f t="shared" si="172"/>
        <v>0</v>
      </c>
      <c r="BO389" s="324">
        <f t="shared" si="173"/>
        <v>0</v>
      </c>
      <c r="BP389" s="324">
        <f t="shared" si="174"/>
        <v>0</v>
      </c>
      <c r="BQ389" s="324">
        <f t="shared" si="175"/>
        <v>0</v>
      </c>
      <c r="BR389" s="324">
        <f t="shared" si="176"/>
        <v>0</v>
      </c>
      <c r="BS389" s="324">
        <f t="shared" si="177"/>
        <v>0</v>
      </c>
      <c r="BT389" s="332">
        <f t="shared" si="178"/>
        <v>0</v>
      </c>
    </row>
    <row r="390" spans="1:72" ht="14.25">
      <c r="A390" s="297"/>
      <c r="B390" s="323"/>
      <c r="C390" s="323"/>
      <c r="D390" s="2215"/>
      <c r="E390" s="324">
        <f t="shared" si="150"/>
        <v>0</v>
      </c>
      <c r="F390" s="325"/>
      <c r="G390" s="326">
        <f t="shared" si="151"/>
        <v>0</v>
      </c>
      <c r="H390" s="327">
        <f t="shared" si="152"/>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153"/>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154"/>
        <v>0</v>
      </c>
      <c r="AW390" s="2210">
        <f t="shared" si="155"/>
        <v>0</v>
      </c>
      <c r="AX390" s="2210">
        <f t="shared" si="156"/>
        <v>0</v>
      </c>
      <c r="AY390" s="331">
        <f t="shared" si="157"/>
        <v>0</v>
      </c>
      <c r="AZ390" s="324">
        <f t="shared" si="158"/>
        <v>0</v>
      </c>
      <c r="BA390" s="324">
        <f t="shared" si="159"/>
        <v>0</v>
      </c>
      <c r="BB390" s="324">
        <f t="shared" si="160"/>
        <v>0</v>
      </c>
      <c r="BC390" s="324">
        <f t="shared" si="161"/>
        <v>0</v>
      </c>
      <c r="BD390" s="324">
        <f t="shared" si="162"/>
        <v>0</v>
      </c>
      <c r="BE390" s="324">
        <f t="shared" si="163"/>
        <v>0</v>
      </c>
      <c r="BF390" s="324">
        <f t="shared" si="164"/>
        <v>0</v>
      </c>
      <c r="BG390" s="324">
        <f t="shared" si="165"/>
        <v>0</v>
      </c>
      <c r="BH390" s="324">
        <f t="shared" si="166"/>
        <v>0</v>
      </c>
      <c r="BI390" s="324">
        <f t="shared" si="167"/>
        <v>0</v>
      </c>
      <c r="BJ390" s="324">
        <f t="shared" si="168"/>
        <v>0</v>
      </c>
      <c r="BK390" s="324">
        <f t="shared" si="169"/>
        <v>0</v>
      </c>
      <c r="BL390" s="324">
        <f t="shared" si="170"/>
        <v>0</v>
      </c>
      <c r="BM390" s="324">
        <f t="shared" si="171"/>
        <v>0</v>
      </c>
      <c r="BN390" s="324">
        <f t="shared" si="172"/>
        <v>0</v>
      </c>
      <c r="BO390" s="324">
        <f t="shared" si="173"/>
        <v>0</v>
      </c>
      <c r="BP390" s="324">
        <f t="shared" si="174"/>
        <v>0</v>
      </c>
      <c r="BQ390" s="324">
        <f t="shared" si="175"/>
        <v>0</v>
      </c>
      <c r="BR390" s="324">
        <f t="shared" si="176"/>
        <v>0</v>
      </c>
      <c r="BS390" s="324">
        <f t="shared" si="177"/>
        <v>0</v>
      </c>
      <c r="BT390" s="332">
        <f t="shared" si="178"/>
        <v>0</v>
      </c>
    </row>
    <row r="391" spans="1:72" ht="14.25">
      <c r="A391" s="297"/>
      <c r="B391" s="323"/>
      <c r="C391" s="323"/>
      <c r="D391" s="2215"/>
      <c r="E391" s="324">
        <f t="shared" si="150"/>
        <v>0</v>
      </c>
      <c r="F391" s="325"/>
      <c r="G391" s="326">
        <f t="shared" si="151"/>
        <v>0</v>
      </c>
      <c r="H391" s="327">
        <f t="shared" si="152"/>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153"/>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154"/>
        <v>0</v>
      </c>
      <c r="AW391" s="2210">
        <f t="shared" si="155"/>
        <v>0</v>
      </c>
      <c r="AX391" s="2210">
        <f t="shared" si="156"/>
        <v>0</v>
      </c>
      <c r="AY391" s="331">
        <f t="shared" si="157"/>
        <v>0</v>
      </c>
      <c r="AZ391" s="324">
        <f t="shared" si="158"/>
        <v>0</v>
      </c>
      <c r="BA391" s="324">
        <f t="shared" si="159"/>
        <v>0</v>
      </c>
      <c r="BB391" s="324">
        <f t="shared" si="160"/>
        <v>0</v>
      </c>
      <c r="BC391" s="324">
        <f t="shared" si="161"/>
        <v>0</v>
      </c>
      <c r="BD391" s="324">
        <f t="shared" si="162"/>
        <v>0</v>
      </c>
      <c r="BE391" s="324">
        <f t="shared" si="163"/>
        <v>0</v>
      </c>
      <c r="BF391" s="324">
        <f t="shared" si="164"/>
        <v>0</v>
      </c>
      <c r="BG391" s="324">
        <f t="shared" si="165"/>
        <v>0</v>
      </c>
      <c r="BH391" s="324">
        <f t="shared" si="166"/>
        <v>0</v>
      </c>
      <c r="BI391" s="324">
        <f t="shared" si="167"/>
        <v>0</v>
      </c>
      <c r="BJ391" s="324">
        <f t="shared" si="168"/>
        <v>0</v>
      </c>
      <c r="BK391" s="324">
        <f t="shared" si="169"/>
        <v>0</v>
      </c>
      <c r="BL391" s="324">
        <f t="shared" si="170"/>
        <v>0</v>
      </c>
      <c r="BM391" s="324">
        <f t="shared" si="171"/>
        <v>0</v>
      </c>
      <c r="BN391" s="324">
        <f t="shared" si="172"/>
        <v>0</v>
      </c>
      <c r="BO391" s="324">
        <f t="shared" si="173"/>
        <v>0</v>
      </c>
      <c r="BP391" s="324">
        <f t="shared" si="174"/>
        <v>0</v>
      </c>
      <c r="BQ391" s="324">
        <f t="shared" si="175"/>
        <v>0</v>
      </c>
      <c r="BR391" s="324">
        <f t="shared" si="176"/>
        <v>0</v>
      </c>
      <c r="BS391" s="324">
        <f t="shared" si="177"/>
        <v>0</v>
      </c>
      <c r="BT391" s="332">
        <f t="shared" si="178"/>
        <v>0</v>
      </c>
    </row>
    <row r="392" spans="1:72" ht="14.25">
      <c r="A392" s="297"/>
      <c r="B392" s="323"/>
      <c r="C392" s="323"/>
      <c r="D392" s="2215"/>
      <c r="E392" s="324">
        <f t="shared" si="150"/>
        <v>0</v>
      </c>
      <c r="F392" s="325"/>
      <c r="G392" s="326">
        <f t="shared" si="151"/>
        <v>0</v>
      </c>
      <c r="H392" s="327">
        <f t="shared" si="152"/>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153"/>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154"/>
        <v>0</v>
      </c>
      <c r="AW392" s="2210">
        <f t="shared" si="155"/>
        <v>0</v>
      </c>
      <c r="AX392" s="2210">
        <f t="shared" si="156"/>
        <v>0</v>
      </c>
      <c r="AY392" s="331">
        <f t="shared" si="157"/>
        <v>0</v>
      </c>
      <c r="AZ392" s="324">
        <f t="shared" si="158"/>
        <v>0</v>
      </c>
      <c r="BA392" s="324">
        <f t="shared" si="159"/>
        <v>0</v>
      </c>
      <c r="BB392" s="324">
        <f t="shared" si="160"/>
        <v>0</v>
      </c>
      <c r="BC392" s="324">
        <f t="shared" si="161"/>
        <v>0</v>
      </c>
      <c r="BD392" s="324">
        <f t="shared" si="162"/>
        <v>0</v>
      </c>
      <c r="BE392" s="324">
        <f t="shared" si="163"/>
        <v>0</v>
      </c>
      <c r="BF392" s="324">
        <f t="shared" si="164"/>
        <v>0</v>
      </c>
      <c r="BG392" s="324">
        <f t="shared" si="165"/>
        <v>0</v>
      </c>
      <c r="BH392" s="324">
        <f t="shared" si="166"/>
        <v>0</v>
      </c>
      <c r="BI392" s="324">
        <f t="shared" si="167"/>
        <v>0</v>
      </c>
      <c r="BJ392" s="324">
        <f t="shared" si="168"/>
        <v>0</v>
      </c>
      <c r="BK392" s="324">
        <f t="shared" si="169"/>
        <v>0</v>
      </c>
      <c r="BL392" s="324">
        <f t="shared" si="170"/>
        <v>0</v>
      </c>
      <c r="BM392" s="324">
        <f t="shared" si="171"/>
        <v>0</v>
      </c>
      <c r="BN392" s="324">
        <f t="shared" si="172"/>
        <v>0</v>
      </c>
      <c r="BO392" s="324">
        <f t="shared" si="173"/>
        <v>0</v>
      </c>
      <c r="BP392" s="324">
        <f t="shared" si="174"/>
        <v>0</v>
      </c>
      <c r="BQ392" s="324">
        <f t="shared" si="175"/>
        <v>0</v>
      </c>
      <c r="BR392" s="324">
        <f t="shared" si="176"/>
        <v>0</v>
      </c>
      <c r="BS392" s="324">
        <f t="shared" si="177"/>
        <v>0</v>
      </c>
      <c r="BT392" s="332">
        <f t="shared" si="178"/>
        <v>0</v>
      </c>
    </row>
    <row r="393" spans="1:72" ht="14.25">
      <c r="A393" s="297"/>
      <c r="B393" s="323"/>
      <c r="C393" s="323"/>
      <c r="D393" s="2215"/>
      <c r="E393" s="324">
        <f t="shared" si="150"/>
        <v>0</v>
      </c>
      <c r="F393" s="325"/>
      <c r="G393" s="326">
        <f t="shared" si="151"/>
        <v>0</v>
      </c>
      <c r="H393" s="327">
        <f t="shared" si="152"/>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153"/>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154"/>
        <v>0</v>
      </c>
      <c r="AW393" s="2210">
        <f t="shared" si="155"/>
        <v>0</v>
      </c>
      <c r="AX393" s="2210">
        <f t="shared" si="156"/>
        <v>0</v>
      </c>
      <c r="AY393" s="331">
        <f t="shared" si="157"/>
        <v>0</v>
      </c>
      <c r="AZ393" s="324">
        <f t="shared" si="158"/>
        <v>0</v>
      </c>
      <c r="BA393" s="324">
        <f t="shared" si="159"/>
        <v>0</v>
      </c>
      <c r="BB393" s="324">
        <f t="shared" si="160"/>
        <v>0</v>
      </c>
      <c r="BC393" s="324">
        <f t="shared" si="161"/>
        <v>0</v>
      </c>
      <c r="BD393" s="324">
        <f t="shared" si="162"/>
        <v>0</v>
      </c>
      <c r="BE393" s="324">
        <f t="shared" si="163"/>
        <v>0</v>
      </c>
      <c r="BF393" s="324">
        <f t="shared" si="164"/>
        <v>0</v>
      </c>
      <c r="BG393" s="324">
        <f t="shared" si="165"/>
        <v>0</v>
      </c>
      <c r="BH393" s="324">
        <f t="shared" si="166"/>
        <v>0</v>
      </c>
      <c r="BI393" s="324">
        <f t="shared" si="167"/>
        <v>0</v>
      </c>
      <c r="BJ393" s="324">
        <f t="shared" si="168"/>
        <v>0</v>
      </c>
      <c r="BK393" s="324">
        <f t="shared" si="169"/>
        <v>0</v>
      </c>
      <c r="BL393" s="324">
        <f t="shared" si="170"/>
        <v>0</v>
      </c>
      <c r="BM393" s="324">
        <f t="shared" si="171"/>
        <v>0</v>
      </c>
      <c r="BN393" s="324">
        <f t="shared" si="172"/>
        <v>0</v>
      </c>
      <c r="BO393" s="324">
        <f t="shared" si="173"/>
        <v>0</v>
      </c>
      <c r="BP393" s="324">
        <f t="shared" si="174"/>
        <v>0</v>
      </c>
      <c r="BQ393" s="324">
        <f t="shared" si="175"/>
        <v>0</v>
      </c>
      <c r="BR393" s="324">
        <f t="shared" si="176"/>
        <v>0</v>
      </c>
      <c r="BS393" s="324">
        <f t="shared" si="177"/>
        <v>0</v>
      </c>
      <c r="BT393" s="332">
        <f t="shared" si="178"/>
        <v>0</v>
      </c>
    </row>
    <row r="394" spans="1:72" ht="14.25">
      <c r="A394" s="297"/>
      <c r="B394" s="323"/>
      <c r="C394" s="323"/>
      <c r="D394" s="2215"/>
      <c r="E394" s="324">
        <f t="shared" si="150"/>
        <v>0</v>
      </c>
      <c r="F394" s="325"/>
      <c r="G394" s="326">
        <f t="shared" si="151"/>
        <v>0</v>
      </c>
      <c r="H394" s="327">
        <f t="shared" si="152"/>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153"/>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154"/>
        <v>0</v>
      </c>
      <c r="AW394" s="2210">
        <f t="shared" si="155"/>
        <v>0</v>
      </c>
      <c r="AX394" s="2210">
        <f t="shared" si="156"/>
        <v>0</v>
      </c>
      <c r="AY394" s="331">
        <f t="shared" si="157"/>
        <v>0</v>
      </c>
      <c r="AZ394" s="324">
        <f t="shared" si="158"/>
        <v>0</v>
      </c>
      <c r="BA394" s="324">
        <f t="shared" si="159"/>
        <v>0</v>
      </c>
      <c r="BB394" s="324">
        <f t="shared" si="160"/>
        <v>0</v>
      </c>
      <c r="BC394" s="324">
        <f t="shared" si="161"/>
        <v>0</v>
      </c>
      <c r="BD394" s="324">
        <f t="shared" si="162"/>
        <v>0</v>
      </c>
      <c r="BE394" s="324">
        <f t="shared" si="163"/>
        <v>0</v>
      </c>
      <c r="BF394" s="324">
        <f t="shared" si="164"/>
        <v>0</v>
      </c>
      <c r="BG394" s="324">
        <f t="shared" si="165"/>
        <v>0</v>
      </c>
      <c r="BH394" s="324">
        <f t="shared" si="166"/>
        <v>0</v>
      </c>
      <c r="BI394" s="324">
        <f t="shared" si="167"/>
        <v>0</v>
      </c>
      <c r="BJ394" s="324">
        <f t="shared" si="168"/>
        <v>0</v>
      </c>
      <c r="BK394" s="324">
        <f t="shared" si="169"/>
        <v>0</v>
      </c>
      <c r="BL394" s="324">
        <f t="shared" si="170"/>
        <v>0</v>
      </c>
      <c r="BM394" s="324">
        <f t="shared" si="171"/>
        <v>0</v>
      </c>
      <c r="BN394" s="324">
        <f t="shared" si="172"/>
        <v>0</v>
      </c>
      <c r="BO394" s="324">
        <f t="shared" si="173"/>
        <v>0</v>
      </c>
      <c r="BP394" s="324">
        <f t="shared" si="174"/>
        <v>0</v>
      </c>
      <c r="BQ394" s="324">
        <f t="shared" si="175"/>
        <v>0</v>
      </c>
      <c r="BR394" s="324">
        <f t="shared" si="176"/>
        <v>0</v>
      </c>
      <c r="BS394" s="324">
        <f t="shared" si="177"/>
        <v>0</v>
      </c>
      <c r="BT394" s="332">
        <f t="shared" si="178"/>
        <v>0</v>
      </c>
    </row>
    <row r="395" spans="1:72" ht="14.25">
      <c r="A395" s="297"/>
      <c r="B395" s="297"/>
      <c r="C395" s="297"/>
      <c r="D395" s="2215"/>
      <c r="E395" s="324">
        <f t="shared" si="150"/>
        <v>0</v>
      </c>
      <c r="F395" s="333"/>
      <c r="G395" s="326">
        <f t="shared" si="151"/>
        <v>0</v>
      </c>
      <c r="H395" s="327">
        <f t="shared" si="152"/>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153"/>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154"/>
        <v>0</v>
      </c>
      <c r="AW395" s="2210">
        <f t="shared" si="155"/>
        <v>0</v>
      </c>
      <c r="AX395" s="2210">
        <f t="shared" si="156"/>
        <v>0</v>
      </c>
      <c r="AY395" s="331">
        <f t="shared" si="157"/>
        <v>0</v>
      </c>
      <c r="AZ395" s="324">
        <f t="shared" si="158"/>
        <v>0</v>
      </c>
      <c r="BA395" s="324">
        <f t="shared" si="159"/>
        <v>0</v>
      </c>
      <c r="BB395" s="324">
        <f t="shared" si="160"/>
        <v>0</v>
      </c>
      <c r="BC395" s="324">
        <f t="shared" si="161"/>
        <v>0</v>
      </c>
      <c r="BD395" s="324">
        <f t="shared" si="162"/>
        <v>0</v>
      </c>
      <c r="BE395" s="324">
        <f t="shared" si="163"/>
        <v>0</v>
      </c>
      <c r="BF395" s="324">
        <f t="shared" si="164"/>
        <v>0</v>
      </c>
      <c r="BG395" s="324">
        <f t="shared" si="165"/>
        <v>0</v>
      </c>
      <c r="BH395" s="324">
        <f t="shared" si="166"/>
        <v>0</v>
      </c>
      <c r="BI395" s="324">
        <f t="shared" si="167"/>
        <v>0</v>
      </c>
      <c r="BJ395" s="324">
        <f t="shared" si="168"/>
        <v>0</v>
      </c>
      <c r="BK395" s="324">
        <f t="shared" si="169"/>
        <v>0</v>
      </c>
      <c r="BL395" s="324">
        <f t="shared" si="170"/>
        <v>0</v>
      </c>
      <c r="BM395" s="324">
        <f t="shared" si="171"/>
        <v>0</v>
      </c>
      <c r="BN395" s="324">
        <f t="shared" si="172"/>
        <v>0</v>
      </c>
      <c r="BO395" s="324">
        <f t="shared" si="173"/>
        <v>0</v>
      </c>
      <c r="BP395" s="324">
        <f t="shared" si="174"/>
        <v>0</v>
      </c>
      <c r="BQ395" s="324">
        <f t="shared" si="175"/>
        <v>0</v>
      </c>
      <c r="BR395" s="324">
        <f t="shared" si="176"/>
        <v>0</v>
      </c>
      <c r="BS395" s="324">
        <f t="shared" si="177"/>
        <v>0</v>
      </c>
      <c r="BT395" s="332">
        <f t="shared" si="178"/>
        <v>0</v>
      </c>
    </row>
    <row r="396" spans="1:72" ht="14.25">
      <c r="A396" s="297"/>
      <c r="B396" s="297"/>
      <c r="C396" s="297"/>
      <c r="D396" s="2215"/>
      <c r="E396" s="324">
        <f t="shared" si="150"/>
        <v>0</v>
      </c>
      <c r="F396" s="333"/>
      <c r="G396" s="326">
        <f t="shared" si="151"/>
        <v>0</v>
      </c>
      <c r="H396" s="327">
        <f t="shared" si="152"/>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 t="shared" si="153"/>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154"/>
        <v>0</v>
      </c>
      <c r="AW396" s="2210">
        <f t="shared" si="155"/>
        <v>0</v>
      </c>
      <c r="AX396" s="2210">
        <f t="shared" si="156"/>
        <v>0</v>
      </c>
      <c r="AY396" s="331">
        <f t="shared" si="157"/>
        <v>0</v>
      </c>
      <c r="AZ396" s="324">
        <f t="shared" si="158"/>
        <v>0</v>
      </c>
      <c r="BA396" s="324">
        <f t="shared" si="159"/>
        <v>0</v>
      </c>
      <c r="BB396" s="324">
        <f t="shared" si="160"/>
        <v>0</v>
      </c>
      <c r="BC396" s="324">
        <f t="shared" si="161"/>
        <v>0</v>
      </c>
      <c r="BD396" s="324">
        <f t="shared" si="162"/>
        <v>0</v>
      </c>
      <c r="BE396" s="324">
        <f t="shared" si="163"/>
        <v>0</v>
      </c>
      <c r="BF396" s="324">
        <f t="shared" si="164"/>
        <v>0</v>
      </c>
      <c r="BG396" s="324">
        <f t="shared" si="165"/>
        <v>0</v>
      </c>
      <c r="BH396" s="324">
        <f t="shared" si="166"/>
        <v>0</v>
      </c>
      <c r="BI396" s="324">
        <f t="shared" si="167"/>
        <v>0</v>
      </c>
      <c r="BJ396" s="324">
        <f t="shared" si="168"/>
        <v>0</v>
      </c>
      <c r="BK396" s="324">
        <f t="shared" si="169"/>
        <v>0</v>
      </c>
      <c r="BL396" s="324">
        <f t="shared" si="170"/>
        <v>0</v>
      </c>
      <c r="BM396" s="324">
        <f t="shared" si="171"/>
        <v>0</v>
      </c>
      <c r="BN396" s="324">
        <f t="shared" si="172"/>
        <v>0</v>
      </c>
      <c r="BO396" s="324">
        <f t="shared" si="173"/>
        <v>0</v>
      </c>
      <c r="BP396" s="324">
        <f t="shared" si="174"/>
        <v>0</v>
      </c>
      <c r="BQ396" s="324">
        <f t="shared" si="175"/>
        <v>0</v>
      </c>
      <c r="BR396" s="324">
        <f t="shared" si="176"/>
        <v>0</v>
      </c>
      <c r="BS396" s="324">
        <f t="shared" si="177"/>
        <v>0</v>
      </c>
      <c r="BT396" s="332">
        <f t="shared" si="178"/>
        <v>0</v>
      </c>
    </row>
    <row r="397" spans="1:72" ht="14.25">
      <c r="A397" s="297"/>
      <c r="B397" s="297"/>
      <c r="C397" s="297"/>
      <c r="D397" s="2215"/>
      <c r="E397" s="324">
        <f t="shared" ref="E397:E460" si="179">IF($C$3="是",ROUND($A$3*G397/$B$3,2),ROUND($A$3*(G397-AT397)/$B$3,2))</f>
        <v>0</v>
      </c>
      <c r="F397" s="333"/>
      <c r="G397" s="326">
        <f t="shared" ref="G397:G460" si="180">H397+AC397+AT397</f>
        <v>0</v>
      </c>
      <c r="H397" s="327">
        <f t="shared" ref="H397:H460" si="181">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 t="shared" ref="AC397:AC460" si="182">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ref="AV397:AV460" si="183">A397</f>
        <v>0</v>
      </c>
      <c r="AW397" s="2210">
        <f t="shared" ref="AW397:AW460" si="184">B397</f>
        <v>0</v>
      </c>
      <c r="AX397" s="2210">
        <f t="shared" ref="AX397:AX460" si="185">C397</f>
        <v>0</v>
      </c>
      <c r="AY397" s="331">
        <f t="shared" ref="AY397:AY460" si="186">ROUND($AY$6*AZ397/$AZ$5,2)</f>
        <v>0</v>
      </c>
      <c r="AZ397" s="324">
        <f t="shared" ref="AZ397:AZ460" si="187">BA397+BL397</f>
        <v>0</v>
      </c>
      <c r="BA397" s="324">
        <f t="shared" ref="BA397:BA460" si="188">SUM(BB397:BK397)</f>
        <v>0</v>
      </c>
      <c r="BB397" s="324">
        <f t="shared" ref="BB397:BB460" si="189">IF($D397="是",I397-J397,0)</f>
        <v>0</v>
      </c>
      <c r="BC397" s="324">
        <f t="shared" ref="BC397:BC460" si="190">IF($D397="是",K397-L397,0)</f>
        <v>0</v>
      </c>
      <c r="BD397" s="324">
        <f t="shared" ref="BD397:BD460" si="191">IF($D397="是",M397-N397,0)</f>
        <v>0</v>
      </c>
      <c r="BE397" s="324">
        <f t="shared" ref="BE397:BE460" si="192">IF($D397="是",O397-P397,0)</f>
        <v>0</v>
      </c>
      <c r="BF397" s="324">
        <f t="shared" ref="BF397:BF460" si="193">IF($D397="是",Q397-R397,0)</f>
        <v>0</v>
      </c>
      <c r="BG397" s="324">
        <f t="shared" ref="BG397:BG460" si="194">IF($D397="是",S397-T397,0)</f>
        <v>0</v>
      </c>
      <c r="BH397" s="324">
        <f t="shared" ref="BH397:BH460" si="195">IF($D397="是",U397-V397,0)</f>
        <v>0</v>
      </c>
      <c r="BI397" s="324">
        <f t="shared" ref="BI397:BI460" si="196">IF($D397="是",W397-X397,0)</f>
        <v>0</v>
      </c>
      <c r="BJ397" s="324">
        <f t="shared" ref="BJ397:BJ460" si="197">IF($D397="是",Y397-Z397,0)</f>
        <v>0</v>
      </c>
      <c r="BK397" s="324">
        <f t="shared" ref="BK397:BK460" si="198">IF($D397="是",AA397-AB397,0)</f>
        <v>0</v>
      </c>
      <c r="BL397" s="324">
        <f t="shared" ref="BL397:BL460" si="199">SUM(BM397:BT397)</f>
        <v>0</v>
      </c>
      <c r="BM397" s="324">
        <f t="shared" ref="BM397:BM460" si="200">IF($D397="是",AD397-AE397,0)</f>
        <v>0</v>
      </c>
      <c r="BN397" s="324">
        <f t="shared" ref="BN397:BN460" si="201">IF($D397="是",AF397-AG397,0)</f>
        <v>0</v>
      </c>
      <c r="BO397" s="324">
        <f t="shared" ref="BO397:BO460" si="202">IF($D397="是",AH397-AI397,0)</f>
        <v>0</v>
      </c>
      <c r="BP397" s="324">
        <f t="shared" ref="BP397:BP460" si="203">IF($D397="是",AJ397-AK397,0)</f>
        <v>0</v>
      </c>
      <c r="BQ397" s="324">
        <f t="shared" ref="BQ397:BQ460" si="204">IF($D397="是",AL397-AM397,0)</f>
        <v>0</v>
      </c>
      <c r="BR397" s="324">
        <f t="shared" ref="BR397:BR460" si="205">IF($D397="是",AN397-AO397,0)</f>
        <v>0</v>
      </c>
      <c r="BS397" s="324">
        <f t="shared" ref="BS397:BS460" si="206">IF($D397="是",AP397-AQ397,0)</f>
        <v>0</v>
      </c>
      <c r="BT397" s="332">
        <f t="shared" ref="BT397:BT460" si="207">IF($D397="是",AR397-AS397,0)</f>
        <v>0</v>
      </c>
    </row>
    <row r="398" spans="1:72" ht="14.25">
      <c r="A398" s="297"/>
      <c r="B398" s="323"/>
      <c r="C398" s="323"/>
      <c r="D398" s="2215"/>
      <c r="E398" s="324">
        <f t="shared" si="179"/>
        <v>0</v>
      </c>
      <c r="F398" s="325"/>
      <c r="G398" s="326">
        <f t="shared" si="180"/>
        <v>0</v>
      </c>
      <c r="H398" s="327">
        <f t="shared" si="181"/>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si="182"/>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si="183"/>
        <v>0</v>
      </c>
      <c r="AW398" s="2210">
        <f t="shared" si="184"/>
        <v>0</v>
      </c>
      <c r="AX398" s="2210">
        <f t="shared" si="185"/>
        <v>0</v>
      </c>
      <c r="AY398" s="331">
        <f t="shared" si="186"/>
        <v>0</v>
      </c>
      <c r="AZ398" s="324">
        <f t="shared" si="187"/>
        <v>0</v>
      </c>
      <c r="BA398" s="324">
        <f t="shared" si="188"/>
        <v>0</v>
      </c>
      <c r="BB398" s="324">
        <f t="shared" si="189"/>
        <v>0</v>
      </c>
      <c r="BC398" s="324">
        <f t="shared" si="190"/>
        <v>0</v>
      </c>
      <c r="BD398" s="324">
        <f t="shared" si="191"/>
        <v>0</v>
      </c>
      <c r="BE398" s="324">
        <f t="shared" si="192"/>
        <v>0</v>
      </c>
      <c r="BF398" s="324">
        <f t="shared" si="193"/>
        <v>0</v>
      </c>
      <c r="BG398" s="324">
        <f t="shared" si="194"/>
        <v>0</v>
      </c>
      <c r="BH398" s="324">
        <f t="shared" si="195"/>
        <v>0</v>
      </c>
      <c r="BI398" s="324">
        <f t="shared" si="196"/>
        <v>0</v>
      </c>
      <c r="BJ398" s="324">
        <f t="shared" si="197"/>
        <v>0</v>
      </c>
      <c r="BK398" s="324">
        <f t="shared" si="198"/>
        <v>0</v>
      </c>
      <c r="BL398" s="324">
        <f t="shared" si="199"/>
        <v>0</v>
      </c>
      <c r="BM398" s="324">
        <f t="shared" si="200"/>
        <v>0</v>
      </c>
      <c r="BN398" s="324">
        <f t="shared" si="201"/>
        <v>0</v>
      </c>
      <c r="BO398" s="324">
        <f t="shared" si="202"/>
        <v>0</v>
      </c>
      <c r="BP398" s="324">
        <f t="shared" si="203"/>
        <v>0</v>
      </c>
      <c r="BQ398" s="324">
        <f t="shared" si="204"/>
        <v>0</v>
      </c>
      <c r="BR398" s="324">
        <f t="shared" si="205"/>
        <v>0</v>
      </c>
      <c r="BS398" s="324">
        <f t="shared" si="206"/>
        <v>0</v>
      </c>
      <c r="BT398" s="332">
        <f t="shared" si="207"/>
        <v>0</v>
      </c>
    </row>
    <row r="399" spans="1:72" ht="14.25">
      <c r="A399" s="297"/>
      <c r="B399" s="323"/>
      <c r="C399" s="323"/>
      <c r="D399" s="2215"/>
      <c r="E399" s="324">
        <f t="shared" si="179"/>
        <v>0</v>
      </c>
      <c r="F399" s="325"/>
      <c r="G399" s="326">
        <f t="shared" si="180"/>
        <v>0</v>
      </c>
      <c r="H399" s="327">
        <f t="shared" si="18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18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183"/>
        <v>0</v>
      </c>
      <c r="AW399" s="2210">
        <f t="shared" si="184"/>
        <v>0</v>
      </c>
      <c r="AX399" s="2210">
        <f t="shared" si="185"/>
        <v>0</v>
      </c>
      <c r="AY399" s="331">
        <f t="shared" si="186"/>
        <v>0</v>
      </c>
      <c r="AZ399" s="324">
        <f t="shared" si="187"/>
        <v>0</v>
      </c>
      <c r="BA399" s="324">
        <f t="shared" si="188"/>
        <v>0</v>
      </c>
      <c r="BB399" s="324">
        <f t="shared" si="189"/>
        <v>0</v>
      </c>
      <c r="BC399" s="324">
        <f t="shared" si="190"/>
        <v>0</v>
      </c>
      <c r="BD399" s="324">
        <f t="shared" si="191"/>
        <v>0</v>
      </c>
      <c r="BE399" s="324">
        <f t="shared" si="192"/>
        <v>0</v>
      </c>
      <c r="BF399" s="324">
        <f t="shared" si="193"/>
        <v>0</v>
      </c>
      <c r="BG399" s="324">
        <f t="shared" si="194"/>
        <v>0</v>
      </c>
      <c r="BH399" s="324">
        <f t="shared" si="195"/>
        <v>0</v>
      </c>
      <c r="BI399" s="324">
        <f t="shared" si="196"/>
        <v>0</v>
      </c>
      <c r="BJ399" s="324">
        <f t="shared" si="197"/>
        <v>0</v>
      </c>
      <c r="BK399" s="324">
        <f t="shared" si="198"/>
        <v>0</v>
      </c>
      <c r="BL399" s="324">
        <f t="shared" si="199"/>
        <v>0</v>
      </c>
      <c r="BM399" s="324">
        <f t="shared" si="200"/>
        <v>0</v>
      </c>
      <c r="BN399" s="324">
        <f t="shared" si="201"/>
        <v>0</v>
      </c>
      <c r="BO399" s="324">
        <f t="shared" si="202"/>
        <v>0</v>
      </c>
      <c r="BP399" s="324">
        <f t="shared" si="203"/>
        <v>0</v>
      </c>
      <c r="BQ399" s="324">
        <f t="shared" si="204"/>
        <v>0</v>
      </c>
      <c r="BR399" s="324">
        <f t="shared" si="205"/>
        <v>0</v>
      </c>
      <c r="BS399" s="324">
        <f t="shared" si="206"/>
        <v>0</v>
      </c>
      <c r="BT399" s="332">
        <f t="shared" si="207"/>
        <v>0</v>
      </c>
    </row>
    <row r="400" spans="1:72" ht="14.25">
      <c r="A400" s="297"/>
      <c r="B400" s="323"/>
      <c r="C400" s="323"/>
      <c r="D400" s="2215"/>
      <c r="E400" s="324">
        <f t="shared" si="179"/>
        <v>0</v>
      </c>
      <c r="F400" s="325"/>
      <c r="G400" s="326">
        <f t="shared" si="180"/>
        <v>0</v>
      </c>
      <c r="H400" s="327">
        <f t="shared" si="18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18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183"/>
        <v>0</v>
      </c>
      <c r="AW400" s="2210">
        <f t="shared" si="184"/>
        <v>0</v>
      </c>
      <c r="AX400" s="2210">
        <f t="shared" si="185"/>
        <v>0</v>
      </c>
      <c r="AY400" s="331">
        <f t="shared" si="186"/>
        <v>0</v>
      </c>
      <c r="AZ400" s="324">
        <f t="shared" si="187"/>
        <v>0</v>
      </c>
      <c r="BA400" s="324">
        <f t="shared" si="188"/>
        <v>0</v>
      </c>
      <c r="BB400" s="324">
        <f t="shared" si="189"/>
        <v>0</v>
      </c>
      <c r="BC400" s="324">
        <f t="shared" si="190"/>
        <v>0</v>
      </c>
      <c r="BD400" s="324">
        <f t="shared" si="191"/>
        <v>0</v>
      </c>
      <c r="BE400" s="324">
        <f t="shared" si="192"/>
        <v>0</v>
      </c>
      <c r="BF400" s="324">
        <f t="shared" si="193"/>
        <v>0</v>
      </c>
      <c r="BG400" s="324">
        <f t="shared" si="194"/>
        <v>0</v>
      </c>
      <c r="BH400" s="324">
        <f t="shared" si="195"/>
        <v>0</v>
      </c>
      <c r="BI400" s="324">
        <f t="shared" si="196"/>
        <v>0</v>
      </c>
      <c r="BJ400" s="324">
        <f t="shared" si="197"/>
        <v>0</v>
      </c>
      <c r="BK400" s="324">
        <f t="shared" si="198"/>
        <v>0</v>
      </c>
      <c r="BL400" s="324">
        <f t="shared" si="199"/>
        <v>0</v>
      </c>
      <c r="BM400" s="324">
        <f t="shared" si="200"/>
        <v>0</v>
      </c>
      <c r="BN400" s="324">
        <f t="shared" si="201"/>
        <v>0</v>
      </c>
      <c r="BO400" s="324">
        <f t="shared" si="202"/>
        <v>0</v>
      </c>
      <c r="BP400" s="324">
        <f t="shared" si="203"/>
        <v>0</v>
      </c>
      <c r="BQ400" s="324">
        <f t="shared" si="204"/>
        <v>0</v>
      </c>
      <c r="BR400" s="324">
        <f t="shared" si="205"/>
        <v>0</v>
      </c>
      <c r="BS400" s="324">
        <f t="shared" si="206"/>
        <v>0</v>
      </c>
      <c r="BT400" s="332">
        <f t="shared" si="207"/>
        <v>0</v>
      </c>
    </row>
    <row r="401" spans="1:72" ht="14.25">
      <c r="A401" s="297"/>
      <c r="B401" s="323"/>
      <c r="C401" s="323"/>
      <c r="D401" s="2215"/>
      <c r="E401" s="324">
        <f t="shared" si="179"/>
        <v>0</v>
      </c>
      <c r="F401" s="325"/>
      <c r="G401" s="326">
        <f t="shared" si="180"/>
        <v>0</v>
      </c>
      <c r="H401" s="327">
        <f t="shared" si="18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18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183"/>
        <v>0</v>
      </c>
      <c r="AW401" s="2210">
        <f t="shared" si="184"/>
        <v>0</v>
      </c>
      <c r="AX401" s="2210">
        <f t="shared" si="185"/>
        <v>0</v>
      </c>
      <c r="AY401" s="331">
        <f t="shared" si="186"/>
        <v>0</v>
      </c>
      <c r="AZ401" s="324">
        <f t="shared" si="187"/>
        <v>0</v>
      </c>
      <c r="BA401" s="324">
        <f t="shared" si="188"/>
        <v>0</v>
      </c>
      <c r="BB401" s="324">
        <f t="shared" si="189"/>
        <v>0</v>
      </c>
      <c r="BC401" s="324">
        <f t="shared" si="190"/>
        <v>0</v>
      </c>
      <c r="BD401" s="324">
        <f t="shared" si="191"/>
        <v>0</v>
      </c>
      <c r="BE401" s="324">
        <f t="shared" si="192"/>
        <v>0</v>
      </c>
      <c r="BF401" s="324">
        <f t="shared" si="193"/>
        <v>0</v>
      </c>
      <c r="BG401" s="324">
        <f t="shared" si="194"/>
        <v>0</v>
      </c>
      <c r="BH401" s="324">
        <f t="shared" si="195"/>
        <v>0</v>
      </c>
      <c r="BI401" s="324">
        <f t="shared" si="196"/>
        <v>0</v>
      </c>
      <c r="BJ401" s="324">
        <f t="shared" si="197"/>
        <v>0</v>
      </c>
      <c r="BK401" s="324">
        <f t="shared" si="198"/>
        <v>0</v>
      </c>
      <c r="BL401" s="324">
        <f t="shared" si="199"/>
        <v>0</v>
      </c>
      <c r="BM401" s="324">
        <f t="shared" si="200"/>
        <v>0</v>
      </c>
      <c r="BN401" s="324">
        <f t="shared" si="201"/>
        <v>0</v>
      </c>
      <c r="BO401" s="324">
        <f t="shared" si="202"/>
        <v>0</v>
      </c>
      <c r="BP401" s="324">
        <f t="shared" si="203"/>
        <v>0</v>
      </c>
      <c r="BQ401" s="324">
        <f t="shared" si="204"/>
        <v>0</v>
      </c>
      <c r="BR401" s="324">
        <f t="shared" si="205"/>
        <v>0</v>
      </c>
      <c r="BS401" s="324">
        <f t="shared" si="206"/>
        <v>0</v>
      </c>
      <c r="BT401" s="332">
        <f t="shared" si="207"/>
        <v>0</v>
      </c>
    </row>
    <row r="402" spans="1:72" ht="14.25">
      <c r="A402" s="297"/>
      <c r="B402" s="323"/>
      <c r="C402" s="323"/>
      <c r="D402" s="2215"/>
      <c r="E402" s="324">
        <f t="shared" si="179"/>
        <v>0</v>
      </c>
      <c r="F402" s="325"/>
      <c r="G402" s="326">
        <f t="shared" si="180"/>
        <v>0</v>
      </c>
      <c r="H402" s="327">
        <f t="shared" si="18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18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183"/>
        <v>0</v>
      </c>
      <c r="AW402" s="2210">
        <f t="shared" si="184"/>
        <v>0</v>
      </c>
      <c r="AX402" s="2210">
        <f t="shared" si="185"/>
        <v>0</v>
      </c>
      <c r="AY402" s="331">
        <f t="shared" si="186"/>
        <v>0</v>
      </c>
      <c r="AZ402" s="324">
        <f t="shared" si="187"/>
        <v>0</v>
      </c>
      <c r="BA402" s="324">
        <f t="shared" si="188"/>
        <v>0</v>
      </c>
      <c r="BB402" s="324">
        <f t="shared" si="189"/>
        <v>0</v>
      </c>
      <c r="BC402" s="324">
        <f t="shared" si="190"/>
        <v>0</v>
      </c>
      <c r="BD402" s="324">
        <f t="shared" si="191"/>
        <v>0</v>
      </c>
      <c r="BE402" s="324">
        <f t="shared" si="192"/>
        <v>0</v>
      </c>
      <c r="BF402" s="324">
        <f t="shared" si="193"/>
        <v>0</v>
      </c>
      <c r="BG402" s="324">
        <f t="shared" si="194"/>
        <v>0</v>
      </c>
      <c r="BH402" s="324">
        <f t="shared" si="195"/>
        <v>0</v>
      </c>
      <c r="BI402" s="324">
        <f t="shared" si="196"/>
        <v>0</v>
      </c>
      <c r="BJ402" s="324">
        <f t="shared" si="197"/>
        <v>0</v>
      </c>
      <c r="BK402" s="324">
        <f t="shared" si="198"/>
        <v>0</v>
      </c>
      <c r="BL402" s="324">
        <f t="shared" si="199"/>
        <v>0</v>
      </c>
      <c r="BM402" s="324">
        <f t="shared" si="200"/>
        <v>0</v>
      </c>
      <c r="BN402" s="324">
        <f t="shared" si="201"/>
        <v>0</v>
      </c>
      <c r="BO402" s="324">
        <f t="shared" si="202"/>
        <v>0</v>
      </c>
      <c r="BP402" s="324">
        <f t="shared" si="203"/>
        <v>0</v>
      </c>
      <c r="BQ402" s="324">
        <f t="shared" si="204"/>
        <v>0</v>
      </c>
      <c r="BR402" s="324">
        <f t="shared" si="205"/>
        <v>0</v>
      </c>
      <c r="BS402" s="324">
        <f t="shared" si="206"/>
        <v>0</v>
      </c>
      <c r="BT402" s="332">
        <f t="shared" si="207"/>
        <v>0</v>
      </c>
    </row>
    <row r="403" spans="1:72" ht="14.25">
      <c r="A403" s="297"/>
      <c r="B403" s="323"/>
      <c r="C403" s="323"/>
      <c r="D403" s="2215"/>
      <c r="E403" s="324">
        <f t="shared" si="179"/>
        <v>0</v>
      </c>
      <c r="F403" s="325"/>
      <c r="G403" s="326">
        <f t="shared" si="180"/>
        <v>0</v>
      </c>
      <c r="H403" s="327">
        <f t="shared" si="18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18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183"/>
        <v>0</v>
      </c>
      <c r="AW403" s="2210">
        <f t="shared" si="184"/>
        <v>0</v>
      </c>
      <c r="AX403" s="2210">
        <f t="shared" si="185"/>
        <v>0</v>
      </c>
      <c r="AY403" s="331">
        <f t="shared" si="186"/>
        <v>0</v>
      </c>
      <c r="AZ403" s="324">
        <f t="shared" si="187"/>
        <v>0</v>
      </c>
      <c r="BA403" s="324">
        <f t="shared" si="188"/>
        <v>0</v>
      </c>
      <c r="BB403" s="324">
        <f t="shared" si="189"/>
        <v>0</v>
      </c>
      <c r="BC403" s="324">
        <f t="shared" si="190"/>
        <v>0</v>
      </c>
      <c r="BD403" s="324">
        <f t="shared" si="191"/>
        <v>0</v>
      </c>
      <c r="BE403" s="324">
        <f t="shared" si="192"/>
        <v>0</v>
      </c>
      <c r="BF403" s="324">
        <f t="shared" si="193"/>
        <v>0</v>
      </c>
      <c r="BG403" s="324">
        <f t="shared" si="194"/>
        <v>0</v>
      </c>
      <c r="BH403" s="324">
        <f t="shared" si="195"/>
        <v>0</v>
      </c>
      <c r="BI403" s="324">
        <f t="shared" si="196"/>
        <v>0</v>
      </c>
      <c r="BJ403" s="324">
        <f t="shared" si="197"/>
        <v>0</v>
      </c>
      <c r="BK403" s="324">
        <f t="shared" si="198"/>
        <v>0</v>
      </c>
      <c r="BL403" s="324">
        <f t="shared" si="199"/>
        <v>0</v>
      </c>
      <c r="BM403" s="324">
        <f t="shared" si="200"/>
        <v>0</v>
      </c>
      <c r="BN403" s="324">
        <f t="shared" si="201"/>
        <v>0</v>
      </c>
      <c r="BO403" s="324">
        <f t="shared" si="202"/>
        <v>0</v>
      </c>
      <c r="BP403" s="324">
        <f t="shared" si="203"/>
        <v>0</v>
      </c>
      <c r="BQ403" s="324">
        <f t="shared" si="204"/>
        <v>0</v>
      </c>
      <c r="BR403" s="324">
        <f t="shared" si="205"/>
        <v>0</v>
      </c>
      <c r="BS403" s="324">
        <f t="shared" si="206"/>
        <v>0</v>
      </c>
      <c r="BT403" s="332">
        <f t="shared" si="207"/>
        <v>0</v>
      </c>
    </row>
    <row r="404" spans="1:72" ht="14.25">
      <c r="A404" s="297"/>
      <c r="B404" s="323"/>
      <c r="C404" s="323"/>
      <c r="D404" s="2215"/>
      <c r="E404" s="324">
        <f t="shared" si="179"/>
        <v>0</v>
      </c>
      <c r="F404" s="325"/>
      <c r="G404" s="326">
        <f t="shared" si="180"/>
        <v>0</v>
      </c>
      <c r="H404" s="327">
        <f t="shared" si="18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18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183"/>
        <v>0</v>
      </c>
      <c r="AW404" s="2210">
        <f t="shared" si="184"/>
        <v>0</v>
      </c>
      <c r="AX404" s="2210">
        <f t="shared" si="185"/>
        <v>0</v>
      </c>
      <c r="AY404" s="331">
        <f t="shared" si="186"/>
        <v>0</v>
      </c>
      <c r="AZ404" s="324">
        <f t="shared" si="187"/>
        <v>0</v>
      </c>
      <c r="BA404" s="324">
        <f t="shared" si="188"/>
        <v>0</v>
      </c>
      <c r="BB404" s="324">
        <f t="shared" si="189"/>
        <v>0</v>
      </c>
      <c r="BC404" s="324">
        <f t="shared" si="190"/>
        <v>0</v>
      </c>
      <c r="BD404" s="324">
        <f t="shared" si="191"/>
        <v>0</v>
      </c>
      <c r="BE404" s="324">
        <f t="shared" si="192"/>
        <v>0</v>
      </c>
      <c r="BF404" s="324">
        <f t="shared" si="193"/>
        <v>0</v>
      </c>
      <c r="BG404" s="324">
        <f t="shared" si="194"/>
        <v>0</v>
      </c>
      <c r="BH404" s="324">
        <f t="shared" si="195"/>
        <v>0</v>
      </c>
      <c r="BI404" s="324">
        <f t="shared" si="196"/>
        <v>0</v>
      </c>
      <c r="BJ404" s="324">
        <f t="shared" si="197"/>
        <v>0</v>
      </c>
      <c r="BK404" s="324">
        <f t="shared" si="198"/>
        <v>0</v>
      </c>
      <c r="BL404" s="324">
        <f t="shared" si="199"/>
        <v>0</v>
      </c>
      <c r="BM404" s="324">
        <f t="shared" si="200"/>
        <v>0</v>
      </c>
      <c r="BN404" s="324">
        <f t="shared" si="201"/>
        <v>0</v>
      </c>
      <c r="BO404" s="324">
        <f t="shared" si="202"/>
        <v>0</v>
      </c>
      <c r="BP404" s="324">
        <f t="shared" si="203"/>
        <v>0</v>
      </c>
      <c r="BQ404" s="324">
        <f t="shared" si="204"/>
        <v>0</v>
      </c>
      <c r="BR404" s="324">
        <f t="shared" si="205"/>
        <v>0</v>
      </c>
      <c r="BS404" s="324">
        <f t="shared" si="206"/>
        <v>0</v>
      </c>
      <c r="BT404" s="332">
        <f t="shared" si="207"/>
        <v>0</v>
      </c>
    </row>
    <row r="405" spans="1:72" ht="14.25">
      <c r="A405" s="297"/>
      <c r="B405" s="323"/>
      <c r="C405" s="323"/>
      <c r="D405" s="2215"/>
      <c r="E405" s="324">
        <f t="shared" si="179"/>
        <v>0</v>
      </c>
      <c r="F405" s="325"/>
      <c r="G405" s="326">
        <f t="shared" si="180"/>
        <v>0</v>
      </c>
      <c r="H405" s="327">
        <f t="shared" si="18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18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183"/>
        <v>0</v>
      </c>
      <c r="AW405" s="2210">
        <f t="shared" si="184"/>
        <v>0</v>
      </c>
      <c r="AX405" s="2210">
        <f t="shared" si="185"/>
        <v>0</v>
      </c>
      <c r="AY405" s="331">
        <f t="shared" si="186"/>
        <v>0</v>
      </c>
      <c r="AZ405" s="324">
        <f t="shared" si="187"/>
        <v>0</v>
      </c>
      <c r="BA405" s="324">
        <f t="shared" si="188"/>
        <v>0</v>
      </c>
      <c r="BB405" s="324">
        <f t="shared" si="189"/>
        <v>0</v>
      </c>
      <c r="BC405" s="324">
        <f t="shared" si="190"/>
        <v>0</v>
      </c>
      <c r="BD405" s="324">
        <f t="shared" si="191"/>
        <v>0</v>
      </c>
      <c r="BE405" s="324">
        <f t="shared" si="192"/>
        <v>0</v>
      </c>
      <c r="BF405" s="324">
        <f t="shared" si="193"/>
        <v>0</v>
      </c>
      <c r="BG405" s="324">
        <f t="shared" si="194"/>
        <v>0</v>
      </c>
      <c r="BH405" s="324">
        <f t="shared" si="195"/>
        <v>0</v>
      </c>
      <c r="BI405" s="324">
        <f t="shared" si="196"/>
        <v>0</v>
      </c>
      <c r="BJ405" s="324">
        <f t="shared" si="197"/>
        <v>0</v>
      </c>
      <c r="BK405" s="324">
        <f t="shared" si="198"/>
        <v>0</v>
      </c>
      <c r="BL405" s="324">
        <f t="shared" si="199"/>
        <v>0</v>
      </c>
      <c r="BM405" s="324">
        <f t="shared" si="200"/>
        <v>0</v>
      </c>
      <c r="BN405" s="324">
        <f t="shared" si="201"/>
        <v>0</v>
      </c>
      <c r="BO405" s="324">
        <f t="shared" si="202"/>
        <v>0</v>
      </c>
      <c r="BP405" s="324">
        <f t="shared" si="203"/>
        <v>0</v>
      </c>
      <c r="BQ405" s="324">
        <f t="shared" si="204"/>
        <v>0</v>
      </c>
      <c r="BR405" s="324">
        <f t="shared" si="205"/>
        <v>0</v>
      </c>
      <c r="BS405" s="324">
        <f t="shared" si="206"/>
        <v>0</v>
      </c>
      <c r="BT405" s="332">
        <f t="shared" si="207"/>
        <v>0</v>
      </c>
    </row>
    <row r="406" spans="1:72" ht="14.25">
      <c r="A406" s="297"/>
      <c r="B406" s="323"/>
      <c r="C406" s="323"/>
      <c r="D406" s="2215"/>
      <c r="E406" s="324">
        <f t="shared" si="179"/>
        <v>0</v>
      </c>
      <c r="F406" s="325"/>
      <c r="G406" s="326">
        <f t="shared" si="180"/>
        <v>0</v>
      </c>
      <c r="H406" s="327">
        <f t="shared" si="18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18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183"/>
        <v>0</v>
      </c>
      <c r="AW406" s="2210">
        <f t="shared" si="184"/>
        <v>0</v>
      </c>
      <c r="AX406" s="2210">
        <f t="shared" si="185"/>
        <v>0</v>
      </c>
      <c r="AY406" s="331">
        <f t="shared" si="186"/>
        <v>0</v>
      </c>
      <c r="AZ406" s="324">
        <f t="shared" si="187"/>
        <v>0</v>
      </c>
      <c r="BA406" s="324">
        <f t="shared" si="188"/>
        <v>0</v>
      </c>
      <c r="BB406" s="324">
        <f t="shared" si="189"/>
        <v>0</v>
      </c>
      <c r="BC406" s="324">
        <f t="shared" si="190"/>
        <v>0</v>
      </c>
      <c r="BD406" s="324">
        <f t="shared" si="191"/>
        <v>0</v>
      </c>
      <c r="BE406" s="324">
        <f t="shared" si="192"/>
        <v>0</v>
      </c>
      <c r="BF406" s="324">
        <f t="shared" si="193"/>
        <v>0</v>
      </c>
      <c r="BG406" s="324">
        <f t="shared" si="194"/>
        <v>0</v>
      </c>
      <c r="BH406" s="324">
        <f t="shared" si="195"/>
        <v>0</v>
      </c>
      <c r="BI406" s="324">
        <f t="shared" si="196"/>
        <v>0</v>
      </c>
      <c r="BJ406" s="324">
        <f t="shared" si="197"/>
        <v>0</v>
      </c>
      <c r="BK406" s="324">
        <f t="shared" si="198"/>
        <v>0</v>
      </c>
      <c r="BL406" s="324">
        <f t="shared" si="199"/>
        <v>0</v>
      </c>
      <c r="BM406" s="324">
        <f t="shared" si="200"/>
        <v>0</v>
      </c>
      <c r="BN406" s="324">
        <f t="shared" si="201"/>
        <v>0</v>
      </c>
      <c r="BO406" s="324">
        <f t="shared" si="202"/>
        <v>0</v>
      </c>
      <c r="BP406" s="324">
        <f t="shared" si="203"/>
        <v>0</v>
      </c>
      <c r="BQ406" s="324">
        <f t="shared" si="204"/>
        <v>0</v>
      </c>
      <c r="BR406" s="324">
        <f t="shared" si="205"/>
        <v>0</v>
      </c>
      <c r="BS406" s="324">
        <f t="shared" si="206"/>
        <v>0</v>
      </c>
      <c r="BT406" s="332">
        <f t="shared" si="207"/>
        <v>0</v>
      </c>
    </row>
    <row r="407" spans="1:72" ht="14.25">
      <c r="A407" s="297"/>
      <c r="B407" s="323"/>
      <c r="C407" s="323"/>
      <c r="D407" s="2215"/>
      <c r="E407" s="324">
        <f t="shared" si="179"/>
        <v>0</v>
      </c>
      <c r="F407" s="325"/>
      <c r="G407" s="326">
        <f t="shared" si="180"/>
        <v>0</v>
      </c>
      <c r="H407" s="327">
        <f t="shared" si="18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18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183"/>
        <v>0</v>
      </c>
      <c r="AW407" s="2210">
        <f t="shared" si="184"/>
        <v>0</v>
      </c>
      <c r="AX407" s="2210">
        <f t="shared" si="185"/>
        <v>0</v>
      </c>
      <c r="AY407" s="331">
        <f t="shared" si="186"/>
        <v>0</v>
      </c>
      <c r="AZ407" s="324">
        <f t="shared" si="187"/>
        <v>0</v>
      </c>
      <c r="BA407" s="324">
        <f t="shared" si="188"/>
        <v>0</v>
      </c>
      <c r="BB407" s="324">
        <f t="shared" si="189"/>
        <v>0</v>
      </c>
      <c r="BC407" s="324">
        <f t="shared" si="190"/>
        <v>0</v>
      </c>
      <c r="BD407" s="324">
        <f t="shared" si="191"/>
        <v>0</v>
      </c>
      <c r="BE407" s="324">
        <f t="shared" si="192"/>
        <v>0</v>
      </c>
      <c r="BF407" s="324">
        <f t="shared" si="193"/>
        <v>0</v>
      </c>
      <c r="BG407" s="324">
        <f t="shared" si="194"/>
        <v>0</v>
      </c>
      <c r="BH407" s="324">
        <f t="shared" si="195"/>
        <v>0</v>
      </c>
      <c r="BI407" s="324">
        <f t="shared" si="196"/>
        <v>0</v>
      </c>
      <c r="BJ407" s="324">
        <f t="shared" si="197"/>
        <v>0</v>
      </c>
      <c r="BK407" s="324">
        <f t="shared" si="198"/>
        <v>0</v>
      </c>
      <c r="BL407" s="324">
        <f t="shared" si="199"/>
        <v>0</v>
      </c>
      <c r="BM407" s="324">
        <f t="shared" si="200"/>
        <v>0</v>
      </c>
      <c r="BN407" s="324">
        <f t="shared" si="201"/>
        <v>0</v>
      </c>
      <c r="BO407" s="324">
        <f t="shared" si="202"/>
        <v>0</v>
      </c>
      <c r="BP407" s="324">
        <f t="shared" si="203"/>
        <v>0</v>
      </c>
      <c r="BQ407" s="324">
        <f t="shared" si="204"/>
        <v>0</v>
      </c>
      <c r="BR407" s="324">
        <f t="shared" si="205"/>
        <v>0</v>
      </c>
      <c r="BS407" s="324">
        <f t="shared" si="206"/>
        <v>0</v>
      </c>
      <c r="BT407" s="332">
        <f t="shared" si="207"/>
        <v>0</v>
      </c>
    </row>
    <row r="408" spans="1:72" ht="14.25">
      <c r="A408" s="297"/>
      <c r="B408" s="323"/>
      <c r="C408" s="323"/>
      <c r="D408" s="2215"/>
      <c r="E408" s="324">
        <f t="shared" si="179"/>
        <v>0</v>
      </c>
      <c r="F408" s="325"/>
      <c r="G408" s="326">
        <f t="shared" si="180"/>
        <v>0</v>
      </c>
      <c r="H408" s="327">
        <f t="shared" si="18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18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183"/>
        <v>0</v>
      </c>
      <c r="AW408" s="2210">
        <f t="shared" si="184"/>
        <v>0</v>
      </c>
      <c r="AX408" s="2210">
        <f t="shared" si="185"/>
        <v>0</v>
      </c>
      <c r="AY408" s="331">
        <f t="shared" si="186"/>
        <v>0</v>
      </c>
      <c r="AZ408" s="324">
        <f t="shared" si="187"/>
        <v>0</v>
      </c>
      <c r="BA408" s="324">
        <f t="shared" si="188"/>
        <v>0</v>
      </c>
      <c r="BB408" s="324">
        <f t="shared" si="189"/>
        <v>0</v>
      </c>
      <c r="BC408" s="324">
        <f t="shared" si="190"/>
        <v>0</v>
      </c>
      <c r="BD408" s="324">
        <f t="shared" si="191"/>
        <v>0</v>
      </c>
      <c r="BE408" s="324">
        <f t="shared" si="192"/>
        <v>0</v>
      </c>
      <c r="BF408" s="324">
        <f t="shared" si="193"/>
        <v>0</v>
      </c>
      <c r="BG408" s="324">
        <f t="shared" si="194"/>
        <v>0</v>
      </c>
      <c r="BH408" s="324">
        <f t="shared" si="195"/>
        <v>0</v>
      </c>
      <c r="BI408" s="324">
        <f t="shared" si="196"/>
        <v>0</v>
      </c>
      <c r="BJ408" s="324">
        <f t="shared" si="197"/>
        <v>0</v>
      </c>
      <c r="BK408" s="324">
        <f t="shared" si="198"/>
        <v>0</v>
      </c>
      <c r="BL408" s="324">
        <f t="shared" si="199"/>
        <v>0</v>
      </c>
      <c r="BM408" s="324">
        <f t="shared" si="200"/>
        <v>0</v>
      </c>
      <c r="BN408" s="324">
        <f t="shared" si="201"/>
        <v>0</v>
      </c>
      <c r="BO408" s="324">
        <f t="shared" si="202"/>
        <v>0</v>
      </c>
      <c r="BP408" s="324">
        <f t="shared" si="203"/>
        <v>0</v>
      </c>
      <c r="BQ408" s="324">
        <f t="shared" si="204"/>
        <v>0</v>
      </c>
      <c r="BR408" s="324">
        <f t="shared" si="205"/>
        <v>0</v>
      </c>
      <c r="BS408" s="324">
        <f t="shared" si="206"/>
        <v>0</v>
      </c>
      <c r="BT408" s="332">
        <f t="shared" si="207"/>
        <v>0</v>
      </c>
    </row>
    <row r="409" spans="1:72" ht="14.25">
      <c r="A409" s="297"/>
      <c r="B409" s="323"/>
      <c r="C409" s="323"/>
      <c r="D409" s="2215"/>
      <c r="E409" s="324">
        <f t="shared" si="179"/>
        <v>0</v>
      </c>
      <c r="F409" s="325"/>
      <c r="G409" s="326">
        <f t="shared" si="180"/>
        <v>0</v>
      </c>
      <c r="H409" s="327">
        <f t="shared" si="18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18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183"/>
        <v>0</v>
      </c>
      <c r="AW409" s="2210">
        <f t="shared" si="184"/>
        <v>0</v>
      </c>
      <c r="AX409" s="2210">
        <f t="shared" si="185"/>
        <v>0</v>
      </c>
      <c r="AY409" s="331">
        <f t="shared" si="186"/>
        <v>0</v>
      </c>
      <c r="AZ409" s="324">
        <f t="shared" si="187"/>
        <v>0</v>
      </c>
      <c r="BA409" s="324">
        <f t="shared" si="188"/>
        <v>0</v>
      </c>
      <c r="BB409" s="324">
        <f t="shared" si="189"/>
        <v>0</v>
      </c>
      <c r="BC409" s="324">
        <f t="shared" si="190"/>
        <v>0</v>
      </c>
      <c r="BD409" s="324">
        <f t="shared" si="191"/>
        <v>0</v>
      </c>
      <c r="BE409" s="324">
        <f t="shared" si="192"/>
        <v>0</v>
      </c>
      <c r="BF409" s="324">
        <f t="shared" si="193"/>
        <v>0</v>
      </c>
      <c r="BG409" s="324">
        <f t="shared" si="194"/>
        <v>0</v>
      </c>
      <c r="BH409" s="324">
        <f t="shared" si="195"/>
        <v>0</v>
      </c>
      <c r="BI409" s="324">
        <f t="shared" si="196"/>
        <v>0</v>
      </c>
      <c r="BJ409" s="324">
        <f t="shared" si="197"/>
        <v>0</v>
      </c>
      <c r="BK409" s="324">
        <f t="shared" si="198"/>
        <v>0</v>
      </c>
      <c r="BL409" s="324">
        <f t="shared" si="199"/>
        <v>0</v>
      </c>
      <c r="BM409" s="324">
        <f t="shared" si="200"/>
        <v>0</v>
      </c>
      <c r="BN409" s="324">
        <f t="shared" si="201"/>
        <v>0</v>
      </c>
      <c r="BO409" s="324">
        <f t="shared" si="202"/>
        <v>0</v>
      </c>
      <c r="BP409" s="324">
        <f t="shared" si="203"/>
        <v>0</v>
      </c>
      <c r="BQ409" s="324">
        <f t="shared" si="204"/>
        <v>0</v>
      </c>
      <c r="BR409" s="324">
        <f t="shared" si="205"/>
        <v>0</v>
      </c>
      <c r="BS409" s="324">
        <f t="shared" si="206"/>
        <v>0</v>
      </c>
      <c r="BT409" s="332">
        <f t="shared" si="207"/>
        <v>0</v>
      </c>
    </row>
    <row r="410" spans="1:72" ht="14.25">
      <c r="A410" s="297"/>
      <c r="B410" s="323"/>
      <c r="C410" s="323"/>
      <c r="D410" s="2215"/>
      <c r="E410" s="324">
        <f t="shared" si="179"/>
        <v>0</v>
      </c>
      <c r="F410" s="325"/>
      <c r="G410" s="326">
        <f t="shared" si="180"/>
        <v>0</v>
      </c>
      <c r="H410" s="327">
        <f t="shared" si="18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18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183"/>
        <v>0</v>
      </c>
      <c r="AW410" s="2210">
        <f t="shared" si="184"/>
        <v>0</v>
      </c>
      <c r="AX410" s="2210">
        <f t="shared" si="185"/>
        <v>0</v>
      </c>
      <c r="AY410" s="331">
        <f t="shared" si="186"/>
        <v>0</v>
      </c>
      <c r="AZ410" s="324">
        <f t="shared" si="187"/>
        <v>0</v>
      </c>
      <c r="BA410" s="324">
        <f t="shared" si="188"/>
        <v>0</v>
      </c>
      <c r="BB410" s="324">
        <f t="shared" si="189"/>
        <v>0</v>
      </c>
      <c r="BC410" s="324">
        <f t="shared" si="190"/>
        <v>0</v>
      </c>
      <c r="BD410" s="324">
        <f t="shared" si="191"/>
        <v>0</v>
      </c>
      <c r="BE410" s="324">
        <f t="shared" si="192"/>
        <v>0</v>
      </c>
      <c r="BF410" s="324">
        <f t="shared" si="193"/>
        <v>0</v>
      </c>
      <c r="BG410" s="324">
        <f t="shared" si="194"/>
        <v>0</v>
      </c>
      <c r="BH410" s="324">
        <f t="shared" si="195"/>
        <v>0</v>
      </c>
      <c r="BI410" s="324">
        <f t="shared" si="196"/>
        <v>0</v>
      </c>
      <c r="BJ410" s="324">
        <f t="shared" si="197"/>
        <v>0</v>
      </c>
      <c r="BK410" s="324">
        <f t="shared" si="198"/>
        <v>0</v>
      </c>
      <c r="BL410" s="324">
        <f t="shared" si="199"/>
        <v>0</v>
      </c>
      <c r="BM410" s="324">
        <f t="shared" si="200"/>
        <v>0</v>
      </c>
      <c r="BN410" s="324">
        <f t="shared" si="201"/>
        <v>0</v>
      </c>
      <c r="BO410" s="324">
        <f t="shared" si="202"/>
        <v>0</v>
      </c>
      <c r="BP410" s="324">
        <f t="shared" si="203"/>
        <v>0</v>
      </c>
      <c r="BQ410" s="324">
        <f t="shared" si="204"/>
        <v>0</v>
      </c>
      <c r="BR410" s="324">
        <f t="shared" si="205"/>
        <v>0</v>
      </c>
      <c r="BS410" s="324">
        <f t="shared" si="206"/>
        <v>0</v>
      </c>
      <c r="BT410" s="332">
        <f t="shared" si="207"/>
        <v>0</v>
      </c>
    </row>
    <row r="411" spans="1:72" ht="14.25">
      <c r="A411" s="297"/>
      <c r="B411" s="323"/>
      <c r="C411" s="323"/>
      <c r="D411" s="2215"/>
      <c r="E411" s="324">
        <f t="shared" si="179"/>
        <v>0</v>
      </c>
      <c r="F411" s="325"/>
      <c r="G411" s="326">
        <f t="shared" si="180"/>
        <v>0</v>
      </c>
      <c r="H411" s="327">
        <f t="shared" si="18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18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183"/>
        <v>0</v>
      </c>
      <c r="AW411" s="2210">
        <f t="shared" si="184"/>
        <v>0</v>
      </c>
      <c r="AX411" s="2210">
        <f t="shared" si="185"/>
        <v>0</v>
      </c>
      <c r="AY411" s="331">
        <f t="shared" si="186"/>
        <v>0</v>
      </c>
      <c r="AZ411" s="324">
        <f t="shared" si="187"/>
        <v>0</v>
      </c>
      <c r="BA411" s="324">
        <f t="shared" si="188"/>
        <v>0</v>
      </c>
      <c r="BB411" s="324">
        <f t="shared" si="189"/>
        <v>0</v>
      </c>
      <c r="BC411" s="324">
        <f t="shared" si="190"/>
        <v>0</v>
      </c>
      <c r="BD411" s="324">
        <f t="shared" si="191"/>
        <v>0</v>
      </c>
      <c r="BE411" s="324">
        <f t="shared" si="192"/>
        <v>0</v>
      </c>
      <c r="BF411" s="324">
        <f t="shared" si="193"/>
        <v>0</v>
      </c>
      <c r="BG411" s="324">
        <f t="shared" si="194"/>
        <v>0</v>
      </c>
      <c r="BH411" s="324">
        <f t="shared" si="195"/>
        <v>0</v>
      </c>
      <c r="BI411" s="324">
        <f t="shared" si="196"/>
        <v>0</v>
      </c>
      <c r="BJ411" s="324">
        <f t="shared" si="197"/>
        <v>0</v>
      </c>
      <c r="BK411" s="324">
        <f t="shared" si="198"/>
        <v>0</v>
      </c>
      <c r="BL411" s="324">
        <f t="shared" si="199"/>
        <v>0</v>
      </c>
      <c r="BM411" s="324">
        <f t="shared" si="200"/>
        <v>0</v>
      </c>
      <c r="BN411" s="324">
        <f t="shared" si="201"/>
        <v>0</v>
      </c>
      <c r="BO411" s="324">
        <f t="shared" si="202"/>
        <v>0</v>
      </c>
      <c r="BP411" s="324">
        <f t="shared" si="203"/>
        <v>0</v>
      </c>
      <c r="BQ411" s="324">
        <f t="shared" si="204"/>
        <v>0</v>
      </c>
      <c r="BR411" s="324">
        <f t="shared" si="205"/>
        <v>0</v>
      </c>
      <c r="BS411" s="324">
        <f t="shared" si="206"/>
        <v>0</v>
      </c>
      <c r="BT411" s="332">
        <f t="shared" si="207"/>
        <v>0</v>
      </c>
    </row>
    <row r="412" spans="1:72" ht="14.25">
      <c r="A412" s="297"/>
      <c r="B412" s="323"/>
      <c r="C412" s="323"/>
      <c r="D412" s="2215"/>
      <c r="E412" s="324">
        <f t="shared" si="179"/>
        <v>0</v>
      </c>
      <c r="F412" s="325"/>
      <c r="G412" s="326">
        <f t="shared" si="180"/>
        <v>0</v>
      </c>
      <c r="H412" s="327">
        <f t="shared" si="18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18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183"/>
        <v>0</v>
      </c>
      <c r="AW412" s="2210">
        <f t="shared" si="184"/>
        <v>0</v>
      </c>
      <c r="AX412" s="2210">
        <f t="shared" si="185"/>
        <v>0</v>
      </c>
      <c r="AY412" s="331">
        <f t="shared" si="186"/>
        <v>0</v>
      </c>
      <c r="AZ412" s="324">
        <f t="shared" si="187"/>
        <v>0</v>
      </c>
      <c r="BA412" s="324">
        <f t="shared" si="188"/>
        <v>0</v>
      </c>
      <c r="BB412" s="324">
        <f t="shared" si="189"/>
        <v>0</v>
      </c>
      <c r="BC412" s="324">
        <f t="shared" si="190"/>
        <v>0</v>
      </c>
      <c r="BD412" s="324">
        <f t="shared" si="191"/>
        <v>0</v>
      </c>
      <c r="BE412" s="324">
        <f t="shared" si="192"/>
        <v>0</v>
      </c>
      <c r="BF412" s="324">
        <f t="shared" si="193"/>
        <v>0</v>
      </c>
      <c r="BG412" s="324">
        <f t="shared" si="194"/>
        <v>0</v>
      </c>
      <c r="BH412" s="324">
        <f t="shared" si="195"/>
        <v>0</v>
      </c>
      <c r="BI412" s="324">
        <f t="shared" si="196"/>
        <v>0</v>
      </c>
      <c r="BJ412" s="324">
        <f t="shared" si="197"/>
        <v>0</v>
      </c>
      <c r="BK412" s="324">
        <f t="shared" si="198"/>
        <v>0</v>
      </c>
      <c r="BL412" s="324">
        <f t="shared" si="199"/>
        <v>0</v>
      </c>
      <c r="BM412" s="324">
        <f t="shared" si="200"/>
        <v>0</v>
      </c>
      <c r="BN412" s="324">
        <f t="shared" si="201"/>
        <v>0</v>
      </c>
      <c r="BO412" s="324">
        <f t="shared" si="202"/>
        <v>0</v>
      </c>
      <c r="BP412" s="324">
        <f t="shared" si="203"/>
        <v>0</v>
      </c>
      <c r="BQ412" s="324">
        <f t="shared" si="204"/>
        <v>0</v>
      </c>
      <c r="BR412" s="324">
        <f t="shared" si="205"/>
        <v>0</v>
      </c>
      <c r="BS412" s="324">
        <f t="shared" si="206"/>
        <v>0</v>
      </c>
      <c r="BT412" s="332">
        <f t="shared" si="207"/>
        <v>0</v>
      </c>
    </row>
    <row r="413" spans="1:72" ht="14.25">
      <c r="A413" s="297"/>
      <c r="B413" s="323"/>
      <c r="C413" s="323"/>
      <c r="D413" s="2215"/>
      <c r="E413" s="324">
        <f t="shared" si="179"/>
        <v>0</v>
      </c>
      <c r="F413" s="325"/>
      <c r="G413" s="326">
        <f t="shared" si="180"/>
        <v>0</v>
      </c>
      <c r="H413" s="327">
        <f t="shared" si="18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18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183"/>
        <v>0</v>
      </c>
      <c r="AW413" s="2210">
        <f t="shared" si="184"/>
        <v>0</v>
      </c>
      <c r="AX413" s="2210">
        <f t="shared" si="185"/>
        <v>0</v>
      </c>
      <c r="AY413" s="331">
        <f t="shared" si="186"/>
        <v>0</v>
      </c>
      <c r="AZ413" s="324">
        <f t="shared" si="187"/>
        <v>0</v>
      </c>
      <c r="BA413" s="324">
        <f t="shared" si="188"/>
        <v>0</v>
      </c>
      <c r="BB413" s="324">
        <f t="shared" si="189"/>
        <v>0</v>
      </c>
      <c r="BC413" s="324">
        <f t="shared" si="190"/>
        <v>0</v>
      </c>
      <c r="BD413" s="324">
        <f t="shared" si="191"/>
        <v>0</v>
      </c>
      <c r="BE413" s="324">
        <f t="shared" si="192"/>
        <v>0</v>
      </c>
      <c r="BF413" s="324">
        <f t="shared" si="193"/>
        <v>0</v>
      </c>
      <c r="BG413" s="324">
        <f t="shared" si="194"/>
        <v>0</v>
      </c>
      <c r="BH413" s="324">
        <f t="shared" si="195"/>
        <v>0</v>
      </c>
      <c r="BI413" s="324">
        <f t="shared" si="196"/>
        <v>0</v>
      </c>
      <c r="BJ413" s="324">
        <f t="shared" si="197"/>
        <v>0</v>
      </c>
      <c r="BK413" s="324">
        <f t="shared" si="198"/>
        <v>0</v>
      </c>
      <c r="BL413" s="324">
        <f t="shared" si="199"/>
        <v>0</v>
      </c>
      <c r="BM413" s="324">
        <f t="shared" si="200"/>
        <v>0</v>
      </c>
      <c r="BN413" s="324">
        <f t="shared" si="201"/>
        <v>0</v>
      </c>
      <c r="BO413" s="324">
        <f t="shared" si="202"/>
        <v>0</v>
      </c>
      <c r="BP413" s="324">
        <f t="shared" si="203"/>
        <v>0</v>
      </c>
      <c r="BQ413" s="324">
        <f t="shared" si="204"/>
        <v>0</v>
      </c>
      <c r="BR413" s="324">
        <f t="shared" si="205"/>
        <v>0</v>
      </c>
      <c r="BS413" s="324">
        <f t="shared" si="206"/>
        <v>0</v>
      </c>
      <c r="BT413" s="332">
        <f t="shared" si="207"/>
        <v>0</v>
      </c>
    </row>
    <row r="414" spans="1:72" ht="14.25">
      <c r="A414" s="297"/>
      <c r="B414" s="323"/>
      <c r="C414" s="323"/>
      <c r="D414" s="2215"/>
      <c r="E414" s="324">
        <f t="shared" si="179"/>
        <v>0</v>
      </c>
      <c r="F414" s="325"/>
      <c r="G414" s="326">
        <f t="shared" si="180"/>
        <v>0</v>
      </c>
      <c r="H414" s="327">
        <f t="shared" si="18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18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183"/>
        <v>0</v>
      </c>
      <c r="AW414" s="2210">
        <f t="shared" si="184"/>
        <v>0</v>
      </c>
      <c r="AX414" s="2210">
        <f t="shared" si="185"/>
        <v>0</v>
      </c>
      <c r="AY414" s="331">
        <f t="shared" si="186"/>
        <v>0</v>
      </c>
      <c r="AZ414" s="324">
        <f t="shared" si="187"/>
        <v>0</v>
      </c>
      <c r="BA414" s="324">
        <f t="shared" si="188"/>
        <v>0</v>
      </c>
      <c r="BB414" s="324">
        <f t="shared" si="189"/>
        <v>0</v>
      </c>
      <c r="BC414" s="324">
        <f t="shared" si="190"/>
        <v>0</v>
      </c>
      <c r="BD414" s="324">
        <f t="shared" si="191"/>
        <v>0</v>
      </c>
      <c r="BE414" s="324">
        <f t="shared" si="192"/>
        <v>0</v>
      </c>
      <c r="BF414" s="324">
        <f t="shared" si="193"/>
        <v>0</v>
      </c>
      <c r="BG414" s="324">
        <f t="shared" si="194"/>
        <v>0</v>
      </c>
      <c r="BH414" s="324">
        <f t="shared" si="195"/>
        <v>0</v>
      </c>
      <c r="BI414" s="324">
        <f t="shared" si="196"/>
        <v>0</v>
      </c>
      <c r="BJ414" s="324">
        <f t="shared" si="197"/>
        <v>0</v>
      </c>
      <c r="BK414" s="324">
        <f t="shared" si="198"/>
        <v>0</v>
      </c>
      <c r="BL414" s="324">
        <f t="shared" si="199"/>
        <v>0</v>
      </c>
      <c r="BM414" s="324">
        <f t="shared" si="200"/>
        <v>0</v>
      </c>
      <c r="BN414" s="324">
        <f t="shared" si="201"/>
        <v>0</v>
      </c>
      <c r="BO414" s="324">
        <f t="shared" si="202"/>
        <v>0</v>
      </c>
      <c r="BP414" s="324">
        <f t="shared" si="203"/>
        <v>0</v>
      </c>
      <c r="BQ414" s="324">
        <f t="shared" si="204"/>
        <v>0</v>
      </c>
      <c r="BR414" s="324">
        <f t="shared" si="205"/>
        <v>0</v>
      </c>
      <c r="BS414" s="324">
        <f t="shared" si="206"/>
        <v>0</v>
      </c>
      <c r="BT414" s="332">
        <f t="shared" si="207"/>
        <v>0</v>
      </c>
    </row>
    <row r="415" spans="1:72" ht="14.25">
      <c r="A415" s="297"/>
      <c r="B415" s="323"/>
      <c r="C415" s="323"/>
      <c r="D415" s="2215"/>
      <c r="E415" s="324">
        <f t="shared" si="179"/>
        <v>0</v>
      </c>
      <c r="F415" s="325"/>
      <c r="G415" s="326">
        <f t="shared" si="180"/>
        <v>0</v>
      </c>
      <c r="H415" s="327">
        <f t="shared" si="18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18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183"/>
        <v>0</v>
      </c>
      <c r="AW415" s="2210">
        <f t="shared" si="184"/>
        <v>0</v>
      </c>
      <c r="AX415" s="2210">
        <f t="shared" si="185"/>
        <v>0</v>
      </c>
      <c r="AY415" s="331">
        <f t="shared" si="186"/>
        <v>0</v>
      </c>
      <c r="AZ415" s="324">
        <f t="shared" si="187"/>
        <v>0</v>
      </c>
      <c r="BA415" s="324">
        <f t="shared" si="188"/>
        <v>0</v>
      </c>
      <c r="BB415" s="324">
        <f t="shared" si="189"/>
        <v>0</v>
      </c>
      <c r="BC415" s="324">
        <f t="shared" si="190"/>
        <v>0</v>
      </c>
      <c r="BD415" s="324">
        <f t="shared" si="191"/>
        <v>0</v>
      </c>
      <c r="BE415" s="324">
        <f t="shared" si="192"/>
        <v>0</v>
      </c>
      <c r="BF415" s="324">
        <f t="shared" si="193"/>
        <v>0</v>
      </c>
      <c r="BG415" s="324">
        <f t="shared" si="194"/>
        <v>0</v>
      </c>
      <c r="BH415" s="324">
        <f t="shared" si="195"/>
        <v>0</v>
      </c>
      <c r="BI415" s="324">
        <f t="shared" si="196"/>
        <v>0</v>
      </c>
      <c r="BJ415" s="324">
        <f t="shared" si="197"/>
        <v>0</v>
      </c>
      <c r="BK415" s="324">
        <f t="shared" si="198"/>
        <v>0</v>
      </c>
      <c r="BL415" s="324">
        <f t="shared" si="199"/>
        <v>0</v>
      </c>
      <c r="BM415" s="324">
        <f t="shared" si="200"/>
        <v>0</v>
      </c>
      <c r="BN415" s="324">
        <f t="shared" si="201"/>
        <v>0</v>
      </c>
      <c r="BO415" s="324">
        <f t="shared" si="202"/>
        <v>0</v>
      </c>
      <c r="BP415" s="324">
        <f t="shared" si="203"/>
        <v>0</v>
      </c>
      <c r="BQ415" s="324">
        <f t="shared" si="204"/>
        <v>0</v>
      </c>
      <c r="BR415" s="324">
        <f t="shared" si="205"/>
        <v>0</v>
      </c>
      <c r="BS415" s="324">
        <f t="shared" si="206"/>
        <v>0</v>
      </c>
      <c r="BT415" s="332">
        <f t="shared" si="207"/>
        <v>0</v>
      </c>
    </row>
    <row r="416" spans="1:72" ht="14.25">
      <c r="A416" s="297"/>
      <c r="B416" s="323"/>
      <c r="C416" s="323"/>
      <c r="D416" s="2215"/>
      <c r="E416" s="324">
        <f t="shared" si="179"/>
        <v>0</v>
      </c>
      <c r="F416" s="325"/>
      <c r="G416" s="326">
        <f t="shared" si="180"/>
        <v>0</v>
      </c>
      <c r="H416" s="327">
        <f t="shared" si="18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18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183"/>
        <v>0</v>
      </c>
      <c r="AW416" s="2210">
        <f t="shared" si="184"/>
        <v>0</v>
      </c>
      <c r="AX416" s="2210">
        <f t="shared" si="185"/>
        <v>0</v>
      </c>
      <c r="AY416" s="331">
        <f t="shared" si="186"/>
        <v>0</v>
      </c>
      <c r="AZ416" s="324">
        <f t="shared" si="187"/>
        <v>0</v>
      </c>
      <c r="BA416" s="324">
        <f t="shared" si="188"/>
        <v>0</v>
      </c>
      <c r="BB416" s="324">
        <f t="shared" si="189"/>
        <v>0</v>
      </c>
      <c r="BC416" s="324">
        <f t="shared" si="190"/>
        <v>0</v>
      </c>
      <c r="BD416" s="324">
        <f t="shared" si="191"/>
        <v>0</v>
      </c>
      <c r="BE416" s="324">
        <f t="shared" si="192"/>
        <v>0</v>
      </c>
      <c r="BF416" s="324">
        <f t="shared" si="193"/>
        <v>0</v>
      </c>
      <c r="BG416" s="324">
        <f t="shared" si="194"/>
        <v>0</v>
      </c>
      <c r="BH416" s="324">
        <f t="shared" si="195"/>
        <v>0</v>
      </c>
      <c r="BI416" s="324">
        <f t="shared" si="196"/>
        <v>0</v>
      </c>
      <c r="BJ416" s="324">
        <f t="shared" si="197"/>
        <v>0</v>
      </c>
      <c r="BK416" s="324">
        <f t="shared" si="198"/>
        <v>0</v>
      </c>
      <c r="BL416" s="324">
        <f t="shared" si="199"/>
        <v>0</v>
      </c>
      <c r="BM416" s="324">
        <f t="shared" si="200"/>
        <v>0</v>
      </c>
      <c r="BN416" s="324">
        <f t="shared" si="201"/>
        <v>0</v>
      </c>
      <c r="BO416" s="324">
        <f t="shared" si="202"/>
        <v>0</v>
      </c>
      <c r="BP416" s="324">
        <f t="shared" si="203"/>
        <v>0</v>
      </c>
      <c r="BQ416" s="324">
        <f t="shared" si="204"/>
        <v>0</v>
      </c>
      <c r="BR416" s="324">
        <f t="shared" si="205"/>
        <v>0</v>
      </c>
      <c r="BS416" s="324">
        <f t="shared" si="206"/>
        <v>0</v>
      </c>
      <c r="BT416" s="332">
        <f t="shared" si="207"/>
        <v>0</v>
      </c>
    </row>
    <row r="417" spans="1:72" ht="14.25">
      <c r="A417" s="297"/>
      <c r="B417" s="323"/>
      <c r="C417" s="323"/>
      <c r="D417" s="2215"/>
      <c r="E417" s="324">
        <f t="shared" si="179"/>
        <v>0</v>
      </c>
      <c r="F417" s="325"/>
      <c r="G417" s="326">
        <f t="shared" si="180"/>
        <v>0</v>
      </c>
      <c r="H417" s="327">
        <f t="shared" si="18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18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183"/>
        <v>0</v>
      </c>
      <c r="AW417" s="2210">
        <f t="shared" si="184"/>
        <v>0</v>
      </c>
      <c r="AX417" s="2210">
        <f t="shared" si="185"/>
        <v>0</v>
      </c>
      <c r="AY417" s="331">
        <f t="shared" si="186"/>
        <v>0</v>
      </c>
      <c r="AZ417" s="324">
        <f t="shared" si="187"/>
        <v>0</v>
      </c>
      <c r="BA417" s="324">
        <f t="shared" si="188"/>
        <v>0</v>
      </c>
      <c r="BB417" s="324">
        <f t="shared" si="189"/>
        <v>0</v>
      </c>
      <c r="BC417" s="324">
        <f t="shared" si="190"/>
        <v>0</v>
      </c>
      <c r="BD417" s="324">
        <f t="shared" si="191"/>
        <v>0</v>
      </c>
      <c r="BE417" s="324">
        <f t="shared" si="192"/>
        <v>0</v>
      </c>
      <c r="BF417" s="324">
        <f t="shared" si="193"/>
        <v>0</v>
      </c>
      <c r="BG417" s="324">
        <f t="shared" si="194"/>
        <v>0</v>
      </c>
      <c r="BH417" s="324">
        <f t="shared" si="195"/>
        <v>0</v>
      </c>
      <c r="BI417" s="324">
        <f t="shared" si="196"/>
        <v>0</v>
      </c>
      <c r="BJ417" s="324">
        <f t="shared" si="197"/>
        <v>0</v>
      </c>
      <c r="BK417" s="324">
        <f t="shared" si="198"/>
        <v>0</v>
      </c>
      <c r="BL417" s="324">
        <f t="shared" si="199"/>
        <v>0</v>
      </c>
      <c r="BM417" s="324">
        <f t="shared" si="200"/>
        <v>0</v>
      </c>
      <c r="BN417" s="324">
        <f t="shared" si="201"/>
        <v>0</v>
      </c>
      <c r="BO417" s="324">
        <f t="shared" si="202"/>
        <v>0</v>
      </c>
      <c r="BP417" s="324">
        <f t="shared" si="203"/>
        <v>0</v>
      </c>
      <c r="BQ417" s="324">
        <f t="shared" si="204"/>
        <v>0</v>
      </c>
      <c r="BR417" s="324">
        <f t="shared" si="205"/>
        <v>0</v>
      </c>
      <c r="BS417" s="324">
        <f t="shared" si="206"/>
        <v>0</v>
      </c>
      <c r="BT417" s="332">
        <f t="shared" si="207"/>
        <v>0</v>
      </c>
    </row>
    <row r="418" spans="1:72" ht="14.25">
      <c r="A418" s="297"/>
      <c r="B418" s="323"/>
      <c r="C418" s="323"/>
      <c r="D418" s="2215"/>
      <c r="E418" s="324">
        <f t="shared" si="179"/>
        <v>0</v>
      </c>
      <c r="F418" s="325"/>
      <c r="G418" s="326">
        <f t="shared" si="180"/>
        <v>0</v>
      </c>
      <c r="H418" s="327">
        <f t="shared" si="18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18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183"/>
        <v>0</v>
      </c>
      <c r="AW418" s="2210">
        <f t="shared" si="184"/>
        <v>0</v>
      </c>
      <c r="AX418" s="2210">
        <f t="shared" si="185"/>
        <v>0</v>
      </c>
      <c r="AY418" s="331">
        <f t="shared" si="186"/>
        <v>0</v>
      </c>
      <c r="AZ418" s="324">
        <f t="shared" si="187"/>
        <v>0</v>
      </c>
      <c r="BA418" s="324">
        <f t="shared" si="188"/>
        <v>0</v>
      </c>
      <c r="BB418" s="324">
        <f t="shared" si="189"/>
        <v>0</v>
      </c>
      <c r="BC418" s="324">
        <f t="shared" si="190"/>
        <v>0</v>
      </c>
      <c r="BD418" s="324">
        <f t="shared" si="191"/>
        <v>0</v>
      </c>
      <c r="BE418" s="324">
        <f t="shared" si="192"/>
        <v>0</v>
      </c>
      <c r="BF418" s="324">
        <f t="shared" si="193"/>
        <v>0</v>
      </c>
      <c r="BG418" s="324">
        <f t="shared" si="194"/>
        <v>0</v>
      </c>
      <c r="BH418" s="324">
        <f t="shared" si="195"/>
        <v>0</v>
      </c>
      <c r="BI418" s="324">
        <f t="shared" si="196"/>
        <v>0</v>
      </c>
      <c r="BJ418" s="324">
        <f t="shared" si="197"/>
        <v>0</v>
      </c>
      <c r="BK418" s="324">
        <f t="shared" si="198"/>
        <v>0</v>
      </c>
      <c r="BL418" s="324">
        <f t="shared" si="199"/>
        <v>0</v>
      </c>
      <c r="BM418" s="324">
        <f t="shared" si="200"/>
        <v>0</v>
      </c>
      <c r="BN418" s="324">
        <f t="shared" si="201"/>
        <v>0</v>
      </c>
      <c r="BO418" s="324">
        <f t="shared" si="202"/>
        <v>0</v>
      </c>
      <c r="BP418" s="324">
        <f t="shared" si="203"/>
        <v>0</v>
      </c>
      <c r="BQ418" s="324">
        <f t="shared" si="204"/>
        <v>0</v>
      </c>
      <c r="BR418" s="324">
        <f t="shared" si="205"/>
        <v>0</v>
      </c>
      <c r="BS418" s="324">
        <f t="shared" si="206"/>
        <v>0</v>
      </c>
      <c r="BT418" s="332">
        <f t="shared" si="207"/>
        <v>0</v>
      </c>
    </row>
    <row r="419" spans="1:72" ht="14.25">
      <c r="A419" s="297"/>
      <c r="B419" s="323"/>
      <c r="C419" s="323"/>
      <c r="D419" s="2215"/>
      <c r="E419" s="324">
        <f t="shared" si="179"/>
        <v>0</v>
      </c>
      <c r="F419" s="325"/>
      <c r="G419" s="326">
        <f t="shared" si="180"/>
        <v>0</v>
      </c>
      <c r="H419" s="327">
        <f t="shared" si="18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18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183"/>
        <v>0</v>
      </c>
      <c r="AW419" s="2210">
        <f t="shared" si="184"/>
        <v>0</v>
      </c>
      <c r="AX419" s="2210">
        <f t="shared" si="185"/>
        <v>0</v>
      </c>
      <c r="AY419" s="331">
        <f t="shared" si="186"/>
        <v>0</v>
      </c>
      <c r="AZ419" s="324">
        <f t="shared" si="187"/>
        <v>0</v>
      </c>
      <c r="BA419" s="324">
        <f t="shared" si="188"/>
        <v>0</v>
      </c>
      <c r="BB419" s="324">
        <f t="shared" si="189"/>
        <v>0</v>
      </c>
      <c r="BC419" s="324">
        <f t="shared" si="190"/>
        <v>0</v>
      </c>
      <c r="BD419" s="324">
        <f t="shared" si="191"/>
        <v>0</v>
      </c>
      <c r="BE419" s="324">
        <f t="shared" si="192"/>
        <v>0</v>
      </c>
      <c r="BF419" s="324">
        <f t="shared" si="193"/>
        <v>0</v>
      </c>
      <c r="BG419" s="324">
        <f t="shared" si="194"/>
        <v>0</v>
      </c>
      <c r="BH419" s="324">
        <f t="shared" si="195"/>
        <v>0</v>
      </c>
      <c r="BI419" s="324">
        <f t="shared" si="196"/>
        <v>0</v>
      </c>
      <c r="BJ419" s="324">
        <f t="shared" si="197"/>
        <v>0</v>
      </c>
      <c r="BK419" s="324">
        <f t="shared" si="198"/>
        <v>0</v>
      </c>
      <c r="BL419" s="324">
        <f t="shared" si="199"/>
        <v>0</v>
      </c>
      <c r="BM419" s="324">
        <f t="shared" si="200"/>
        <v>0</v>
      </c>
      <c r="BN419" s="324">
        <f t="shared" si="201"/>
        <v>0</v>
      </c>
      <c r="BO419" s="324">
        <f t="shared" si="202"/>
        <v>0</v>
      </c>
      <c r="BP419" s="324">
        <f t="shared" si="203"/>
        <v>0</v>
      </c>
      <c r="BQ419" s="324">
        <f t="shared" si="204"/>
        <v>0</v>
      </c>
      <c r="BR419" s="324">
        <f t="shared" si="205"/>
        <v>0</v>
      </c>
      <c r="BS419" s="324">
        <f t="shared" si="206"/>
        <v>0</v>
      </c>
      <c r="BT419" s="332">
        <f t="shared" si="207"/>
        <v>0</v>
      </c>
    </row>
    <row r="420" spans="1:72" ht="14.25">
      <c r="A420" s="297"/>
      <c r="B420" s="323"/>
      <c r="C420" s="323"/>
      <c r="D420" s="2215"/>
      <c r="E420" s="324">
        <f t="shared" si="179"/>
        <v>0</v>
      </c>
      <c r="F420" s="325"/>
      <c r="G420" s="326">
        <f t="shared" si="180"/>
        <v>0</v>
      </c>
      <c r="H420" s="327">
        <f t="shared" si="18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18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183"/>
        <v>0</v>
      </c>
      <c r="AW420" s="2210">
        <f t="shared" si="184"/>
        <v>0</v>
      </c>
      <c r="AX420" s="2210">
        <f t="shared" si="185"/>
        <v>0</v>
      </c>
      <c r="AY420" s="331">
        <f t="shared" si="186"/>
        <v>0</v>
      </c>
      <c r="AZ420" s="324">
        <f t="shared" si="187"/>
        <v>0</v>
      </c>
      <c r="BA420" s="324">
        <f t="shared" si="188"/>
        <v>0</v>
      </c>
      <c r="BB420" s="324">
        <f t="shared" si="189"/>
        <v>0</v>
      </c>
      <c r="BC420" s="324">
        <f t="shared" si="190"/>
        <v>0</v>
      </c>
      <c r="BD420" s="324">
        <f t="shared" si="191"/>
        <v>0</v>
      </c>
      <c r="BE420" s="324">
        <f t="shared" si="192"/>
        <v>0</v>
      </c>
      <c r="BF420" s="324">
        <f t="shared" si="193"/>
        <v>0</v>
      </c>
      <c r="BG420" s="324">
        <f t="shared" si="194"/>
        <v>0</v>
      </c>
      <c r="BH420" s="324">
        <f t="shared" si="195"/>
        <v>0</v>
      </c>
      <c r="BI420" s="324">
        <f t="shared" si="196"/>
        <v>0</v>
      </c>
      <c r="BJ420" s="324">
        <f t="shared" si="197"/>
        <v>0</v>
      </c>
      <c r="BK420" s="324">
        <f t="shared" si="198"/>
        <v>0</v>
      </c>
      <c r="BL420" s="324">
        <f t="shared" si="199"/>
        <v>0</v>
      </c>
      <c r="BM420" s="324">
        <f t="shared" si="200"/>
        <v>0</v>
      </c>
      <c r="BN420" s="324">
        <f t="shared" si="201"/>
        <v>0</v>
      </c>
      <c r="BO420" s="324">
        <f t="shared" si="202"/>
        <v>0</v>
      </c>
      <c r="BP420" s="324">
        <f t="shared" si="203"/>
        <v>0</v>
      </c>
      <c r="BQ420" s="324">
        <f t="shared" si="204"/>
        <v>0</v>
      </c>
      <c r="BR420" s="324">
        <f t="shared" si="205"/>
        <v>0</v>
      </c>
      <c r="BS420" s="324">
        <f t="shared" si="206"/>
        <v>0</v>
      </c>
      <c r="BT420" s="332">
        <f t="shared" si="207"/>
        <v>0</v>
      </c>
    </row>
    <row r="421" spans="1:72" ht="14.25">
      <c r="A421" s="297"/>
      <c r="B421" s="323"/>
      <c r="C421" s="323"/>
      <c r="D421" s="2215"/>
      <c r="E421" s="324">
        <f t="shared" si="179"/>
        <v>0</v>
      </c>
      <c r="F421" s="325"/>
      <c r="G421" s="326">
        <f t="shared" si="180"/>
        <v>0</v>
      </c>
      <c r="H421" s="327">
        <f t="shared" si="18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18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183"/>
        <v>0</v>
      </c>
      <c r="AW421" s="2210">
        <f t="shared" si="184"/>
        <v>0</v>
      </c>
      <c r="AX421" s="2210">
        <f t="shared" si="185"/>
        <v>0</v>
      </c>
      <c r="AY421" s="331">
        <f t="shared" si="186"/>
        <v>0</v>
      </c>
      <c r="AZ421" s="324">
        <f t="shared" si="187"/>
        <v>0</v>
      </c>
      <c r="BA421" s="324">
        <f t="shared" si="188"/>
        <v>0</v>
      </c>
      <c r="BB421" s="324">
        <f t="shared" si="189"/>
        <v>0</v>
      </c>
      <c r="BC421" s="324">
        <f t="shared" si="190"/>
        <v>0</v>
      </c>
      <c r="BD421" s="324">
        <f t="shared" si="191"/>
        <v>0</v>
      </c>
      <c r="BE421" s="324">
        <f t="shared" si="192"/>
        <v>0</v>
      </c>
      <c r="BF421" s="324">
        <f t="shared" si="193"/>
        <v>0</v>
      </c>
      <c r="BG421" s="324">
        <f t="shared" si="194"/>
        <v>0</v>
      </c>
      <c r="BH421" s="324">
        <f t="shared" si="195"/>
        <v>0</v>
      </c>
      <c r="BI421" s="324">
        <f t="shared" si="196"/>
        <v>0</v>
      </c>
      <c r="BJ421" s="324">
        <f t="shared" si="197"/>
        <v>0</v>
      </c>
      <c r="BK421" s="324">
        <f t="shared" si="198"/>
        <v>0</v>
      </c>
      <c r="BL421" s="324">
        <f t="shared" si="199"/>
        <v>0</v>
      </c>
      <c r="BM421" s="324">
        <f t="shared" si="200"/>
        <v>0</v>
      </c>
      <c r="BN421" s="324">
        <f t="shared" si="201"/>
        <v>0</v>
      </c>
      <c r="BO421" s="324">
        <f t="shared" si="202"/>
        <v>0</v>
      </c>
      <c r="BP421" s="324">
        <f t="shared" si="203"/>
        <v>0</v>
      </c>
      <c r="BQ421" s="324">
        <f t="shared" si="204"/>
        <v>0</v>
      </c>
      <c r="BR421" s="324">
        <f t="shared" si="205"/>
        <v>0</v>
      </c>
      <c r="BS421" s="324">
        <f t="shared" si="206"/>
        <v>0</v>
      </c>
      <c r="BT421" s="332">
        <f t="shared" si="207"/>
        <v>0</v>
      </c>
    </row>
    <row r="422" spans="1:72" ht="14.25">
      <c r="A422" s="297"/>
      <c r="B422" s="323"/>
      <c r="C422" s="323"/>
      <c r="D422" s="2215"/>
      <c r="E422" s="324">
        <f t="shared" si="179"/>
        <v>0</v>
      </c>
      <c r="F422" s="325"/>
      <c r="G422" s="326">
        <f t="shared" si="180"/>
        <v>0</v>
      </c>
      <c r="H422" s="327">
        <f t="shared" si="18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18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183"/>
        <v>0</v>
      </c>
      <c r="AW422" s="2210">
        <f t="shared" si="184"/>
        <v>0</v>
      </c>
      <c r="AX422" s="2210">
        <f t="shared" si="185"/>
        <v>0</v>
      </c>
      <c r="AY422" s="331">
        <f t="shared" si="186"/>
        <v>0</v>
      </c>
      <c r="AZ422" s="324">
        <f t="shared" si="187"/>
        <v>0</v>
      </c>
      <c r="BA422" s="324">
        <f t="shared" si="188"/>
        <v>0</v>
      </c>
      <c r="BB422" s="324">
        <f t="shared" si="189"/>
        <v>0</v>
      </c>
      <c r="BC422" s="324">
        <f t="shared" si="190"/>
        <v>0</v>
      </c>
      <c r="BD422" s="324">
        <f t="shared" si="191"/>
        <v>0</v>
      </c>
      <c r="BE422" s="324">
        <f t="shared" si="192"/>
        <v>0</v>
      </c>
      <c r="BF422" s="324">
        <f t="shared" si="193"/>
        <v>0</v>
      </c>
      <c r="BG422" s="324">
        <f t="shared" si="194"/>
        <v>0</v>
      </c>
      <c r="BH422" s="324">
        <f t="shared" si="195"/>
        <v>0</v>
      </c>
      <c r="BI422" s="324">
        <f t="shared" si="196"/>
        <v>0</v>
      </c>
      <c r="BJ422" s="324">
        <f t="shared" si="197"/>
        <v>0</v>
      </c>
      <c r="BK422" s="324">
        <f t="shared" si="198"/>
        <v>0</v>
      </c>
      <c r="BL422" s="324">
        <f t="shared" si="199"/>
        <v>0</v>
      </c>
      <c r="BM422" s="324">
        <f t="shared" si="200"/>
        <v>0</v>
      </c>
      <c r="BN422" s="324">
        <f t="shared" si="201"/>
        <v>0</v>
      </c>
      <c r="BO422" s="324">
        <f t="shared" si="202"/>
        <v>0</v>
      </c>
      <c r="BP422" s="324">
        <f t="shared" si="203"/>
        <v>0</v>
      </c>
      <c r="BQ422" s="324">
        <f t="shared" si="204"/>
        <v>0</v>
      </c>
      <c r="BR422" s="324">
        <f t="shared" si="205"/>
        <v>0</v>
      </c>
      <c r="BS422" s="324">
        <f t="shared" si="206"/>
        <v>0</v>
      </c>
      <c r="BT422" s="332">
        <f t="shared" si="207"/>
        <v>0</v>
      </c>
    </row>
    <row r="423" spans="1:72" ht="14.25">
      <c r="A423" s="297"/>
      <c r="B423" s="323"/>
      <c r="C423" s="323"/>
      <c r="D423" s="2215"/>
      <c r="E423" s="324">
        <f t="shared" si="179"/>
        <v>0</v>
      </c>
      <c r="F423" s="325"/>
      <c r="G423" s="326">
        <f t="shared" si="180"/>
        <v>0</v>
      </c>
      <c r="H423" s="327">
        <f t="shared" si="18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18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183"/>
        <v>0</v>
      </c>
      <c r="AW423" s="2210">
        <f t="shared" si="184"/>
        <v>0</v>
      </c>
      <c r="AX423" s="2210">
        <f t="shared" si="185"/>
        <v>0</v>
      </c>
      <c r="AY423" s="331">
        <f t="shared" si="186"/>
        <v>0</v>
      </c>
      <c r="AZ423" s="324">
        <f t="shared" si="187"/>
        <v>0</v>
      </c>
      <c r="BA423" s="324">
        <f t="shared" si="188"/>
        <v>0</v>
      </c>
      <c r="BB423" s="324">
        <f t="shared" si="189"/>
        <v>0</v>
      </c>
      <c r="BC423" s="324">
        <f t="shared" si="190"/>
        <v>0</v>
      </c>
      <c r="BD423" s="324">
        <f t="shared" si="191"/>
        <v>0</v>
      </c>
      <c r="BE423" s="324">
        <f t="shared" si="192"/>
        <v>0</v>
      </c>
      <c r="BF423" s="324">
        <f t="shared" si="193"/>
        <v>0</v>
      </c>
      <c r="BG423" s="324">
        <f t="shared" si="194"/>
        <v>0</v>
      </c>
      <c r="BH423" s="324">
        <f t="shared" si="195"/>
        <v>0</v>
      </c>
      <c r="BI423" s="324">
        <f t="shared" si="196"/>
        <v>0</v>
      </c>
      <c r="BJ423" s="324">
        <f t="shared" si="197"/>
        <v>0</v>
      </c>
      <c r="BK423" s="324">
        <f t="shared" si="198"/>
        <v>0</v>
      </c>
      <c r="BL423" s="324">
        <f t="shared" si="199"/>
        <v>0</v>
      </c>
      <c r="BM423" s="324">
        <f t="shared" si="200"/>
        <v>0</v>
      </c>
      <c r="BN423" s="324">
        <f t="shared" si="201"/>
        <v>0</v>
      </c>
      <c r="BO423" s="324">
        <f t="shared" si="202"/>
        <v>0</v>
      </c>
      <c r="BP423" s="324">
        <f t="shared" si="203"/>
        <v>0</v>
      </c>
      <c r="BQ423" s="324">
        <f t="shared" si="204"/>
        <v>0</v>
      </c>
      <c r="BR423" s="324">
        <f t="shared" si="205"/>
        <v>0</v>
      </c>
      <c r="BS423" s="324">
        <f t="shared" si="206"/>
        <v>0</v>
      </c>
      <c r="BT423" s="332">
        <f t="shared" si="207"/>
        <v>0</v>
      </c>
    </row>
    <row r="424" spans="1:72" ht="14.25">
      <c r="A424" s="297"/>
      <c r="B424" s="323"/>
      <c r="C424" s="323"/>
      <c r="D424" s="2215"/>
      <c r="E424" s="324">
        <f t="shared" si="179"/>
        <v>0</v>
      </c>
      <c r="F424" s="325"/>
      <c r="G424" s="326">
        <f t="shared" si="180"/>
        <v>0</v>
      </c>
      <c r="H424" s="327">
        <f t="shared" si="18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18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183"/>
        <v>0</v>
      </c>
      <c r="AW424" s="2210">
        <f t="shared" si="184"/>
        <v>0</v>
      </c>
      <c r="AX424" s="2210">
        <f t="shared" si="185"/>
        <v>0</v>
      </c>
      <c r="AY424" s="331">
        <f t="shared" si="186"/>
        <v>0</v>
      </c>
      <c r="AZ424" s="324">
        <f t="shared" si="187"/>
        <v>0</v>
      </c>
      <c r="BA424" s="324">
        <f t="shared" si="188"/>
        <v>0</v>
      </c>
      <c r="BB424" s="324">
        <f t="shared" si="189"/>
        <v>0</v>
      </c>
      <c r="BC424" s="324">
        <f t="shared" si="190"/>
        <v>0</v>
      </c>
      <c r="BD424" s="324">
        <f t="shared" si="191"/>
        <v>0</v>
      </c>
      <c r="BE424" s="324">
        <f t="shared" si="192"/>
        <v>0</v>
      </c>
      <c r="BF424" s="324">
        <f t="shared" si="193"/>
        <v>0</v>
      </c>
      <c r="BG424" s="324">
        <f t="shared" si="194"/>
        <v>0</v>
      </c>
      <c r="BH424" s="324">
        <f t="shared" si="195"/>
        <v>0</v>
      </c>
      <c r="BI424" s="324">
        <f t="shared" si="196"/>
        <v>0</v>
      </c>
      <c r="BJ424" s="324">
        <f t="shared" si="197"/>
        <v>0</v>
      </c>
      <c r="BK424" s="324">
        <f t="shared" si="198"/>
        <v>0</v>
      </c>
      <c r="BL424" s="324">
        <f t="shared" si="199"/>
        <v>0</v>
      </c>
      <c r="BM424" s="324">
        <f t="shared" si="200"/>
        <v>0</v>
      </c>
      <c r="BN424" s="324">
        <f t="shared" si="201"/>
        <v>0</v>
      </c>
      <c r="BO424" s="324">
        <f t="shared" si="202"/>
        <v>0</v>
      </c>
      <c r="BP424" s="324">
        <f t="shared" si="203"/>
        <v>0</v>
      </c>
      <c r="BQ424" s="324">
        <f t="shared" si="204"/>
        <v>0</v>
      </c>
      <c r="BR424" s="324">
        <f t="shared" si="205"/>
        <v>0</v>
      </c>
      <c r="BS424" s="324">
        <f t="shared" si="206"/>
        <v>0</v>
      </c>
      <c r="BT424" s="332">
        <f t="shared" si="207"/>
        <v>0</v>
      </c>
    </row>
    <row r="425" spans="1:72" ht="14.25">
      <c r="A425" s="297"/>
      <c r="B425" s="323"/>
      <c r="C425" s="323"/>
      <c r="D425" s="2215"/>
      <c r="E425" s="324">
        <f t="shared" si="179"/>
        <v>0</v>
      </c>
      <c r="F425" s="325"/>
      <c r="G425" s="326">
        <f t="shared" si="180"/>
        <v>0</v>
      </c>
      <c r="H425" s="327">
        <f t="shared" si="18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18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183"/>
        <v>0</v>
      </c>
      <c r="AW425" s="2210">
        <f t="shared" si="184"/>
        <v>0</v>
      </c>
      <c r="AX425" s="2210">
        <f t="shared" si="185"/>
        <v>0</v>
      </c>
      <c r="AY425" s="331">
        <f t="shared" si="186"/>
        <v>0</v>
      </c>
      <c r="AZ425" s="324">
        <f t="shared" si="187"/>
        <v>0</v>
      </c>
      <c r="BA425" s="324">
        <f t="shared" si="188"/>
        <v>0</v>
      </c>
      <c r="BB425" s="324">
        <f t="shared" si="189"/>
        <v>0</v>
      </c>
      <c r="BC425" s="324">
        <f t="shared" si="190"/>
        <v>0</v>
      </c>
      <c r="BD425" s="324">
        <f t="shared" si="191"/>
        <v>0</v>
      </c>
      <c r="BE425" s="324">
        <f t="shared" si="192"/>
        <v>0</v>
      </c>
      <c r="BF425" s="324">
        <f t="shared" si="193"/>
        <v>0</v>
      </c>
      <c r="BG425" s="324">
        <f t="shared" si="194"/>
        <v>0</v>
      </c>
      <c r="BH425" s="324">
        <f t="shared" si="195"/>
        <v>0</v>
      </c>
      <c r="BI425" s="324">
        <f t="shared" si="196"/>
        <v>0</v>
      </c>
      <c r="BJ425" s="324">
        <f t="shared" si="197"/>
        <v>0</v>
      </c>
      <c r="BK425" s="324">
        <f t="shared" si="198"/>
        <v>0</v>
      </c>
      <c r="BL425" s="324">
        <f t="shared" si="199"/>
        <v>0</v>
      </c>
      <c r="BM425" s="324">
        <f t="shared" si="200"/>
        <v>0</v>
      </c>
      <c r="BN425" s="324">
        <f t="shared" si="201"/>
        <v>0</v>
      </c>
      <c r="BO425" s="324">
        <f t="shared" si="202"/>
        <v>0</v>
      </c>
      <c r="BP425" s="324">
        <f t="shared" si="203"/>
        <v>0</v>
      </c>
      <c r="BQ425" s="324">
        <f t="shared" si="204"/>
        <v>0</v>
      </c>
      <c r="BR425" s="324">
        <f t="shared" si="205"/>
        <v>0</v>
      </c>
      <c r="BS425" s="324">
        <f t="shared" si="206"/>
        <v>0</v>
      </c>
      <c r="BT425" s="332">
        <f t="shared" si="207"/>
        <v>0</v>
      </c>
    </row>
    <row r="426" spans="1:72" ht="14.25">
      <c r="A426" s="297"/>
      <c r="B426" s="323"/>
      <c r="C426" s="323"/>
      <c r="D426" s="2215"/>
      <c r="E426" s="324">
        <f t="shared" si="179"/>
        <v>0</v>
      </c>
      <c r="F426" s="325"/>
      <c r="G426" s="326">
        <f t="shared" si="180"/>
        <v>0</v>
      </c>
      <c r="H426" s="327">
        <f t="shared" si="18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18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183"/>
        <v>0</v>
      </c>
      <c r="AW426" s="2210">
        <f t="shared" si="184"/>
        <v>0</v>
      </c>
      <c r="AX426" s="2210">
        <f t="shared" si="185"/>
        <v>0</v>
      </c>
      <c r="AY426" s="331">
        <f t="shared" si="186"/>
        <v>0</v>
      </c>
      <c r="AZ426" s="324">
        <f t="shared" si="187"/>
        <v>0</v>
      </c>
      <c r="BA426" s="324">
        <f t="shared" si="188"/>
        <v>0</v>
      </c>
      <c r="BB426" s="324">
        <f t="shared" si="189"/>
        <v>0</v>
      </c>
      <c r="BC426" s="324">
        <f t="shared" si="190"/>
        <v>0</v>
      </c>
      <c r="BD426" s="324">
        <f t="shared" si="191"/>
        <v>0</v>
      </c>
      <c r="BE426" s="324">
        <f t="shared" si="192"/>
        <v>0</v>
      </c>
      <c r="BF426" s="324">
        <f t="shared" si="193"/>
        <v>0</v>
      </c>
      <c r="BG426" s="324">
        <f t="shared" si="194"/>
        <v>0</v>
      </c>
      <c r="BH426" s="324">
        <f t="shared" si="195"/>
        <v>0</v>
      </c>
      <c r="BI426" s="324">
        <f t="shared" si="196"/>
        <v>0</v>
      </c>
      <c r="BJ426" s="324">
        <f t="shared" si="197"/>
        <v>0</v>
      </c>
      <c r="BK426" s="324">
        <f t="shared" si="198"/>
        <v>0</v>
      </c>
      <c r="BL426" s="324">
        <f t="shared" si="199"/>
        <v>0</v>
      </c>
      <c r="BM426" s="324">
        <f t="shared" si="200"/>
        <v>0</v>
      </c>
      <c r="BN426" s="324">
        <f t="shared" si="201"/>
        <v>0</v>
      </c>
      <c r="BO426" s="324">
        <f t="shared" si="202"/>
        <v>0</v>
      </c>
      <c r="BP426" s="324">
        <f t="shared" si="203"/>
        <v>0</v>
      </c>
      <c r="BQ426" s="324">
        <f t="shared" si="204"/>
        <v>0</v>
      </c>
      <c r="BR426" s="324">
        <f t="shared" si="205"/>
        <v>0</v>
      </c>
      <c r="BS426" s="324">
        <f t="shared" si="206"/>
        <v>0</v>
      </c>
      <c r="BT426" s="332">
        <f t="shared" si="207"/>
        <v>0</v>
      </c>
    </row>
    <row r="427" spans="1:72" ht="14.25">
      <c r="A427" s="297"/>
      <c r="B427" s="323"/>
      <c r="C427" s="323"/>
      <c r="D427" s="2215"/>
      <c r="E427" s="324">
        <f t="shared" si="179"/>
        <v>0</v>
      </c>
      <c r="F427" s="325"/>
      <c r="G427" s="326">
        <f t="shared" si="180"/>
        <v>0</v>
      </c>
      <c r="H427" s="327">
        <f t="shared" si="18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18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183"/>
        <v>0</v>
      </c>
      <c r="AW427" s="2210">
        <f t="shared" si="184"/>
        <v>0</v>
      </c>
      <c r="AX427" s="2210">
        <f t="shared" si="185"/>
        <v>0</v>
      </c>
      <c r="AY427" s="331">
        <f t="shared" si="186"/>
        <v>0</v>
      </c>
      <c r="AZ427" s="324">
        <f t="shared" si="187"/>
        <v>0</v>
      </c>
      <c r="BA427" s="324">
        <f t="shared" si="188"/>
        <v>0</v>
      </c>
      <c r="BB427" s="324">
        <f t="shared" si="189"/>
        <v>0</v>
      </c>
      <c r="BC427" s="324">
        <f t="shared" si="190"/>
        <v>0</v>
      </c>
      <c r="BD427" s="324">
        <f t="shared" si="191"/>
        <v>0</v>
      </c>
      <c r="BE427" s="324">
        <f t="shared" si="192"/>
        <v>0</v>
      </c>
      <c r="BF427" s="324">
        <f t="shared" si="193"/>
        <v>0</v>
      </c>
      <c r="BG427" s="324">
        <f t="shared" si="194"/>
        <v>0</v>
      </c>
      <c r="BH427" s="324">
        <f t="shared" si="195"/>
        <v>0</v>
      </c>
      <c r="BI427" s="324">
        <f t="shared" si="196"/>
        <v>0</v>
      </c>
      <c r="BJ427" s="324">
        <f t="shared" si="197"/>
        <v>0</v>
      </c>
      <c r="BK427" s="324">
        <f t="shared" si="198"/>
        <v>0</v>
      </c>
      <c r="BL427" s="324">
        <f t="shared" si="199"/>
        <v>0</v>
      </c>
      <c r="BM427" s="324">
        <f t="shared" si="200"/>
        <v>0</v>
      </c>
      <c r="BN427" s="324">
        <f t="shared" si="201"/>
        <v>0</v>
      </c>
      <c r="BO427" s="324">
        <f t="shared" si="202"/>
        <v>0</v>
      </c>
      <c r="BP427" s="324">
        <f t="shared" si="203"/>
        <v>0</v>
      </c>
      <c r="BQ427" s="324">
        <f t="shared" si="204"/>
        <v>0</v>
      </c>
      <c r="BR427" s="324">
        <f t="shared" si="205"/>
        <v>0</v>
      </c>
      <c r="BS427" s="324">
        <f t="shared" si="206"/>
        <v>0</v>
      </c>
      <c r="BT427" s="332">
        <f t="shared" si="207"/>
        <v>0</v>
      </c>
    </row>
    <row r="428" spans="1:72" ht="14.25">
      <c r="A428" s="297"/>
      <c r="B428" s="323"/>
      <c r="C428" s="323"/>
      <c r="D428" s="2215"/>
      <c r="E428" s="324">
        <f t="shared" si="179"/>
        <v>0</v>
      </c>
      <c r="F428" s="325"/>
      <c r="G428" s="326">
        <f t="shared" si="180"/>
        <v>0</v>
      </c>
      <c r="H428" s="327">
        <f t="shared" si="18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18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183"/>
        <v>0</v>
      </c>
      <c r="AW428" s="2210">
        <f t="shared" si="184"/>
        <v>0</v>
      </c>
      <c r="AX428" s="2210">
        <f t="shared" si="185"/>
        <v>0</v>
      </c>
      <c r="AY428" s="331">
        <f t="shared" si="186"/>
        <v>0</v>
      </c>
      <c r="AZ428" s="324">
        <f t="shared" si="187"/>
        <v>0</v>
      </c>
      <c r="BA428" s="324">
        <f t="shared" si="188"/>
        <v>0</v>
      </c>
      <c r="BB428" s="324">
        <f t="shared" si="189"/>
        <v>0</v>
      </c>
      <c r="BC428" s="324">
        <f t="shared" si="190"/>
        <v>0</v>
      </c>
      <c r="BD428" s="324">
        <f t="shared" si="191"/>
        <v>0</v>
      </c>
      <c r="BE428" s="324">
        <f t="shared" si="192"/>
        <v>0</v>
      </c>
      <c r="BF428" s="324">
        <f t="shared" si="193"/>
        <v>0</v>
      </c>
      <c r="BG428" s="324">
        <f t="shared" si="194"/>
        <v>0</v>
      </c>
      <c r="BH428" s="324">
        <f t="shared" si="195"/>
        <v>0</v>
      </c>
      <c r="BI428" s="324">
        <f t="shared" si="196"/>
        <v>0</v>
      </c>
      <c r="BJ428" s="324">
        <f t="shared" si="197"/>
        <v>0</v>
      </c>
      <c r="BK428" s="324">
        <f t="shared" si="198"/>
        <v>0</v>
      </c>
      <c r="BL428" s="324">
        <f t="shared" si="199"/>
        <v>0</v>
      </c>
      <c r="BM428" s="324">
        <f t="shared" si="200"/>
        <v>0</v>
      </c>
      <c r="BN428" s="324">
        <f t="shared" si="201"/>
        <v>0</v>
      </c>
      <c r="BO428" s="324">
        <f t="shared" si="202"/>
        <v>0</v>
      </c>
      <c r="BP428" s="324">
        <f t="shared" si="203"/>
        <v>0</v>
      </c>
      <c r="BQ428" s="324">
        <f t="shared" si="204"/>
        <v>0</v>
      </c>
      <c r="BR428" s="324">
        <f t="shared" si="205"/>
        <v>0</v>
      </c>
      <c r="BS428" s="324">
        <f t="shared" si="206"/>
        <v>0</v>
      </c>
      <c r="BT428" s="332">
        <f t="shared" si="207"/>
        <v>0</v>
      </c>
    </row>
    <row r="429" spans="1:72" ht="14.25">
      <c r="A429" s="297"/>
      <c r="B429" s="323"/>
      <c r="C429" s="323"/>
      <c r="D429" s="2215"/>
      <c r="E429" s="324">
        <f t="shared" si="179"/>
        <v>0</v>
      </c>
      <c r="F429" s="325"/>
      <c r="G429" s="326">
        <f t="shared" si="180"/>
        <v>0</v>
      </c>
      <c r="H429" s="327">
        <f t="shared" si="18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18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183"/>
        <v>0</v>
      </c>
      <c r="AW429" s="2210">
        <f t="shared" si="184"/>
        <v>0</v>
      </c>
      <c r="AX429" s="2210">
        <f t="shared" si="185"/>
        <v>0</v>
      </c>
      <c r="AY429" s="331">
        <f t="shared" si="186"/>
        <v>0</v>
      </c>
      <c r="AZ429" s="324">
        <f t="shared" si="187"/>
        <v>0</v>
      </c>
      <c r="BA429" s="324">
        <f t="shared" si="188"/>
        <v>0</v>
      </c>
      <c r="BB429" s="324">
        <f t="shared" si="189"/>
        <v>0</v>
      </c>
      <c r="BC429" s="324">
        <f t="shared" si="190"/>
        <v>0</v>
      </c>
      <c r="BD429" s="324">
        <f t="shared" si="191"/>
        <v>0</v>
      </c>
      <c r="BE429" s="324">
        <f t="shared" si="192"/>
        <v>0</v>
      </c>
      <c r="BF429" s="324">
        <f t="shared" si="193"/>
        <v>0</v>
      </c>
      <c r="BG429" s="324">
        <f t="shared" si="194"/>
        <v>0</v>
      </c>
      <c r="BH429" s="324">
        <f t="shared" si="195"/>
        <v>0</v>
      </c>
      <c r="BI429" s="324">
        <f t="shared" si="196"/>
        <v>0</v>
      </c>
      <c r="BJ429" s="324">
        <f t="shared" si="197"/>
        <v>0</v>
      </c>
      <c r="BK429" s="324">
        <f t="shared" si="198"/>
        <v>0</v>
      </c>
      <c r="BL429" s="324">
        <f t="shared" si="199"/>
        <v>0</v>
      </c>
      <c r="BM429" s="324">
        <f t="shared" si="200"/>
        <v>0</v>
      </c>
      <c r="BN429" s="324">
        <f t="shared" si="201"/>
        <v>0</v>
      </c>
      <c r="BO429" s="324">
        <f t="shared" si="202"/>
        <v>0</v>
      </c>
      <c r="BP429" s="324">
        <f t="shared" si="203"/>
        <v>0</v>
      </c>
      <c r="BQ429" s="324">
        <f t="shared" si="204"/>
        <v>0</v>
      </c>
      <c r="BR429" s="324">
        <f t="shared" si="205"/>
        <v>0</v>
      </c>
      <c r="BS429" s="324">
        <f t="shared" si="206"/>
        <v>0</v>
      </c>
      <c r="BT429" s="332">
        <f t="shared" si="207"/>
        <v>0</v>
      </c>
    </row>
    <row r="430" spans="1:72" ht="14.25">
      <c r="A430" s="297"/>
      <c r="B430" s="323"/>
      <c r="C430" s="323"/>
      <c r="D430" s="2215"/>
      <c r="E430" s="324">
        <f t="shared" si="179"/>
        <v>0</v>
      </c>
      <c r="F430" s="325"/>
      <c r="G430" s="326">
        <f t="shared" si="180"/>
        <v>0</v>
      </c>
      <c r="H430" s="327">
        <f t="shared" si="18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18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183"/>
        <v>0</v>
      </c>
      <c r="AW430" s="2210">
        <f t="shared" si="184"/>
        <v>0</v>
      </c>
      <c r="AX430" s="2210">
        <f t="shared" si="185"/>
        <v>0</v>
      </c>
      <c r="AY430" s="331">
        <f t="shared" si="186"/>
        <v>0</v>
      </c>
      <c r="AZ430" s="324">
        <f t="shared" si="187"/>
        <v>0</v>
      </c>
      <c r="BA430" s="324">
        <f t="shared" si="188"/>
        <v>0</v>
      </c>
      <c r="BB430" s="324">
        <f t="shared" si="189"/>
        <v>0</v>
      </c>
      <c r="BC430" s="324">
        <f t="shared" si="190"/>
        <v>0</v>
      </c>
      <c r="BD430" s="324">
        <f t="shared" si="191"/>
        <v>0</v>
      </c>
      <c r="BE430" s="324">
        <f t="shared" si="192"/>
        <v>0</v>
      </c>
      <c r="BF430" s="324">
        <f t="shared" si="193"/>
        <v>0</v>
      </c>
      <c r="BG430" s="324">
        <f t="shared" si="194"/>
        <v>0</v>
      </c>
      <c r="BH430" s="324">
        <f t="shared" si="195"/>
        <v>0</v>
      </c>
      <c r="BI430" s="324">
        <f t="shared" si="196"/>
        <v>0</v>
      </c>
      <c r="BJ430" s="324">
        <f t="shared" si="197"/>
        <v>0</v>
      </c>
      <c r="BK430" s="324">
        <f t="shared" si="198"/>
        <v>0</v>
      </c>
      <c r="BL430" s="324">
        <f t="shared" si="199"/>
        <v>0</v>
      </c>
      <c r="BM430" s="324">
        <f t="shared" si="200"/>
        <v>0</v>
      </c>
      <c r="BN430" s="324">
        <f t="shared" si="201"/>
        <v>0</v>
      </c>
      <c r="BO430" s="324">
        <f t="shared" si="202"/>
        <v>0</v>
      </c>
      <c r="BP430" s="324">
        <f t="shared" si="203"/>
        <v>0</v>
      </c>
      <c r="BQ430" s="324">
        <f t="shared" si="204"/>
        <v>0</v>
      </c>
      <c r="BR430" s="324">
        <f t="shared" si="205"/>
        <v>0</v>
      </c>
      <c r="BS430" s="324">
        <f t="shared" si="206"/>
        <v>0</v>
      </c>
      <c r="BT430" s="332">
        <f t="shared" si="207"/>
        <v>0</v>
      </c>
    </row>
    <row r="431" spans="1:72" ht="14.25">
      <c r="A431" s="297"/>
      <c r="B431" s="323"/>
      <c r="C431" s="323"/>
      <c r="D431" s="2215"/>
      <c r="E431" s="324">
        <f t="shared" si="179"/>
        <v>0</v>
      </c>
      <c r="F431" s="325"/>
      <c r="G431" s="326">
        <f t="shared" si="180"/>
        <v>0</v>
      </c>
      <c r="H431" s="327">
        <f t="shared" si="18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18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183"/>
        <v>0</v>
      </c>
      <c r="AW431" s="2210">
        <f t="shared" si="184"/>
        <v>0</v>
      </c>
      <c r="AX431" s="2210">
        <f t="shared" si="185"/>
        <v>0</v>
      </c>
      <c r="AY431" s="331">
        <f t="shared" si="186"/>
        <v>0</v>
      </c>
      <c r="AZ431" s="324">
        <f t="shared" si="187"/>
        <v>0</v>
      </c>
      <c r="BA431" s="324">
        <f t="shared" si="188"/>
        <v>0</v>
      </c>
      <c r="BB431" s="324">
        <f t="shared" si="189"/>
        <v>0</v>
      </c>
      <c r="BC431" s="324">
        <f t="shared" si="190"/>
        <v>0</v>
      </c>
      <c r="BD431" s="324">
        <f t="shared" si="191"/>
        <v>0</v>
      </c>
      <c r="BE431" s="324">
        <f t="shared" si="192"/>
        <v>0</v>
      </c>
      <c r="BF431" s="324">
        <f t="shared" si="193"/>
        <v>0</v>
      </c>
      <c r="BG431" s="324">
        <f t="shared" si="194"/>
        <v>0</v>
      </c>
      <c r="BH431" s="324">
        <f t="shared" si="195"/>
        <v>0</v>
      </c>
      <c r="BI431" s="324">
        <f t="shared" si="196"/>
        <v>0</v>
      </c>
      <c r="BJ431" s="324">
        <f t="shared" si="197"/>
        <v>0</v>
      </c>
      <c r="BK431" s="324">
        <f t="shared" si="198"/>
        <v>0</v>
      </c>
      <c r="BL431" s="324">
        <f t="shared" si="199"/>
        <v>0</v>
      </c>
      <c r="BM431" s="324">
        <f t="shared" si="200"/>
        <v>0</v>
      </c>
      <c r="BN431" s="324">
        <f t="shared" si="201"/>
        <v>0</v>
      </c>
      <c r="BO431" s="324">
        <f t="shared" si="202"/>
        <v>0</v>
      </c>
      <c r="BP431" s="324">
        <f t="shared" si="203"/>
        <v>0</v>
      </c>
      <c r="BQ431" s="324">
        <f t="shared" si="204"/>
        <v>0</v>
      </c>
      <c r="BR431" s="324">
        <f t="shared" si="205"/>
        <v>0</v>
      </c>
      <c r="BS431" s="324">
        <f t="shared" si="206"/>
        <v>0</v>
      </c>
      <c r="BT431" s="332">
        <f t="shared" si="207"/>
        <v>0</v>
      </c>
    </row>
    <row r="432" spans="1:72" ht="14.25">
      <c r="A432" s="297"/>
      <c r="B432" s="323"/>
      <c r="C432" s="323"/>
      <c r="D432" s="2215"/>
      <c r="E432" s="324">
        <f t="shared" si="179"/>
        <v>0</v>
      </c>
      <c r="F432" s="325"/>
      <c r="G432" s="326">
        <f t="shared" si="180"/>
        <v>0</v>
      </c>
      <c r="H432" s="327">
        <f t="shared" si="18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18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183"/>
        <v>0</v>
      </c>
      <c r="AW432" s="2210">
        <f t="shared" si="184"/>
        <v>0</v>
      </c>
      <c r="AX432" s="2210">
        <f t="shared" si="185"/>
        <v>0</v>
      </c>
      <c r="AY432" s="331">
        <f t="shared" si="186"/>
        <v>0</v>
      </c>
      <c r="AZ432" s="324">
        <f t="shared" si="187"/>
        <v>0</v>
      </c>
      <c r="BA432" s="324">
        <f t="shared" si="188"/>
        <v>0</v>
      </c>
      <c r="BB432" s="324">
        <f t="shared" si="189"/>
        <v>0</v>
      </c>
      <c r="BC432" s="324">
        <f t="shared" si="190"/>
        <v>0</v>
      </c>
      <c r="BD432" s="324">
        <f t="shared" si="191"/>
        <v>0</v>
      </c>
      <c r="BE432" s="324">
        <f t="shared" si="192"/>
        <v>0</v>
      </c>
      <c r="BF432" s="324">
        <f t="shared" si="193"/>
        <v>0</v>
      </c>
      <c r="BG432" s="324">
        <f t="shared" si="194"/>
        <v>0</v>
      </c>
      <c r="BH432" s="324">
        <f t="shared" si="195"/>
        <v>0</v>
      </c>
      <c r="BI432" s="324">
        <f t="shared" si="196"/>
        <v>0</v>
      </c>
      <c r="BJ432" s="324">
        <f t="shared" si="197"/>
        <v>0</v>
      </c>
      <c r="BK432" s="324">
        <f t="shared" si="198"/>
        <v>0</v>
      </c>
      <c r="BL432" s="324">
        <f t="shared" si="199"/>
        <v>0</v>
      </c>
      <c r="BM432" s="324">
        <f t="shared" si="200"/>
        <v>0</v>
      </c>
      <c r="BN432" s="324">
        <f t="shared" si="201"/>
        <v>0</v>
      </c>
      <c r="BO432" s="324">
        <f t="shared" si="202"/>
        <v>0</v>
      </c>
      <c r="BP432" s="324">
        <f t="shared" si="203"/>
        <v>0</v>
      </c>
      <c r="BQ432" s="324">
        <f t="shared" si="204"/>
        <v>0</v>
      </c>
      <c r="BR432" s="324">
        <f t="shared" si="205"/>
        <v>0</v>
      </c>
      <c r="BS432" s="324">
        <f t="shared" si="206"/>
        <v>0</v>
      </c>
      <c r="BT432" s="332">
        <f t="shared" si="207"/>
        <v>0</v>
      </c>
    </row>
    <row r="433" spans="1:72" ht="14.25">
      <c r="A433" s="297"/>
      <c r="B433" s="323"/>
      <c r="C433" s="323"/>
      <c r="D433" s="2215"/>
      <c r="E433" s="324">
        <f t="shared" si="179"/>
        <v>0</v>
      </c>
      <c r="F433" s="325"/>
      <c r="G433" s="326">
        <f t="shared" si="180"/>
        <v>0</v>
      </c>
      <c r="H433" s="327">
        <f t="shared" si="18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18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183"/>
        <v>0</v>
      </c>
      <c r="AW433" s="2210">
        <f t="shared" si="184"/>
        <v>0</v>
      </c>
      <c r="AX433" s="2210">
        <f t="shared" si="185"/>
        <v>0</v>
      </c>
      <c r="AY433" s="331">
        <f t="shared" si="186"/>
        <v>0</v>
      </c>
      <c r="AZ433" s="324">
        <f t="shared" si="187"/>
        <v>0</v>
      </c>
      <c r="BA433" s="324">
        <f t="shared" si="188"/>
        <v>0</v>
      </c>
      <c r="BB433" s="324">
        <f t="shared" si="189"/>
        <v>0</v>
      </c>
      <c r="BC433" s="324">
        <f t="shared" si="190"/>
        <v>0</v>
      </c>
      <c r="BD433" s="324">
        <f t="shared" si="191"/>
        <v>0</v>
      </c>
      <c r="BE433" s="324">
        <f t="shared" si="192"/>
        <v>0</v>
      </c>
      <c r="BF433" s="324">
        <f t="shared" si="193"/>
        <v>0</v>
      </c>
      <c r="BG433" s="324">
        <f t="shared" si="194"/>
        <v>0</v>
      </c>
      <c r="BH433" s="324">
        <f t="shared" si="195"/>
        <v>0</v>
      </c>
      <c r="BI433" s="324">
        <f t="shared" si="196"/>
        <v>0</v>
      </c>
      <c r="BJ433" s="324">
        <f t="shared" si="197"/>
        <v>0</v>
      </c>
      <c r="BK433" s="324">
        <f t="shared" si="198"/>
        <v>0</v>
      </c>
      <c r="BL433" s="324">
        <f t="shared" si="199"/>
        <v>0</v>
      </c>
      <c r="BM433" s="324">
        <f t="shared" si="200"/>
        <v>0</v>
      </c>
      <c r="BN433" s="324">
        <f t="shared" si="201"/>
        <v>0</v>
      </c>
      <c r="BO433" s="324">
        <f t="shared" si="202"/>
        <v>0</v>
      </c>
      <c r="BP433" s="324">
        <f t="shared" si="203"/>
        <v>0</v>
      </c>
      <c r="BQ433" s="324">
        <f t="shared" si="204"/>
        <v>0</v>
      </c>
      <c r="BR433" s="324">
        <f t="shared" si="205"/>
        <v>0</v>
      </c>
      <c r="BS433" s="324">
        <f t="shared" si="206"/>
        <v>0</v>
      </c>
      <c r="BT433" s="332">
        <f t="shared" si="207"/>
        <v>0</v>
      </c>
    </row>
    <row r="434" spans="1:72" ht="14.25">
      <c r="A434" s="297"/>
      <c r="B434" s="323"/>
      <c r="C434" s="323"/>
      <c r="D434" s="2215"/>
      <c r="E434" s="324">
        <f t="shared" si="179"/>
        <v>0</v>
      </c>
      <c r="F434" s="325"/>
      <c r="G434" s="326">
        <f t="shared" si="180"/>
        <v>0</v>
      </c>
      <c r="H434" s="327">
        <f t="shared" si="18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18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183"/>
        <v>0</v>
      </c>
      <c r="AW434" s="2210">
        <f t="shared" si="184"/>
        <v>0</v>
      </c>
      <c r="AX434" s="2210">
        <f t="shared" si="185"/>
        <v>0</v>
      </c>
      <c r="AY434" s="331">
        <f t="shared" si="186"/>
        <v>0</v>
      </c>
      <c r="AZ434" s="324">
        <f t="shared" si="187"/>
        <v>0</v>
      </c>
      <c r="BA434" s="324">
        <f t="shared" si="188"/>
        <v>0</v>
      </c>
      <c r="BB434" s="324">
        <f t="shared" si="189"/>
        <v>0</v>
      </c>
      <c r="BC434" s="324">
        <f t="shared" si="190"/>
        <v>0</v>
      </c>
      <c r="BD434" s="324">
        <f t="shared" si="191"/>
        <v>0</v>
      </c>
      <c r="BE434" s="324">
        <f t="shared" si="192"/>
        <v>0</v>
      </c>
      <c r="BF434" s="324">
        <f t="shared" si="193"/>
        <v>0</v>
      </c>
      <c r="BG434" s="324">
        <f t="shared" si="194"/>
        <v>0</v>
      </c>
      <c r="BH434" s="324">
        <f t="shared" si="195"/>
        <v>0</v>
      </c>
      <c r="BI434" s="324">
        <f t="shared" si="196"/>
        <v>0</v>
      </c>
      <c r="BJ434" s="324">
        <f t="shared" si="197"/>
        <v>0</v>
      </c>
      <c r="BK434" s="324">
        <f t="shared" si="198"/>
        <v>0</v>
      </c>
      <c r="BL434" s="324">
        <f t="shared" si="199"/>
        <v>0</v>
      </c>
      <c r="BM434" s="324">
        <f t="shared" si="200"/>
        <v>0</v>
      </c>
      <c r="BN434" s="324">
        <f t="shared" si="201"/>
        <v>0</v>
      </c>
      <c r="BO434" s="324">
        <f t="shared" si="202"/>
        <v>0</v>
      </c>
      <c r="BP434" s="324">
        <f t="shared" si="203"/>
        <v>0</v>
      </c>
      <c r="BQ434" s="324">
        <f t="shared" si="204"/>
        <v>0</v>
      </c>
      <c r="BR434" s="324">
        <f t="shared" si="205"/>
        <v>0</v>
      </c>
      <c r="BS434" s="324">
        <f t="shared" si="206"/>
        <v>0</v>
      </c>
      <c r="BT434" s="332">
        <f t="shared" si="207"/>
        <v>0</v>
      </c>
    </row>
    <row r="435" spans="1:72" ht="14.25">
      <c r="A435" s="297"/>
      <c r="B435" s="323"/>
      <c r="C435" s="323"/>
      <c r="D435" s="2215"/>
      <c r="E435" s="324">
        <f t="shared" si="179"/>
        <v>0</v>
      </c>
      <c r="F435" s="325"/>
      <c r="G435" s="326">
        <f t="shared" si="180"/>
        <v>0</v>
      </c>
      <c r="H435" s="327">
        <f t="shared" si="18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18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183"/>
        <v>0</v>
      </c>
      <c r="AW435" s="2210">
        <f t="shared" si="184"/>
        <v>0</v>
      </c>
      <c r="AX435" s="2210">
        <f t="shared" si="185"/>
        <v>0</v>
      </c>
      <c r="AY435" s="331">
        <f t="shared" si="186"/>
        <v>0</v>
      </c>
      <c r="AZ435" s="324">
        <f t="shared" si="187"/>
        <v>0</v>
      </c>
      <c r="BA435" s="324">
        <f t="shared" si="188"/>
        <v>0</v>
      </c>
      <c r="BB435" s="324">
        <f t="shared" si="189"/>
        <v>0</v>
      </c>
      <c r="BC435" s="324">
        <f t="shared" si="190"/>
        <v>0</v>
      </c>
      <c r="BD435" s="324">
        <f t="shared" si="191"/>
        <v>0</v>
      </c>
      <c r="BE435" s="324">
        <f t="shared" si="192"/>
        <v>0</v>
      </c>
      <c r="BF435" s="324">
        <f t="shared" si="193"/>
        <v>0</v>
      </c>
      <c r="BG435" s="324">
        <f t="shared" si="194"/>
        <v>0</v>
      </c>
      <c r="BH435" s="324">
        <f t="shared" si="195"/>
        <v>0</v>
      </c>
      <c r="BI435" s="324">
        <f t="shared" si="196"/>
        <v>0</v>
      </c>
      <c r="BJ435" s="324">
        <f t="shared" si="197"/>
        <v>0</v>
      </c>
      <c r="BK435" s="324">
        <f t="shared" si="198"/>
        <v>0</v>
      </c>
      <c r="BL435" s="324">
        <f t="shared" si="199"/>
        <v>0</v>
      </c>
      <c r="BM435" s="324">
        <f t="shared" si="200"/>
        <v>0</v>
      </c>
      <c r="BN435" s="324">
        <f t="shared" si="201"/>
        <v>0</v>
      </c>
      <c r="BO435" s="324">
        <f t="shared" si="202"/>
        <v>0</v>
      </c>
      <c r="BP435" s="324">
        <f t="shared" si="203"/>
        <v>0</v>
      </c>
      <c r="BQ435" s="324">
        <f t="shared" si="204"/>
        <v>0</v>
      </c>
      <c r="BR435" s="324">
        <f t="shared" si="205"/>
        <v>0</v>
      </c>
      <c r="BS435" s="324">
        <f t="shared" si="206"/>
        <v>0</v>
      </c>
      <c r="BT435" s="332">
        <f t="shared" si="207"/>
        <v>0</v>
      </c>
    </row>
    <row r="436" spans="1:72" ht="14.25">
      <c r="A436" s="297"/>
      <c r="B436" s="323"/>
      <c r="C436" s="323"/>
      <c r="D436" s="2215"/>
      <c r="E436" s="324">
        <f t="shared" si="179"/>
        <v>0</v>
      </c>
      <c r="F436" s="325"/>
      <c r="G436" s="326">
        <f t="shared" si="180"/>
        <v>0</v>
      </c>
      <c r="H436" s="327">
        <f t="shared" si="18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18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183"/>
        <v>0</v>
      </c>
      <c r="AW436" s="2210">
        <f t="shared" si="184"/>
        <v>0</v>
      </c>
      <c r="AX436" s="2210">
        <f t="shared" si="185"/>
        <v>0</v>
      </c>
      <c r="AY436" s="331">
        <f t="shared" si="186"/>
        <v>0</v>
      </c>
      <c r="AZ436" s="324">
        <f t="shared" si="187"/>
        <v>0</v>
      </c>
      <c r="BA436" s="324">
        <f t="shared" si="188"/>
        <v>0</v>
      </c>
      <c r="BB436" s="324">
        <f t="shared" si="189"/>
        <v>0</v>
      </c>
      <c r="BC436" s="324">
        <f t="shared" si="190"/>
        <v>0</v>
      </c>
      <c r="BD436" s="324">
        <f t="shared" si="191"/>
        <v>0</v>
      </c>
      <c r="BE436" s="324">
        <f t="shared" si="192"/>
        <v>0</v>
      </c>
      <c r="BF436" s="324">
        <f t="shared" si="193"/>
        <v>0</v>
      </c>
      <c r="BG436" s="324">
        <f t="shared" si="194"/>
        <v>0</v>
      </c>
      <c r="BH436" s="324">
        <f t="shared" si="195"/>
        <v>0</v>
      </c>
      <c r="BI436" s="324">
        <f t="shared" si="196"/>
        <v>0</v>
      </c>
      <c r="BJ436" s="324">
        <f t="shared" si="197"/>
        <v>0</v>
      </c>
      <c r="BK436" s="324">
        <f t="shared" si="198"/>
        <v>0</v>
      </c>
      <c r="BL436" s="324">
        <f t="shared" si="199"/>
        <v>0</v>
      </c>
      <c r="BM436" s="324">
        <f t="shared" si="200"/>
        <v>0</v>
      </c>
      <c r="BN436" s="324">
        <f t="shared" si="201"/>
        <v>0</v>
      </c>
      <c r="BO436" s="324">
        <f t="shared" si="202"/>
        <v>0</v>
      </c>
      <c r="BP436" s="324">
        <f t="shared" si="203"/>
        <v>0</v>
      </c>
      <c r="BQ436" s="324">
        <f t="shared" si="204"/>
        <v>0</v>
      </c>
      <c r="BR436" s="324">
        <f t="shared" si="205"/>
        <v>0</v>
      </c>
      <c r="BS436" s="324">
        <f t="shared" si="206"/>
        <v>0</v>
      </c>
      <c r="BT436" s="332">
        <f t="shared" si="207"/>
        <v>0</v>
      </c>
    </row>
    <row r="437" spans="1:72" ht="14.25">
      <c r="A437" s="297"/>
      <c r="B437" s="323"/>
      <c r="C437" s="323"/>
      <c r="D437" s="2215"/>
      <c r="E437" s="324">
        <f t="shared" si="179"/>
        <v>0</v>
      </c>
      <c r="F437" s="325"/>
      <c r="G437" s="326">
        <f t="shared" si="180"/>
        <v>0</v>
      </c>
      <c r="H437" s="327">
        <f t="shared" si="18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18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183"/>
        <v>0</v>
      </c>
      <c r="AW437" s="2210">
        <f t="shared" si="184"/>
        <v>0</v>
      </c>
      <c r="AX437" s="2210">
        <f t="shared" si="185"/>
        <v>0</v>
      </c>
      <c r="AY437" s="331">
        <f t="shared" si="186"/>
        <v>0</v>
      </c>
      <c r="AZ437" s="324">
        <f t="shared" si="187"/>
        <v>0</v>
      </c>
      <c r="BA437" s="324">
        <f t="shared" si="188"/>
        <v>0</v>
      </c>
      <c r="BB437" s="324">
        <f t="shared" si="189"/>
        <v>0</v>
      </c>
      <c r="BC437" s="324">
        <f t="shared" si="190"/>
        <v>0</v>
      </c>
      <c r="BD437" s="324">
        <f t="shared" si="191"/>
        <v>0</v>
      </c>
      <c r="BE437" s="324">
        <f t="shared" si="192"/>
        <v>0</v>
      </c>
      <c r="BF437" s="324">
        <f t="shared" si="193"/>
        <v>0</v>
      </c>
      <c r="BG437" s="324">
        <f t="shared" si="194"/>
        <v>0</v>
      </c>
      <c r="BH437" s="324">
        <f t="shared" si="195"/>
        <v>0</v>
      </c>
      <c r="BI437" s="324">
        <f t="shared" si="196"/>
        <v>0</v>
      </c>
      <c r="BJ437" s="324">
        <f t="shared" si="197"/>
        <v>0</v>
      </c>
      <c r="BK437" s="324">
        <f t="shared" si="198"/>
        <v>0</v>
      </c>
      <c r="BL437" s="324">
        <f t="shared" si="199"/>
        <v>0</v>
      </c>
      <c r="BM437" s="324">
        <f t="shared" si="200"/>
        <v>0</v>
      </c>
      <c r="BN437" s="324">
        <f t="shared" si="201"/>
        <v>0</v>
      </c>
      <c r="BO437" s="324">
        <f t="shared" si="202"/>
        <v>0</v>
      </c>
      <c r="BP437" s="324">
        <f t="shared" si="203"/>
        <v>0</v>
      </c>
      <c r="BQ437" s="324">
        <f t="shared" si="204"/>
        <v>0</v>
      </c>
      <c r="BR437" s="324">
        <f t="shared" si="205"/>
        <v>0</v>
      </c>
      <c r="BS437" s="324">
        <f t="shared" si="206"/>
        <v>0</v>
      </c>
      <c r="BT437" s="332">
        <f t="shared" si="207"/>
        <v>0</v>
      </c>
    </row>
    <row r="438" spans="1:72" ht="14.25">
      <c r="A438" s="297"/>
      <c r="B438" s="323"/>
      <c r="C438" s="323"/>
      <c r="D438" s="2215"/>
      <c r="E438" s="324">
        <f t="shared" si="179"/>
        <v>0</v>
      </c>
      <c r="F438" s="325"/>
      <c r="G438" s="326">
        <f t="shared" si="180"/>
        <v>0</v>
      </c>
      <c r="H438" s="327">
        <f t="shared" si="18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18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183"/>
        <v>0</v>
      </c>
      <c r="AW438" s="2210">
        <f t="shared" si="184"/>
        <v>0</v>
      </c>
      <c r="AX438" s="2210">
        <f t="shared" si="185"/>
        <v>0</v>
      </c>
      <c r="AY438" s="331">
        <f t="shared" si="186"/>
        <v>0</v>
      </c>
      <c r="AZ438" s="324">
        <f t="shared" si="187"/>
        <v>0</v>
      </c>
      <c r="BA438" s="324">
        <f t="shared" si="188"/>
        <v>0</v>
      </c>
      <c r="BB438" s="324">
        <f t="shared" si="189"/>
        <v>0</v>
      </c>
      <c r="BC438" s="324">
        <f t="shared" si="190"/>
        <v>0</v>
      </c>
      <c r="BD438" s="324">
        <f t="shared" si="191"/>
        <v>0</v>
      </c>
      <c r="BE438" s="324">
        <f t="shared" si="192"/>
        <v>0</v>
      </c>
      <c r="BF438" s="324">
        <f t="shared" si="193"/>
        <v>0</v>
      </c>
      <c r="BG438" s="324">
        <f t="shared" si="194"/>
        <v>0</v>
      </c>
      <c r="BH438" s="324">
        <f t="shared" si="195"/>
        <v>0</v>
      </c>
      <c r="BI438" s="324">
        <f t="shared" si="196"/>
        <v>0</v>
      </c>
      <c r="BJ438" s="324">
        <f t="shared" si="197"/>
        <v>0</v>
      </c>
      <c r="BK438" s="324">
        <f t="shared" si="198"/>
        <v>0</v>
      </c>
      <c r="BL438" s="324">
        <f t="shared" si="199"/>
        <v>0</v>
      </c>
      <c r="BM438" s="324">
        <f t="shared" si="200"/>
        <v>0</v>
      </c>
      <c r="BN438" s="324">
        <f t="shared" si="201"/>
        <v>0</v>
      </c>
      <c r="BO438" s="324">
        <f t="shared" si="202"/>
        <v>0</v>
      </c>
      <c r="BP438" s="324">
        <f t="shared" si="203"/>
        <v>0</v>
      </c>
      <c r="BQ438" s="324">
        <f t="shared" si="204"/>
        <v>0</v>
      </c>
      <c r="BR438" s="324">
        <f t="shared" si="205"/>
        <v>0</v>
      </c>
      <c r="BS438" s="324">
        <f t="shared" si="206"/>
        <v>0</v>
      </c>
      <c r="BT438" s="332">
        <f t="shared" si="207"/>
        <v>0</v>
      </c>
    </row>
    <row r="439" spans="1:72" ht="14.25">
      <c r="A439" s="297"/>
      <c r="B439" s="323"/>
      <c r="C439" s="323"/>
      <c r="D439" s="2215"/>
      <c r="E439" s="324">
        <f t="shared" si="179"/>
        <v>0</v>
      </c>
      <c r="F439" s="325"/>
      <c r="G439" s="326">
        <f t="shared" si="180"/>
        <v>0</v>
      </c>
      <c r="H439" s="327">
        <f t="shared" si="18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18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183"/>
        <v>0</v>
      </c>
      <c r="AW439" s="2210">
        <f t="shared" si="184"/>
        <v>0</v>
      </c>
      <c r="AX439" s="2210">
        <f t="shared" si="185"/>
        <v>0</v>
      </c>
      <c r="AY439" s="331">
        <f t="shared" si="186"/>
        <v>0</v>
      </c>
      <c r="AZ439" s="324">
        <f t="shared" si="187"/>
        <v>0</v>
      </c>
      <c r="BA439" s="324">
        <f t="shared" si="188"/>
        <v>0</v>
      </c>
      <c r="BB439" s="324">
        <f t="shared" si="189"/>
        <v>0</v>
      </c>
      <c r="BC439" s="324">
        <f t="shared" si="190"/>
        <v>0</v>
      </c>
      <c r="BD439" s="324">
        <f t="shared" si="191"/>
        <v>0</v>
      </c>
      <c r="BE439" s="324">
        <f t="shared" si="192"/>
        <v>0</v>
      </c>
      <c r="BF439" s="324">
        <f t="shared" si="193"/>
        <v>0</v>
      </c>
      <c r="BG439" s="324">
        <f t="shared" si="194"/>
        <v>0</v>
      </c>
      <c r="BH439" s="324">
        <f t="shared" si="195"/>
        <v>0</v>
      </c>
      <c r="BI439" s="324">
        <f t="shared" si="196"/>
        <v>0</v>
      </c>
      <c r="BJ439" s="324">
        <f t="shared" si="197"/>
        <v>0</v>
      </c>
      <c r="BK439" s="324">
        <f t="shared" si="198"/>
        <v>0</v>
      </c>
      <c r="BL439" s="324">
        <f t="shared" si="199"/>
        <v>0</v>
      </c>
      <c r="BM439" s="324">
        <f t="shared" si="200"/>
        <v>0</v>
      </c>
      <c r="BN439" s="324">
        <f t="shared" si="201"/>
        <v>0</v>
      </c>
      <c r="BO439" s="324">
        <f t="shared" si="202"/>
        <v>0</v>
      </c>
      <c r="BP439" s="324">
        <f t="shared" si="203"/>
        <v>0</v>
      </c>
      <c r="BQ439" s="324">
        <f t="shared" si="204"/>
        <v>0</v>
      </c>
      <c r="BR439" s="324">
        <f t="shared" si="205"/>
        <v>0</v>
      </c>
      <c r="BS439" s="324">
        <f t="shared" si="206"/>
        <v>0</v>
      </c>
      <c r="BT439" s="332">
        <f t="shared" si="207"/>
        <v>0</v>
      </c>
    </row>
    <row r="440" spans="1:72" ht="14.25">
      <c r="A440" s="297"/>
      <c r="B440" s="323"/>
      <c r="C440" s="323"/>
      <c r="D440" s="2215"/>
      <c r="E440" s="324">
        <f t="shared" si="179"/>
        <v>0</v>
      </c>
      <c r="F440" s="325"/>
      <c r="G440" s="326">
        <f t="shared" si="180"/>
        <v>0</v>
      </c>
      <c r="H440" s="327">
        <f t="shared" si="18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18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183"/>
        <v>0</v>
      </c>
      <c r="AW440" s="2210">
        <f t="shared" si="184"/>
        <v>0</v>
      </c>
      <c r="AX440" s="2210">
        <f t="shared" si="185"/>
        <v>0</v>
      </c>
      <c r="AY440" s="331">
        <f t="shared" si="186"/>
        <v>0</v>
      </c>
      <c r="AZ440" s="324">
        <f t="shared" si="187"/>
        <v>0</v>
      </c>
      <c r="BA440" s="324">
        <f t="shared" si="188"/>
        <v>0</v>
      </c>
      <c r="BB440" s="324">
        <f t="shared" si="189"/>
        <v>0</v>
      </c>
      <c r="BC440" s="324">
        <f t="shared" si="190"/>
        <v>0</v>
      </c>
      <c r="BD440" s="324">
        <f t="shared" si="191"/>
        <v>0</v>
      </c>
      <c r="BE440" s="324">
        <f t="shared" si="192"/>
        <v>0</v>
      </c>
      <c r="BF440" s="324">
        <f t="shared" si="193"/>
        <v>0</v>
      </c>
      <c r="BG440" s="324">
        <f t="shared" si="194"/>
        <v>0</v>
      </c>
      <c r="BH440" s="324">
        <f t="shared" si="195"/>
        <v>0</v>
      </c>
      <c r="BI440" s="324">
        <f t="shared" si="196"/>
        <v>0</v>
      </c>
      <c r="BJ440" s="324">
        <f t="shared" si="197"/>
        <v>0</v>
      </c>
      <c r="BK440" s="324">
        <f t="shared" si="198"/>
        <v>0</v>
      </c>
      <c r="BL440" s="324">
        <f t="shared" si="199"/>
        <v>0</v>
      </c>
      <c r="BM440" s="324">
        <f t="shared" si="200"/>
        <v>0</v>
      </c>
      <c r="BN440" s="324">
        <f t="shared" si="201"/>
        <v>0</v>
      </c>
      <c r="BO440" s="324">
        <f t="shared" si="202"/>
        <v>0</v>
      </c>
      <c r="BP440" s="324">
        <f t="shared" si="203"/>
        <v>0</v>
      </c>
      <c r="BQ440" s="324">
        <f t="shared" si="204"/>
        <v>0</v>
      </c>
      <c r="BR440" s="324">
        <f t="shared" si="205"/>
        <v>0</v>
      </c>
      <c r="BS440" s="324">
        <f t="shared" si="206"/>
        <v>0</v>
      </c>
      <c r="BT440" s="332">
        <f t="shared" si="207"/>
        <v>0</v>
      </c>
    </row>
    <row r="441" spans="1:72" ht="14.25">
      <c r="A441" s="297"/>
      <c r="B441" s="323"/>
      <c r="C441" s="323"/>
      <c r="D441" s="2215"/>
      <c r="E441" s="324">
        <f t="shared" si="179"/>
        <v>0</v>
      </c>
      <c r="F441" s="325"/>
      <c r="G441" s="326">
        <f t="shared" si="180"/>
        <v>0</v>
      </c>
      <c r="H441" s="327">
        <f t="shared" si="18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18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183"/>
        <v>0</v>
      </c>
      <c r="AW441" s="2210">
        <f t="shared" si="184"/>
        <v>0</v>
      </c>
      <c r="AX441" s="2210">
        <f t="shared" si="185"/>
        <v>0</v>
      </c>
      <c r="AY441" s="331">
        <f t="shared" si="186"/>
        <v>0</v>
      </c>
      <c r="AZ441" s="324">
        <f t="shared" si="187"/>
        <v>0</v>
      </c>
      <c r="BA441" s="324">
        <f t="shared" si="188"/>
        <v>0</v>
      </c>
      <c r="BB441" s="324">
        <f t="shared" si="189"/>
        <v>0</v>
      </c>
      <c r="BC441" s="324">
        <f t="shared" si="190"/>
        <v>0</v>
      </c>
      <c r="BD441" s="324">
        <f t="shared" si="191"/>
        <v>0</v>
      </c>
      <c r="BE441" s="324">
        <f t="shared" si="192"/>
        <v>0</v>
      </c>
      <c r="BF441" s="324">
        <f t="shared" si="193"/>
        <v>0</v>
      </c>
      <c r="BG441" s="324">
        <f t="shared" si="194"/>
        <v>0</v>
      </c>
      <c r="BH441" s="324">
        <f t="shared" si="195"/>
        <v>0</v>
      </c>
      <c r="BI441" s="324">
        <f t="shared" si="196"/>
        <v>0</v>
      </c>
      <c r="BJ441" s="324">
        <f t="shared" si="197"/>
        <v>0</v>
      </c>
      <c r="BK441" s="324">
        <f t="shared" si="198"/>
        <v>0</v>
      </c>
      <c r="BL441" s="324">
        <f t="shared" si="199"/>
        <v>0</v>
      </c>
      <c r="BM441" s="324">
        <f t="shared" si="200"/>
        <v>0</v>
      </c>
      <c r="BN441" s="324">
        <f t="shared" si="201"/>
        <v>0</v>
      </c>
      <c r="BO441" s="324">
        <f t="shared" si="202"/>
        <v>0</v>
      </c>
      <c r="BP441" s="324">
        <f t="shared" si="203"/>
        <v>0</v>
      </c>
      <c r="BQ441" s="324">
        <f t="shared" si="204"/>
        <v>0</v>
      </c>
      <c r="BR441" s="324">
        <f t="shared" si="205"/>
        <v>0</v>
      </c>
      <c r="BS441" s="324">
        <f t="shared" si="206"/>
        <v>0</v>
      </c>
      <c r="BT441" s="332">
        <f t="shared" si="207"/>
        <v>0</v>
      </c>
    </row>
    <row r="442" spans="1:72" ht="14.25">
      <c r="A442" s="297"/>
      <c r="B442" s="323"/>
      <c r="C442" s="323"/>
      <c r="D442" s="2215"/>
      <c r="E442" s="324">
        <f t="shared" si="179"/>
        <v>0</v>
      </c>
      <c r="F442" s="325"/>
      <c r="G442" s="326">
        <f t="shared" si="180"/>
        <v>0</v>
      </c>
      <c r="H442" s="327">
        <f t="shared" si="18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18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183"/>
        <v>0</v>
      </c>
      <c r="AW442" s="2210">
        <f t="shared" si="184"/>
        <v>0</v>
      </c>
      <c r="AX442" s="2210">
        <f t="shared" si="185"/>
        <v>0</v>
      </c>
      <c r="AY442" s="331">
        <f t="shared" si="186"/>
        <v>0</v>
      </c>
      <c r="AZ442" s="324">
        <f t="shared" si="187"/>
        <v>0</v>
      </c>
      <c r="BA442" s="324">
        <f t="shared" si="188"/>
        <v>0</v>
      </c>
      <c r="BB442" s="324">
        <f t="shared" si="189"/>
        <v>0</v>
      </c>
      <c r="BC442" s="324">
        <f t="shared" si="190"/>
        <v>0</v>
      </c>
      <c r="BD442" s="324">
        <f t="shared" si="191"/>
        <v>0</v>
      </c>
      <c r="BE442" s="324">
        <f t="shared" si="192"/>
        <v>0</v>
      </c>
      <c r="BF442" s="324">
        <f t="shared" si="193"/>
        <v>0</v>
      </c>
      <c r="BG442" s="324">
        <f t="shared" si="194"/>
        <v>0</v>
      </c>
      <c r="BH442" s="324">
        <f t="shared" si="195"/>
        <v>0</v>
      </c>
      <c r="BI442" s="324">
        <f t="shared" si="196"/>
        <v>0</v>
      </c>
      <c r="BJ442" s="324">
        <f t="shared" si="197"/>
        <v>0</v>
      </c>
      <c r="BK442" s="324">
        <f t="shared" si="198"/>
        <v>0</v>
      </c>
      <c r="BL442" s="324">
        <f t="shared" si="199"/>
        <v>0</v>
      </c>
      <c r="BM442" s="324">
        <f t="shared" si="200"/>
        <v>0</v>
      </c>
      <c r="BN442" s="324">
        <f t="shared" si="201"/>
        <v>0</v>
      </c>
      <c r="BO442" s="324">
        <f t="shared" si="202"/>
        <v>0</v>
      </c>
      <c r="BP442" s="324">
        <f t="shared" si="203"/>
        <v>0</v>
      </c>
      <c r="BQ442" s="324">
        <f t="shared" si="204"/>
        <v>0</v>
      </c>
      <c r="BR442" s="324">
        <f t="shared" si="205"/>
        <v>0</v>
      </c>
      <c r="BS442" s="324">
        <f t="shared" si="206"/>
        <v>0</v>
      </c>
      <c r="BT442" s="332">
        <f t="shared" si="207"/>
        <v>0</v>
      </c>
    </row>
    <row r="443" spans="1:72" ht="14.25">
      <c r="A443" s="297"/>
      <c r="B443" s="323"/>
      <c r="C443" s="323"/>
      <c r="D443" s="2215"/>
      <c r="E443" s="324">
        <f t="shared" si="179"/>
        <v>0</v>
      </c>
      <c r="F443" s="325"/>
      <c r="G443" s="326">
        <f t="shared" si="180"/>
        <v>0</v>
      </c>
      <c r="H443" s="327">
        <f t="shared" si="18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18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183"/>
        <v>0</v>
      </c>
      <c r="AW443" s="2210">
        <f t="shared" si="184"/>
        <v>0</v>
      </c>
      <c r="AX443" s="2210">
        <f t="shared" si="185"/>
        <v>0</v>
      </c>
      <c r="AY443" s="331">
        <f t="shared" si="186"/>
        <v>0</v>
      </c>
      <c r="AZ443" s="324">
        <f t="shared" si="187"/>
        <v>0</v>
      </c>
      <c r="BA443" s="324">
        <f t="shared" si="188"/>
        <v>0</v>
      </c>
      <c r="BB443" s="324">
        <f t="shared" si="189"/>
        <v>0</v>
      </c>
      <c r="BC443" s="324">
        <f t="shared" si="190"/>
        <v>0</v>
      </c>
      <c r="BD443" s="324">
        <f t="shared" si="191"/>
        <v>0</v>
      </c>
      <c r="BE443" s="324">
        <f t="shared" si="192"/>
        <v>0</v>
      </c>
      <c r="BF443" s="324">
        <f t="shared" si="193"/>
        <v>0</v>
      </c>
      <c r="BG443" s="324">
        <f t="shared" si="194"/>
        <v>0</v>
      </c>
      <c r="BH443" s="324">
        <f t="shared" si="195"/>
        <v>0</v>
      </c>
      <c r="BI443" s="324">
        <f t="shared" si="196"/>
        <v>0</v>
      </c>
      <c r="BJ443" s="324">
        <f t="shared" si="197"/>
        <v>0</v>
      </c>
      <c r="BK443" s="324">
        <f t="shared" si="198"/>
        <v>0</v>
      </c>
      <c r="BL443" s="324">
        <f t="shared" si="199"/>
        <v>0</v>
      </c>
      <c r="BM443" s="324">
        <f t="shared" si="200"/>
        <v>0</v>
      </c>
      <c r="BN443" s="324">
        <f t="shared" si="201"/>
        <v>0</v>
      </c>
      <c r="BO443" s="324">
        <f t="shared" si="202"/>
        <v>0</v>
      </c>
      <c r="BP443" s="324">
        <f t="shared" si="203"/>
        <v>0</v>
      </c>
      <c r="BQ443" s="324">
        <f t="shared" si="204"/>
        <v>0</v>
      </c>
      <c r="BR443" s="324">
        <f t="shared" si="205"/>
        <v>0</v>
      </c>
      <c r="BS443" s="324">
        <f t="shared" si="206"/>
        <v>0</v>
      </c>
      <c r="BT443" s="332">
        <f t="shared" si="207"/>
        <v>0</v>
      </c>
    </row>
    <row r="444" spans="1:72" ht="14.25">
      <c r="A444" s="297"/>
      <c r="B444" s="323"/>
      <c r="C444" s="323"/>
      <c r="D444" s="2215"/>
      <c r="E444" s="324">
        <f t="shared" si="179"/>
        <v>0</v>
      </c>
      <c r="F444" s="325"/>
      <c r="G444" s="326">
        <f t="shared" si="180"/>
        <v>0</v>
      </c>
      <c r="H444" s="327">
        <f t="shared" si="18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18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183"/>
        <v>0</v>
      </c>
      <c r="AW444" s="2210">
        <f t="shared" si="184"/>
        <v>0</v>
      </c>
      <c r="AX444" s="2210">
        <f t="shared" si="185"/>
        <v>0</v>
      </c>
      <c r="AY444" s="331">
        <f t="shared" si="186"/>
        <v>0</v>
      </c>
      <c r="AZ444" s="324">
        <f t="shared" si="187"/>
        <v>0</v>
      </c>
      <c r="BA444" s="324">
        <f t="shared" si="188"/>
        <v>0</v>
      </c>
      <c r="BB444" s="324">
        <f t="shared" si="189"/>
        <v>0</v>
      </c>
      <c r="BC444" s="324">
        <f t="shared" si="190"/>
        <v>0</v>
      </c>
      <c r="BD444" s="324">
        <f t="shared" si="191"/>
        <v>0</v>
      </c>
      <c r="BE444" s="324">
        <f t="shared" si="192"/>
        <v>0</v>
      </c>
      <c r="BF444" s="324">
        <f t="shared" si="193"/>
        <v>0</v>
      </c>
      <c r="BG444" s="324">
        <f t="shared" si="194"/>
        <v>0</v>
      </c>
      <c r="BH444" s="324">
        <f t="shared" si="195"/>
        <v>0</v>
      </c>
      <c r="BI444" s="324">
        <f t="shared" si="196"/>
        <v>0</v>
      </c>
      <c r="BJ444" s="324">
        <f t="shared" si="197"/>
        <v>0</v>
      </c>
      <c r="BK444" s="324">
        <f t="shared" si="198"/>
        <v>0</v>
      </c>
      <c r="BL444" s="324">
        <f t="shared" si="199"/>
        <v>0</v>
      </c>
      <c r="BM444" s="324">
        <f t="shared" si="200"/>
        <v>0</v>
      </c>
      <c r="BN444" s="324">
        <f t="shared" si="201"/>
        <v>0</v>
      </c>
      <c r="BO444" s="324">
        <f t="shared" si="202"/>
        <v>0</v>
      </c>
      <c r="BP444" s="324">
        <f t="shared" si="203"/>
        <v>0</v>
      </c>
      <c r="BQ444" s="324">
        <f t="shared" si="204"/>
        <v>0</v>
      </c>
      <c r="BR444" s="324">
        <f t="shared" si="205"/>
        <v>0</v>
      </c>
      <c r="BS444" s="324">
        <f t="shared" si="206"/>
        <v>0</v>
      </c>
      <c r="BT444" s="332">
        <f t="shared" si="207"/>
        <v>0</v>
      </c>
    </row>
    <row r="445" spans="1:72" ht="14.25">
      <c r="A445" s="297"/>
      <c r="B445" s="323"/>
      <c r="C445" s="323"/>
      <c r="D445" s="2215"/>
      <c r="E445" s="324">
        <f t="shared" si="179"/>
        <v>0</v>
      </c>
      <c r="F445" s="325"/>
      <c r="G445" s="326">
        <f t="shared" si="180"/>
        <v>0</v>
      </c>
      <c r="H445" s="327">
        <f t="shared" si="18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18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183"/>
        <v>0</v>
      </c>
      <c r="AW445" s="2210">
        <f t="shared" si="184"/>
        <v>0</v>
      </c>
      <c r="AX445" s="2210">
        <f t="shared" si="185"/>
        <v>0</v>
      </c>
      <c r="AY445" s="331">
        <f t="shared" si="186"/>
        <v>0</v>
      </c>
      <c r="AZ445" s="324">
        <f t="shared" si="187"/>
        <v>0</v>
      </c>
      <c r="BA445" s="324">
        <f t="shared" si="188"/>
        <v>0</v>
      </c>
      <c r="BB445" s="324">
        <f t="shared" si="189"/>
        <v>0</v>
      </c>
      <c r="BC445" s="324">
        <f t="shared" si="190"/>
        <v>0</v>
      </c>
      <c r="BD445" s="324">
        <f t="shared" si="191"/>
        <v>0</v>
      </c>
      <c r="BE445" s="324">
        <f t="shared" si="192"/>
        <v>0</v>
      </c>
      <c r="BF445" s="324">
        <f t="shared" si="193"/>
        <v>0</v>
      </c>
      <c r="BG445" s="324">
        <f t="shared" si="194"/>
        <v>0</v>
      </c>
      <c r="BH445" s="324">
        <f t="shared" si="195"/>
        <v>0</v>
      </c>
      <c r="BI445" s="324">
        <f t="shared" si="196"/>
        <v>0</v>
      </c>
      <c r="BJ445" s="324">
        <f t="shared" si="197"/>
        <v>0</v>
      </c>
      <c r="BK445" s="324">
        <f t="shared" si="198"/>
        <v>0</v>
      </c>
      <c r="BL445" s="324">
        <f t="shared" si="199"/>
        <v>0</v>
      </c>
      <c r="BM445" s="324">
        <f t="shared" si="200"/>
        <v>0</v>
      </c>
      <c r="BN445" s="324">
        <f t="shared" si="201"/>
        <v>0</v>
      </c>
      <c r="BO445" s="324">
        <f t="shared" si="202"/>
        <v>0</v>
      </c>
      <c r="BP445" s="324">
        <f t="shared" si="203"/>
        <v>0</v>
      </c>
      <c r="BQ445" s="324">
        <f t="shared" si="204"/>
        <v>0</v>
      </c>
      <c r="BR445" s="324">
        <f t="shared" si="205"/>
        <v>0</v>
      </c>
      <c r="BS445" s="324">
        <f t="shared" si="206"/>
        <v>0</v>
      </c>
      <c r="BT445" s="332">
        <f t="shared" si="207"/>
        <v>0</v>
      </c>
    </row>
    <row r="446" spans="1:72" ht="14.25">
      <c r="A446" s="297"/>
      <c r="B446" s="323"/>
      <c r="C446" s="323"/>
      <c r="D446" s="2215"/>
      <c r="E446" s="324">
        <f t="shared" si="179"/>
        <v>0</v>
      </c>
      <c r="F446" s="325"/>
      <c r="G446" s="326">
        <f t="shared" si="180"/>
        <v>0</v>
      </c>
      <c r="H446" s="327">
        <f t="shared" si="18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18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183"/>
        <v>0</v>
      </c>
      <c r="AW446" s="2210">
        <f t="shared" si="184"/>
        <v>0</v>
      </c>
      <c r="AX446" s="2210">
        <f t="shared" si="185"/>
        <v>0</v>
      </c>
      <c r="AY446" s="331">
        <f t="shared" si="186"/>
        <v>0</v>
      </c>
      <c r="AZ446" s="324">
        <f t="shared" si="187"/>
        <v>0</v>
      </c>
      <c r="BA446" s="324">
        <f t="shared" si="188"/>
        <v>0</v>
      </c>
      <c r="BB446" s="324">
        <f t="shared" si="189"/>
        <v>0</v>
      </c>
      <c r="BC446" s="324">
        <f t="shared" si="190"/>
        <v>0</v>
      </c>
      <c r="BD446" s="324">
        <f t="shared" si="191"/>
        <v>0</v>
      </c>
      <c r="BE446" s="324">
        <f t="shared" si="192"/>
        <v>0</v>
      </c>
      <c r="BF446" s="324">
        <f t="shared" si="193"/>
        <v>0</v>
      </c>
      <c r="BG446" s="324">
        <f t="shared" si="194"/>
        <v>0</v>
      </c>
      <c r="BH446" s="324">
        <f t="shared" si="195"/>
        <v>0</v>
      </c>
      <c r="BI446" s="324">
        <f t="shared" si="196"/>
        <v>0</v>
      </c>
      <c r="BJ446" s="324">
        <f t="shared" si="197"/>
        <v>0</v>
      </c>
      <c r="BK446" s="324">
        <f t="shared" si="198"/>
        <v>0</v>
      </c>
      <c r="BL446" s="324">
        <f t="shared" si="199"/>
        <v>0</v>
      </c>
      <c r="BM446" s="324">
        <f t="shared" si="200"/>
        <v>0</v>
      </c>
      <c r="BN446" s="324">
        <f t="shared" si="201"/>
        <v>0</v>
      </c>
      <c r="BO446" s="324">
        <f t="shared" si="202"/>
        <v>0</v>
      </c>
      <c r="BP446" s="324">
        <f t="shared" si="203"/>
        <v>0</v>
      </c>
      <c r="BQ446" s="324">
        <f t="shared" si="204"/>
        <v>0</v>
      </c>
      <c r="BR446" s="324">
        <f t="shared" si="205"/>
        <v>0</v>
      </c>
      <c r="BS446" s="324">
        <f t="shared" si="206"/>
        <v>0</v>
      </c>
      <c r="BT446" s="332">
        <f t="shared" si="207"/>
        <v>0</v>
      </c>
    </row>
    <row r="447" spans="1:72" ht="14.25">
      <c r="A447" s="297"/>
      <c r="B447" s="323"/>
      <c r="C447" s="323"/>
      <c r="D447" s="2215"/>
      <c r="E447" s="324">
        <f t="shared" si="179"/>
        <v>0</v>
      </c>
      <c r="F447" s="325"/>
      <c r="G447" s="326">
        <f t="shared" si="180"/>
        <v>0</v>
      </c>
      <c r="H447" s="327">
        <f t="shared" si="18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18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183"/>
        <v>0</v>
      </c>
      <c r="AW447" s="2210">
        <f t="shared" si="184"/>
        <v>0</v>
      </c>
      <c r="AX447" s="2210">
        <f t="shared" si="185"/>
        <v>0</v>
      </c>
      <c r="AY447" s="331">
        <f t="shared" si="186"/>
        <v>0</v>
      </c>
      <c r="AZ447" s="324">
        <f t="shared" si="187"/>
        <v>0</v>
      </c>
      <c r="BA447" s="324">
        <f t="shared" si="188"/>
        <v>0</v>
      </c>
      <c r="BB447" s="324">
        <f t="shared" si="189"/>
        <v>0</v>
      </c>
      <c r="BC447" s="324">
        <f t="shared" si="190"/>
        <v>0</v>
      </c>
      <c r="BD447" s="324">
        <f t="shared" si="191"/>
        <v>0</v>
      </c>
      <c r="BE447" s="324">
        <f t="shared" si="192"/>
        <v>0</v>
      </c>
      <c r="BF447" s="324">
        <f t="shared" si="193"/>
        <v>0</v>
      </c>
      <c r="BG447" s="324">
        <f t="shared" si="194"/>
        <v>0</v>
      </c>
      <c r="BH447" s="324">
        <f t="shared" si="195"/>
        <v>0</v>
      </c>
      <c r="BI447" s="324">
        <f t="shared" si="196"/>
        <v>0</v>
      </c>
      <c r="BJ447" s="324">
        <f t="shared" si="197"/>
        <v>0</v>
      </c>
      <c r="BK447" s="324">
        <f t="shared" si="198"/>
        <v>0</v>
      </c>
      <c r="BL447" s="324">
        <f t="shared" si="199"/>
        <v>0</v>
      </c>
      <c r="BM447" s="324">
        <f t="shared" si="200"/>
        <v>0</v>
      </c>
      <c r="BN447" s="324">
        <f t="shared" si="201"/>
        <v>0</v>
      </c>
      <c r="BO447" s="324">
        <f t="shared" si="202"/>
        <v>0</v>
      </c>
      <c r="BP447" s="324">
        <f t="shared" si="203"/>
        <v>0</v>
      </c>
      <c r="BQ447" s="324">
        <f t="shared" si="204"/>
        <v>0</v>
      </c>
      <c r="BR447" s="324">
        <f t="shared" si="205"/>
        <v>0</v>
      </c>
      <c r="BS447" s="324">
        <f t="shared" si="206"/>
        <v>0</v>
      </c>
      <c r="BT447" s="332">
        <f t="shared" si="207"/>
        <v>0</v>
      </c>
    </row>
    <row r="448" spans="1:72" ht="14.25">
      <c r="A448" s="297"/>
      <c r="B448" s="323"/>
      <c r="C448" s="323"/>
      <c r="D448" s="2215"/>
      <c r="E448" s="324">
        <f t="shared" si="179"/>
        <v>0</v>
      </c>
      <c r="F448" s="325"/>
      <c r="G448" s="326">
        <f t="shared" si="180"/>
        <v>0</v>
      </c>
      <c r="H448" s="327">
        <f t="shared" si="18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18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183"/>
        <v>0</v>
      </c>
      <c r="AW448" s="2210">
        <f t="shared" si="184"/>
        <v>0</v>
      </c>
      <c r="AX448" s="2210">
        <f t="shared" si="185"/>
        <v>0</v>
      </c>
      <c r="AY448" s="331">
        <f t="shared" si="186"/>
        <v>0</v>
      </c>
      <c r="AZ448" s="324">
        <f t="shared" si="187"/>
        <v>0</v>
      </c>
      <c r="BA448" s="324">
        <f t="shared" si="188"/>
        <v>0</v>
      </c>
      <c r="BB448" s="324">
        <f t="shared" si="189"/>
        <v>0</v>
      </c>
      <c r="BC448" s="324">
        <f t="shared" si="190"/>
        <v>0</v>
      </c>
      <c r="BD448" s="324">
        <f t="shared" si="191"/>
        <v>0</v>
      </c>
      <c r="BE448" s="324">
        <f t="shared" si="192"/>
        <v>0</v>
      </c>
      <c r="BF448" s="324">
        <f t="shared" si="193"/>
        <v>0</v>
      </c>
      <c r="BG448" s="324">
        <f t="shared" si="194"/>
        <v>0</v>
      </c>
      <c r="BH448" s="324">
        <f t="shared" si="195"/>
        <v>0</v>
      </c>
      <c r="BI448" s="324">
        <f t="shared" si="196"/>
        <v>0</v>
      </c>
      <c r="BJ448" s="324">
        <f t="shared" si="197"/>
        <v>0</v>
      </c>
      <c r="BK448" s="324">
        <f t="shared" si="198"/>
        <v>0</v>
      </c>
      <c r="BL448" s="324">
        <f t="shared" si="199"/>
        <v>0</v>
      </c>
      <c r="BM448" s="324">
        <f t="shared" si="200"/>
        <v>0</v>
      </c>
      <c r="BN448" s="324">
        <f t="shared" si="201"/>
        <v>0</v>
      </c>
      <c r="BO448" s="324">
        <f t="shared" si="202"/>
        <v>0</v>
      </c>
      <c r="BP448" s="324">
        <f t="shared" si="203"/>
        <v>0</v>
      </c>
      <c r="BQ448" s="324">
        <f t="shared" si="204"/>
        <v>0</v>
      </c>
      <c r="BR448" s="324">
        <f t="shared" si="205"/>
        <v>0</v>
      </c>
      <c r="BS448" s="324">
        <f t="shared" si="206"/>
        <v>0</v>
      </c>
      <c r="BT448" s="332">
        <f t="shared" si="207"/>
        <v>0</v>
      </c>
    </row>
    <row r="449" spans="1:72" ht="14.25">
      <c r="A449" s="297"/>
      <c r="B449" s="323"/>
      <c r="C449" s="323"/>
      <c r="D449" s="2215"/>
      <c r="E449" s="324">
        <f t="shared" si="179"/>
        <v>0</v>
      </c>
      <c r="F449" s="325"/>
      <c r="G449" s="326">
        <f t="shared" si="180"/>
        <v>0</v>
      </c>
      <c r="H449" s="327">
        <f t="shared" si="18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18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183"/>
        <v>0</v>
      </c>
      <c r="AW449" s="2210">
        <f t="shared" si="184"/>
        <v>0</v>
      </c>
      <c r="AX449" s="2210">
        <f t="shared" si="185"/>
        <v>0</v>
      </c>
      <c r="AY449" s="331">
        <f t="shared" si="186"/>
        <v>0</v>
      </c>
      <c r="AZ449" s="324">
        <f t="shared" si="187"/>
        <v>0</v>
      </c>
      <c r="BA449" s="324">
        <f t="shared" si="188"/>
        <v>0</v>
      </c>
      <c r="BB449" s="324">
        <f t="shared" si="189"/>
        <v>0</v>
      </c>
      <c r="BC449" s="324">
        <f t="shared" si="190"/>
        <v>0</v>
      </c>
      <c r="BD449" s="324">
        <f t="shared" si="191"/>
        <v>0</v>
      </c>
      <c r="BE449" s="324">
        <f t="shared" si="192"/>
        <v>0</v>
      </c>
      <c r="BF449" s="324">
        <f t="shared" si="193"/>
        <v>0</v>
      </c>
      <c r="BG449" s="324">
        <f t="shared" si="194"/>
        <v>0</v>
      </c>
      <c r="BH449" s="324">
        <f t="shared" si="195"/>
        <v>0</v>
      </c>
      <c r="BI449" s="324">
        <f t="shared" si="196"/>
        <v>0</v>
      </c>
      <c r="BJ449" s="324">
        <f t="shared" si="197"/>
        <v>0</v>
      </c>
      <c r="BK449" s="324">
        <f t="shared" si="198"/>
        <v>0</v>
      </c>
      <c r="BL449" s="324">
        <f t="shared" si="199"/>
        <v>0</v>
      </c>
      <c r="BM449" s="324">
        <f t="shared" si="200"/>
        <v>0</v>
      </c>
      <c r="BN449" s="324">
        <f t="shared" si="201"/>
        <v>0</v>
      </c>
      <c r="BO449" s="324">
        <f t="shared" si="202"/>
        <v>0</v>
      </c>
      <c r="BP449" s="324">
        <f t="shared" si="203"/>
        <v>0</v>
      </c>
      <c r="BQ449" s="324">
        <f t="shared" si="204"/>
        <v>0</v>
      </c>
      <c r="BR449" s="324">
        <f t="shared" si="205"/>
        <v>0</v>
      </c>
      <c r="BS449" s="324">
        <f t="shared" si="206"/>
        <v>0</v>
      </c>
      <c r="BT449" s="332">
        <f t="shared" si="207"/>
        <v>0</v>
      </c>
    </row>
    <row r="450" spans="1:72" ht="14.25">
      <c r="A450" s="297"/>
      <c r="B450" s="323"/>
      <c r="C450" s="323"/>
      <c r="D450" s="2215"/>
      <c r="E450" s="324">
        <f t="shared" si="179"/>
        <v>0</v>
      </c>
      <c r="F450" s="325"/>
      <c r="G450" s="326">
        <f t="shared" si="180"/>
        <v>0</v>
      </c>
      <c r="H450" s="327">
        <f t="shared" si="18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18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183"/>
        <v>0</v>
      </c>
      <c r="AW450" s="2210">
        <f t="shared" si="184"/>
        <v>0</v>
      </c>
      <c r="AX450" s="2210">
        <f t="shared" si="185"/>
        <v>0</v>
      </c>
      <c r="AY450" s="331">
        <f t="shared" si="186"/>
        <v>0</v>
      </c>
      <c r="AZ450" s="324">
        <f t="shared" si="187"/>
        <v>0</v>
      </c>
      <c r="BA450" s="324">
        <f t="shared" si="188"/>
        <v>0</v>
      </c>
      <c r="BB450" s="324">
        <f t="shared" si="189"/>
        <v>0</v>
      </c>
      <c r="BC450" s="324">
        <f t="shared" si="190"/>
        <v>0</v>
      </c>
      <c r="BD450" s="324">
        <f t="shared" si="191"/>
        <v>0</v>
      </c>
      <c r="BE450" s="324">
        <f t="shared" si="192"/>
        <v>0</v>
      </c>
      <c r="BF450" s="324">
        <f t="shared" si="193"/>
        <v>0</v>
      </c>
      <c r="BG450" s="324">
        <f t="shared" si="194"/>
        <v>0</v>
      </c>
      <c r="BH450" s="324">
        <f t="shared" si="195"/>
        <v>0</v>
      </c>
      <c r="BI450" s="324">
        <f t="shared" si="196"/>
        <v>0</v>
      </c>
      <c r="BJ450" s="324">
        <f t="shared" si="197"/>
        <v>0</v>
      </c>
      <c r="BK450" s="324">
        <f t="shared" si="198"/>
        <v>0</v>
      </c>
      <c r="BL450" s="324">
        <f t="shared" si="199"/>
        <v>0</v>
      </c>
      <c r="BM450" s="324">
        <f t="shared" si="200"/>
        <v>0</v>
      </c>
      <c r="BN450" s="324">
        <f t="shared" si="201"/>
        <v>0</v>
      </c>
      <c r="BO450" s="324">
        <f t="shared" si="202"/>
        <v>0</v>
      </c>
      <c r="BP450" s="324">
        <f t="shared" si="203"/>
        <v>0</v>
      </c>
      <c r="BQ450" s="324">
        <f t="shared" si="204"/>
        <v>0</v>
      </c>
      <c r="BR450" s="324">
        <f t="shared" si="205"/>
        <v>0</v>
      </c>
      <c r="BS450" s="324">
        <f t="shared" si="206"/>
        <v>0</v>
      </c>
      <c r="BT450" s="332">
        <f t="shared" si="207"/>
        <v>0</v>
      </c>
    </row>
    <row r="451" spans="1:72" ht="14.25">
      <c r="A451" s="297"/>
      <c r="B451" s="323"/>
      <c r="C451" s="323"/>
      <c r="D451" s="2215"/>
      <c r="E451" s="324">
        <f t="shared" si="179"/>
        <v>0</v>
      </c>
      <c r="F451" s="325"/>
      <c r="G451" s="326">
        <f t="shared" si="180"/>
        <v>0</v>
      </c>
      <c r="H451" s="327">
        <f t="shared" si="18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18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183"/>
        <v>0</v>
      </c>
      <c r="AW451" s="2210">
        <f t="shared" si="184"/>
        <v>0</v>
      </c>
      <c r="AX451" s="2210">
        <f t="shared" si="185"/>
        <v>0</v>
      </c>
      <c r="AY451" s="331">
        <f t="shared" si="186"/>
        <v>0</v>
      </c>
      <c r="AZ451" s="324">
        <f t="shared" si="187"/>
        <v>0</v>
      </c>
      <c r="BA451" s="324">
        <f t="shared" si="188"/>
        <v>0</v>
      </c>
      <c r="BB451" s="324">
        <f t="shared" si="189"/>
        <v>0</v>
      </c>
      <c r="BC451" s="324">
        <f t="shared" si="190"/>
        <v>0</v>
      </c>
      <c r="BD451" s="324">
        <f t="shared" si="191"/>
        <v>0</v>
      </c>
      <c r="BE451" s="324">
        <f t="shared" si="192"/>
        <v>0</v>
      </c>
      <c r="BF451" s="324">
        <f t="shared" si="193"/>
        <v>0</v>
      </c>
      <c r="BG451" s="324">
        <f t="shared" si="194"/>
        <v>0</v>
      </c>
      <c r="BH451" s="324">
        <f t="shared" si="195"/>
        <v>0</v>
      </c>
      <c r="BI451" s="324">
        <f t="shared" si="196"/>
        <v>0</v>
      </c>
      <c r="BJ451" s="324">
        <f t="shared" si="197"/>
        <v>0</v>
      </c>
      <c r="BK451" s="324">
        <f t="shared" si="198"/>
        <v>0</v>
      </c>
      <c r="BL451" s="324">
        <f t="shared" si="199"/>
        <v>0</v>
      </c>
      <c r="BM451" s="324">
        <f t="shared" si="200"/>
        <v>0</v>
      </c>
      <c r="BN451" s="324">
        <f t="shared" si="201"/>
        <v>0</v>
      </c>
      <c r="BO451" s="324">
        <f t="shared" si="202"/>
        <v>0</v>
      </c>
      <c r="BP451" s="324">
        <f t="shared" si="203"/>
        <v>0</v>
      </c>
      <c r="BQ451" s="324">
        <f t="shared" si="204"/>
        <v>0</v>
      </c>
      <c r="BR451" s="324">
        <f t="shared" si="205"/>
        <v>0</v>
      </c>
      <c r="BS451" s="324">
        <f t="shared" si="206"/>
        <v>0</v>
      </c>
      <c r="BT451" s="332">
        <f t="shared" si="207"/>
        <v>0</v>
      </c>
    </row>
    <row r="452" spans="1:72" ht="14.25">
      <c r="A452" s="297"/>
      <c r="B452" s="323"/>
      <c r="C452" s="323"/>
      <c r="D452" s="2215"/>
      <c r="E452" s="324">
        <f t="shared" si="179"/>
        <v>0</v>
      </c>
      <c r="F452" s="325"/>
      <c r="G452" s="326">
        <f t="shared" si="180"/>
        <v>0</v>
      </c>
      <c r="H452" s="327">
        <f t="shared" si="18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18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183"/>
        <v>0</v>
      </c>
      <c r="AW452" s="2210">
        <f t="shared" si="184"/>
        <v>0</v>
      </c>
      <c r="AX452" s="2210">
        <f t="shared" si="185"/>
        <v>0</v>
      </c>
      <c r="AY452" s="331">
        <f t="shared" si="186"/>
        <v>0</v>
      </c>
      <c r="AZ452" s="324">
        <f t="shared" si="187"/>
        <v>0</v>
      </c>
      <c r="BA452" s="324">
        <f t="shared" si="188"/>
        <v>0</v>
      </c>
      <c r="BB452" s="324">
        <f t="shared" si="189"/>
        <v>0</v>
      </c>
      <c r="BC452" s="324">
        <f t="shared" si="190"/>
        <v>0</v>
      </c>
      <c r="BD452" s="324">
        <f t="shared" si="191"/>
        <v>0</v>
      </c>
      <c r="BE452" s="324">
        <f t="shared" si="192"/>
        <v>0</v>
      </c>
      <c r="BF452" s="324">
        <f t="shared" si="193"/>
        <v>0</v>
      </c>
      <c r="BG452" s="324">
        <f t="shared" si="194"/>
        <v>0</v>
      </c>
      <c r="BH452" s="324">
        <f t="shared" si="195"/>
        <v>0</v>
      </c>
      <c r="BI452" s="324">
        <f t="shared" si="196"/>
        <v>0</v>
      </c>
      <c r="BJ452" s="324">
        <f t="shared" si="197"/>
        <v>0</v>
      </c>
      <c r="BK452" s="324">
        <f t="shared" si="198"/>
        <v>0</v>
      </c>
      <c r="BL452" s="324">
        <f t="shared" si="199"/>
        <v>0</v>
      </c>
      <c r="BM452" s="324">
        <f t="shared" si="200"/>
        <v>0</v>
      </c>
      <c r="BN452" s="324">
        <f t="shared" si="201"/>
        <v>0</v>
      </c>
      <c r="BO452" s="324">
        <f t="shared" si="202"/>
        <v>0</v>
      </c>
      <c r="BP452" s="324">
        <f t="shared" si="203"/>
        <v>0</v>
      </c>
      <c r="BQ452" s="324">
        <f t="shared" si="204"/>
        <v>0</v>
      </c>
      <c r="BR452" s="324">
        <f t="shared" si="205"/>
        <v>0</v>
      </c>
      <c r="BS452" s="324">
        <f t="shared" si="206"/>
        <v>0</v>
      </c>
      <c r="BT452" s="332">
        <f t="shared" si="207"/>
        <v>0</v>
      </c>
    </row>
    <row r="453" spans="1:72" ht="14.25">
      <c r="A453" s="297"/>
      <c r="B453" s="323"/>
      <c r="C453" s="323"/>
      <c r="D453" s="2215"/>
      <c r="E453" s="324">
        <f t="shared" si="179"/>
        <v>0</v>
      </c>
      <c r="F453" s="325"/>
      <c r="G453" s="326">
        <f t="shared" si="180"/>
        <v>0</v>
      </c>
      <c r="H453" s="327">
        <f t="shared" si="18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18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183"/>
        <v>0</v>
      </c>
      <c r="AW453" s="2210">
        <f t="shared" si="184"/>
        <v>0</v>
      </c>
      <c r="AX453" s="2210">
        <f t="shared" si="185"/>
        <v>0</v>
      </c>
      <c r="AY453" s="331">
        <f t="shared" si="186"/>
        <v>0</v>
      </c>
      <c r="AZ453" s="324">
        <f t="shared" si="187"/>
        <v>0</v>
      </c>
      <c r="BA453" s="324">
        <f t="shared" si="188"/>
        <v>0</v>
      </c>
      <c r="BB453" s="324">
        <f t="shared" si="189"/>
        <v>0</v>
      </c>
      <c r="BC453" s="324">
        <f t="shared" si="190"/>
        <v>0</v>
      </c>
      <c r="BD453" s="324">
        <f t="shared" si="191"/>
        <v>0</v>
      </c>
      <c r="BE453" s="324">
        <f t="shared" si="192"/>
        <v>0</v>
      </c>
      <c r="BF453" s="324">
        <f t="shared" si="193"/>
        <v>0</v>
      </c>
      <c r="BG453" s="324">
        <f t="shared" si="194"/>
        <v>0</v>
      </c>
      <c r="BH453" s="324">
        <f t="shared" si="195"/>
        <v>0</v>
      </c>
      <c r="BI453" s="324">
        <f t="shared" si="196"/>
        <v>0</v>
      </c>
      <c r="BJ453" s="324">
        <f t="shared" si="197"/>
        <v>0</v>
      </c>
      <c r="BK453" s="324">
        <f t="shared" si="198"/>
        <v>0</v>
      </c>
      <c r="BL453" s="324">
        <f t="shared" si="199"/>
        <v>0</v>
      </c>
      <c r="BM453" s="324">
        <f t="shared" si="200"/>
        <v>0</v>
      </c>
      <c r="BN453" s="324">
        <f t="shared" si="201"/>
        <v>0</v>
      </c>
      <c r="BO453" s="324">
        <f t="shared" si="202"/>
        <v>0</v>
      </c>
      <c r="BP453" s="324">
        <f t="shared" si="203"/>
        <v>0</v>
      </c>
      <c r="BQ453" s="324">
        <f t="shared" si="204"/>
        <v>0</v>
      </c>
      <c r="BR453" s="324">
        <f t="shared" si="205"/>
        <v>0</v>
      </c>
      <c r="BS453" s="324">
        <f t="shared" si="206"/>
        <v>0</v>
      </c>
      <c r="BT453" s="332">
        <f t="shared" si="207"/>
        <v>0</v>
      </c>
    </row>
    <row r="454" spans="1:72" ht="14.25">
      <c r="A454" s="297"/>
      <c r="B454" s="323"/>
      <c r="C454" s="323"/>
      <c r="D454" s="2215"/>
      <c r="E454" s="324">
        <f t="shared" si="179"/>
        <v>0</v>
      </c>
      <c r="F454" s="325"/>
      <c r="G454" s="326">
        <f t="shared" si="180"/>
        <v>0</v>
      </c>
      <c r="H454" s="327">
        <f t="shared" si="18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18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183"/>
        <v>0</v>
      </c>
      <c r="AW454" s="2210">
        <f t="shared" si="184"/>
        <v>0</v>
      </c>
      <c r="AX454" s="2210">
        <f t="shared" si="185"/>
        <v>0</v>
      </c>
      <c r="AY454" s="331">
        <f t="shared" si="186"/>
        <v>0</v>
      </c>
      <c r="AZ454" s="324">
        <f t="shared" si="187"/>
        <v>0</v>
      </c>
      <c r="BA454" s="324">
        <f t="shared" si="188"/>
        <v>0</v>
      </c>
      <c r="BB454" s="324">
        <f t="shared" si="189"/>
        <v>0</v>
      </c>
      <c r="BC454" s="324">
        <f t="shared" si="190"/>
        <v>0</v>
      </c>
      <c r="BD454" s="324">
        <f t="shared" si="191"/>
        <v>0</v>
      </c>
      <c r="BE454" s="324">
        <f t="shared" si="192"/>
        <v>0</v>
      </c>
      <c r="BF454" s="324">
        <f t="shared" si="193"/>
        <v>0</v>
      </c>
      <c r="BG454" s="324">
        <f t="shared" si="194"/>
        <v>0</v>
      </c>
      <c r="BH454" s="324">
        <f t="shared" si="195"/>
        <v>0</v>
      </c>
      <c r="BI454" s="324">
        <f t="shared" si="196"/>
        <v>0</v>
      </c>
      <c r="BJ454" s="324">
        <f t="shared" si="197"/>
        <v>0</v>
      </c>
      <c r="BK454" s="324">
        <f t="shared" si="198"/>
        <v>0</v>
      </c>
      <c r="BL454" s="324">
        <f t="shared" si="199"/>
        <v>0</v>
      </c>
      <c r="BM454" s="324">
        <f t="shared" si="200"/>
        <v>0</v>
      </c>
      <c r="BN454" s="324">
        <f t="shared" si="201"/>
        <v>0</v>
      </c>
      <c r="BO454" s="324">
        <f t="shared" si="202"/>
        <v>0</v>
      </c>
      <c r="BP454" s="324">
        <f t="shared" si="203"/>
        <v>0</v>
      </c>
      <c r="BQ454" s="324">
        <f t="shared" si="204"/>
        <v>0</v>
      </c>
      <c r="BR454" s="324">
        <f t="shared" si="205"/>
        <v>0</v>
      </c>
      <c r="BS454" s="324">
        <f t="shared" si="206"/>
        <v>0</v>
      </c>
      <c r="BT454" s="332">
        <f t="shared" si="207"/>
        <v>0</v>
      </c>
    </row>
    <row r="455" spans="1:72" ht="14.25">
      <c r="A455" s="297"/>
      <c r="B455" s="323"/>
      <c r="C455" s="323"/>
      <c r="D455" s="2215"/>
      <c r="E455" s="324">
        <f t="shared" si="179"/>
        <v>0</v>
      </c>
      <c r="F455" s="325"/>
      <c r="G455" s="326">
        <f t="shared" si="180"/>
        <v>0</v>
      </c>
      <c r="H455" s="327">
        <f t="shared" si="18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18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183"/>
        <v>0</v>
      </c>
      <c r="AW455" s="2210">
        <f t="shared" si="184"/>
        <v>0</v>
      </c>
      <c r="AX455" s="2210">
        <f t="shared" si="185"/>
        <v>0</v>
      </c>
      <c r="AY455" s="331">
        <f t="shared" si="186"/>
        <v>0</v>
      </c>
      <c r="AZ455" s="324">
        <f t="shared" si="187"/>
        <v>0</v>
      </c>
      <c r="BA455" s="324">
        <f t="shared" si="188"/>
        <v>0</v>
      </c>
      <c r="BB455" s="324">
        <f t="shared" si="189"/>
        <v>0</v>
      </c>
      <c r="BC455" s="324">
        <f t="shared" si="190"/>
        <v>0</v>
      </c>
      <c r="BD455" s="324">
        <f t="shared" si="191"/>
        <v>0</v>
      </c>
      <c r="BE455" s="324">
        <f t="shared" si="192"/>
        <v>0</v>
      </c>
      <c r="BF455" s="324">
        <f t="shared" si="193"/>
        <v>0</v>
      </c>
      <c r="BG455" s="324">
        <f t="shared" si="194"/>
        <v>0</v>
      </c>
      <c r="BH455" s="324">
        <f t="shared" si="195"/>
        <v>0</v>
      </c>
      <c r="BI455" s="324">
        <f t="shared" si="196"/>
        <v>0</v>
      </c>
      <c r="BJ455" s="324">
        <f t="shared" si="197"/>
        <v>0</v>
      </c>
      <c r="BK455" s="324">
        <f t="shared" si="198"/>
        <v>0</v>
      </c>
      <c r="BL455" s="324">
        <f t="shared" si="199"/>
        <v>0</v>
      </c>
      <c r="BM455" s="324">
        <f t="shared" si="200"/>
        <v>0</v>
      </c>
      <c r="BN455" s="324">
        <f t="shared" si="201"/>
        <v>0</v>
      </c>
      <c r="BO455" s="324">
        <f t="shared" si="202"/>
        <v>0</v>
      </c>
      <c r="BP455" s="324">
        <f t="shared" si="203"/>
        <v>0</v>
      </c>
      <c r="BQ455" s="324">
        <f t="shared" si="204"/>
        <v>0</v>
      </c>
      <c r="BR455" s="324">
        <f t="shared" si="205"/>
        <v>0</v>
      </c>
      <c r="BS455" s="324">
        <f t="shared" si="206"/>
        <v>0</v>
      </c>
      <c r="BT455" s="332">
        <f t="shared" si="207"/>
        <v>0</v>
      </c>
    </row>
    <row r="456" spans="1:72" ht="14.25">
      <c r="A456" s="297"/>
      <c r="B456" s="323"/>
      <c r="C456" s="323"/>
      <c r="D456" s="2215"/>
      <c r="E456" s="324">
        <f t="shared" si="179"/>
        <v>0</v>
      </c>
      <c r="F456" s="325"/>
      <c r="G456" s="326">
        <f t="shared" si="180"/>
        <v>0</v>
      </c>
      <c r="H456" s="327">
        <f t="shared" si="18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18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183"/>
        <v>0</v>
      </c>
      <c r="AW456" s="2210">
        <f t="shared" si="184"/>
        <v>0</v>
      </c>
      <c r="AX456" s="2210">
        <f t="shared" si="185"/>
        <v>0</v>
      </c>
      <c r="AY456" s="331">
        <f t="shared" si="186"/>
        <v>0</v>
      </c>
      <c r="AZ456" s="324">
        <f t="shared" si="187"/>
        <v>0</v>
      </c>
      <c r="BA456" s="324">
        <f t="shared" si="188"/>
        <v>0</v>
      </c>
      <c r="BB456" s="324">
        <f t="shared" si="189"/>
        <v>0</v>
      </c>
      <c r="BC456" s="324">
        <f t="shared" si="190"/>
        <v>0</v>
      </c>
      <c r="BD456" s="324">
        <f t="shared" si="191"/>
        <v>0</v>
      </c>
      <c r="BE456" s="324">
        <f t="shared" si="192"/>
        <v>0</v>
      </c>
      <c r="BF456" s="324">
        <f t="shared" si="193"/>
        <v>0</v>
      </c>
      <c r="BG456" s="324">
        <f t="shared" si="194"/>
        <v>0</v>
      </c>
      <c r="BH456" s="324">
        <f t="shared" si="195"/>
        <v>0</v>
      </c>
      <c r="BI456" s="324">
        <f t="shared" si="196"/>
        <v>0</v>
      </c>
      <c r="BJ456" s="324">
        <f t="shared" si="197"/>
        <v>0</v>
      </c>
      <c r="BK456" s="324">
        <f t="shared" si="198"/>
        <v>0</v>
      </c>
      <c r="BL456" s="324">
        <f t="shared" si="199"/>
        <v>0</v>
      </c>
      <c r="BM456" s="324">
        <f t="shared" si="200"/>
        <v>0</v>
      </c>
      <c r="BN456" s="324">
        <f t="shared" si="201"/>
        <v>0</v>
      </c>
      <c r="BO456" s="324">
        <f t="shared" si="202"/>
        <v>0</v>
      </c>
      <c r="BP456" s="324">
        <f t="shared" si="203"/>
        <v>0</v>
      </c>
      <c r="BQ456" s="324">
        <f t="shared" si="204"/>
        <v>0</v>
      </c>
      <c r="BR456" s="324">
        <f t="shared" si="205"/>
        <v>0</v>
      </c>
      <c r="BS456" s="324">
        <f t="shared" si="206"/>
        <v>0</v>
      </c>
      <c r="BT456" s="332">
        <f t="shared" si="207"/>
        <v>0</v>
      </c>
    </row>
    <row r="457" spans="1:72" ht="14.25">
      <c r="A457" s="297"/>
      <c r="B457" s="323"/>
      <c r="C457" s="323"/>
      <c r="D457" s="2215"/>
      <c r="E457" s="324">
        <f t="shared" si="179"/>
        <v>0</v>
      </c>
      <c r="F457" s="325"/>
      <c r="G457" s="326">
        <f t="shared" si="180"/>
        <v>0</v>
      </c>
      <c r="H457" s="327">
        <f t="shared" si="18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18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183"/>
        <v>0</v>
      </c>
      <c r="AW457" s="2210">
        <f t="shared" si="184"/>
        <v>0</v>
      </c>
      <c r="AX457" s="2210">
        <f t="shared" si="185"/>
        <v>0</v>
      </c>
      <c r="AY457" s="331">
        <f t="shared" si="186"/>
        <v>0</v>
      </c>
      <c r="AZ457" s="324">
        <f t="shared" si="187"/>
        <v>0</v>
      </c>
      <c r="BA457" s="324">
        <f t="shared" si="188"/>
        <v>0</v>
      </c>
      <c r="BB457" s="324">
        <f t="shared" si="189"/>
        <v>0</v>
      </c>
      <c r="BC457" s="324">
        <f t="shared" si="190"/>
        <v>0</v>
      </c>
      <c r="BD457" s="324">
        <f t="shared" si="191"/>
        <v>0</v>
      </c>
      <c r="BE457" s="324">
        <f t="shared" si="192"/>
        <v>0</v>
      </c>
      <c r="BF457" s="324">
        <f t="shared" si="193"/>
        <v>0</v>
      </c>
      <c r="BG457" s="324">
        <f t="shared" si="194"/>
        <v>0</v>
      </c>
      <c r="BH457" s="324">
        <f t="shared" si="195"/>
        <v>0</v>
      </c>
      <c r="BI457" s="324">
        <f t="shared" si="196"/>
        <v>0</v>
      </c>
      <c r="BJ457" s="324">
        <f t="shared" si="197"/>
        <v>0</v>
      </c>
      <c r="BK457" s="324">
        <f t="shared" si="198"/>
        <v>0</v>
      </c>
      <c r="BL457" s="324">
        <f t="shared" si="199"/>
        <v>0</v>
      </c>
      <c r="BM457" s="324">
        <f t="shared" si="200"/>
        <v>0</v>
      </c>
      <c r="BN457" s="324">
        <f t="shared" si="201"/>
        <v>0</v>
      </c>
      <c r="BO457" s="324">
        <f t="shared" si="202"/>
        <v>0</v>
      </c>
      <c r="BP457" s="324">
        <f t="shared" si="203"/>
        <v>0</v>
      </c>
      <c r="BQ457" s="324">
        <f t="shared" si="204"/>
        <v>0</v>
      </c>
      <c r="BR457" s="324">
        <f t="shared" si="205"/>
        <v>0</v>
      </c>
      <c r="BS457" s="324">
        <f t="shared" si="206"/>
        <v>0</v>
      </c>
      <c r="BT457" s="332">
        <f t="shared" si="207"/>
        <v>0</v>
      </c>
    </row>
    <row r="458" spans="1:72" ht="14.25">
      <c r="A458" s="297"/>
      <c r="B458" s="323"/>
      <c r="C458" s="323"/>
      <c r="D458" s="2215"/>
      <c r="E458" s="324">
        <f t="shared" si="179"/>
        <v>0</v>
      </c>
      <c r="F458" s="325"/>
      <c r="G458" s="326">
        <f t="shared" si="180"/>
        <v>0</v>
      </c>
      <c r="H458" s="327">
        <f t="shared" si="18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18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183"/>
        <v>0</v>
      </c>
      <c r="AW458" s="2210">
        <f t="shared" si="184"/>
        <v>0</v>
      </c>
      <c r="AX458" s="2210">
        <f t="shared" si="185"/>
        <v>0</v>
      </c>
      <c r="AY458" s="331">
        <f t="shared" si="186"/>
        <v>0</v>
      </c>
      <c r="AZ458" s="324">
        <f t="shared" si="187"/>
        <v>0</v>
      </c>
      <c r="BA458" s="324">
        <f t="shared" si="188"/>
        <v>0</v>
      </c>
      <c r="BB458" s="324">
        <f t="shared" si="189"/>
        <v>0</v>
      </c>
      <c r="BC458" s="324">
        <f t="shared" si="190"/>
        <v>0</v>
      </c>
      <c r="BD458" s="324">
        <f t="shared" si="191"/>
        <v>0</v>
      </c>
      <c r="BE458" s="324">
        <f t="shared" si="192"/>
        <v>0</v>
      </c>
      <c r="BF458" s="324">
        <f t="shared" si="193"/>
        <v>0</v>
      </c>
      <c r="BG458" s="324">
        <f t="shared" si="194"/>
        <v>0</v>
      </c>
      <c r="BH458" s="324">
        <f t="shared" si="195"/>
        <v>0</v>
      </c>
      <c r="BI458" s="324">
        <f t="shared" si="196"/>
        <v>0</v>
      </c>
      <c r="BJ458" s="324">
        <f t="shared" si="197"/>
        <v>0</v>
      </c>
      <c r="BK458" s="324">
        <f t="shared" si="198"/>
        <v>0</v>
      </c>
      <c r="BL458" s="324">
        <f t="shared" si="199"/>
        <v>0</v>
      </c>
      <c r="BM458" s="324">
        <f t="shared" si="200"/>
        <v>0</v>
      </c>
      <c r="BN458" s="324">
        <f t="shared" si="201"/>
        <v>0</v>
      </c>
      <c r="BO458" s="324">
        <f t="shared" si="202"/>
        <v>0</v>
      </c>
      <c r="BP458" s="324">
        <f t="shared" si="203"/>
        <v>0</v>
      </c>
      <c r="BQ458" s="324">
        <f t="shared" si="204"/>
        <v>0</v>
      </c>
      <c r="BR458" s="324">
        <f t="shared" si="205"/>
        <v>0</v>
      </c>
      <c r="BS458" s="324">
        <f t="shared" si="206"/>
        <v>0</v>
      </c>
      <c r="BT458" s="332">
        <f t="shared" si="207"/>
        <v>0</v>
      </c>
    </row>
    <row r="459" spans="1:72" ht="14.25">
      <c r="A459" s="297"/>
      <c r="B459" s="323"/>
      <c r="C459" s="323"/>
      <c r="D459" s="2215"/>
      <c r="E459" s="324">
        <f t="shared" si="179"/>
        <v>0</v>
      </c>
      <c r="F459" s="325"/>
      <c r="G459" s="326">
        <f t="shared" si="180"/>
        <v>0</v>
      </c>
      <c r="H459" s="327">
        <f t="shared" si="18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18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183"/>
        <v>0</v>
      </c>
      <c r="AW459" s="2210">
        <f t="shared" si="184"/>
        <v>0</v>
      </c>
      <c r="AX459" s="2210">
        <f t="shared" si="185"/>
        <v>0</v>
      </c>
      <c r="AY459" s="331">
        <f t="shared" si="186"/>
        <v>0</v>
      </c>
      <c r="AZ459" s="324">
        <f t="shared" si="187"/>
        <v>0</v>
      </c>
      <c r="BA459" s="324">
        <f t="shared" si="188"/>
        <v>0</v>
      </c>
      <c r="BB459" s="324">
        <f t="shared" si="189"/>
        <v>0</v>
      </c>
      <c r="BC459" s="324">
        <f t="shared" si="190"/>
        <v>0</v>
      </c>
      <c r="BD459" s="324">
        <f t="shared" si="191"/>
        <v>0</v>
      </c>
      <c r="BE459" s="324">
        <f t="shared" si="192"/>
        <v>0</v>
      </c>
      <c r="BF459" s="324">
        <f t="shared" si="193"/>
        <v>0</v>
      </c>
      <c r="BG459" s="324">
        <f t="shared" si="194"/>
        <v>0</v>
      </c>
      <c r="BH459" s="324">
        <f t="shared" si="195"/>
        <v>0</v>
      </c>
      <c r="BI459" s="324">
        <f t="shared" si="196"/>
        <v>0</v>
      </c>
      <c r="BJ459" s="324">
        <f t="shared" si="197"/>
        <v>0</v>
      </c>
      <c r="BK459" s="324">
        <f t="shared" si="198"/>
        <v>0</v>
      </c>
      <c r="BL459" s="324">
        <f t="shared" si="199"/>
        <v>0</v>
      </c>
      <c r="BM459" s="324">
        <f t="shared" si="200"/>
        <v>0</v>
      </c>
      <c r="BN459" s="324">
        <f t="shared" si="201"/>
        <v>0</v>
      </c>
      <c r="BO459" s="324">
        <f t="shared" si="202"/>
        <v>0</v>
      </c>
      <c r="BP459" s="324">
        <f t="shared" si="203"/>
        <v>0</v>
      </c>
      <c r="BQ459" s="324">
        <f t="shared" si="204"/>
        <v>0</v>
      </c>
      <c r="BR459" s="324">
        <f t="shared" si="205"/>
        <v>0</v>
      </c>
      <c r="BS459" s="324">
        <f t="shared" si="206"/>
        <v>0</v>
      </c>
      <c r="BT459" s="332">
        <f t="shared" si="207"/>
        <v>0</v>
      </c>
    </row>
    <row r="460" spans="1:72" ht="14.25">
      <c r="A460" s="297"/>
      <c r="B460" s="323"/>
      <c r="C460" s="323"/>
      <c r="D460" s="2215"/>
      <c r="E460" s="324">
        <f t="shared" si="179"/>
        <v>0</v>
      </c>
      <c r="F460" s="325"/>
      <c r="G460" s="326">
        <f t="shared" si="180"/>
        <v>0</v>
      </c>
      <c r="H460" s="327">
        <f t="shared" si="18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18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183"/>
        <v>0</v>
      </c>
      <c r="AW460" s="2210">
        <f t="shared" si="184"/>
        <v>0</v>
      </c>
      <c r="AX460" s="2210">
        <f t="shared" si="185"/>
        <v>0</v>
      </c>
      <c r="AY460" s="331">
        <f t="shared" si="186"/>
        <v>0</v>
      </c>
      <c r="AZ460" s="324">
        <f t="shared" si="187"/>
        <v>0</v>
      </c>
      <c r="BA460" s="324">
        <f t="shared" si="188"/>
        <v>0</v>
      </c>
      <c r="BB460" s="324">
        <f t="shared" si="189"/>
        <v>0</v>
      </c>
      <c r="BC460" s="324">
        <f t="shared" si="190"/>
        <v>0</v>
      </c>
      <c r="BD460" s="324">
        <f t="shared" si="191"/>
        <v>0</v>
      </c>
      <c r="BE460" s="324">
        <f t="shared" si="192"/>
        <v>0</v>
      </c>
      <c r="BF460" s="324">
        <f t="shared" si="193"/>
        <v>0</v>
      </c>
      <c r="BG460" s="324">
        <f t="shared" si="194"/>
        <v>0</v>
      </c>
      <c r="BH460" s="324">
        <f t="shared" si="195"/>
        <v>0</v>
      </c>
      <c r="BI460" s="324">
        <f t="shared" si="196"/>
        <v>0</v>
      </c>
      <c r="BJ460" s="324">
        <f t="shared" si="197"/>
        <v>0</v>
      </c>
      <c r="BK460" s="324">
        <f t="shared" si="198"/>
        <v>0</v>
      </c>
      <c r="BL460" s="324">
        <f t="shared" si="199"/>
        <v>0</v>
      </c>
      <c r="BM460" s="324">
        <f t="shared" si="200"/>
        <v>0</v>
      </c>
      <c r="BN460" s="324">
        <f t="shared" si="201"/>
        <v>0</v>
      </c>
      <c r="BO460" s="324">
        <f t="shared" si="202"/>
        <v>0</v>
      </c>
      <c r="BP460" s="324">
        <f t="shared" si="203"/>
        <v>0</v>
      </c>
      <c r="BQ460" s="324">
        <f t="shared" si="204"/>
        <v>0</v>
      </c>
      <c r="BR460" s="324">
        <f t="shared" si="205"/>
        <v>0</v>
      </c>
      <c r="BS460" s="324">
        <f t="shared" si="206"/>
        <v>0</v>
      </c>
      <c r="BT460" s="332">
        <f t="shared" si="207"/>
        <v>0</v>
      </c>
    </row>
    <row r="461" spans="1:72" ht="14.25">
      <c r="A461" s="297"/>
      <c r="B461" s="323"/>
      <c r="C461" s="323"/>
      <c r="D461" s="2215"/>
      <c r="E461" s="324">
        <f t="shared" ref="E461:E524" si="208">IF($C$3="是",ROUND($A$3*G461/$B$3,2),ROUND($A$3*(G461-AT461)/$B$3,2))</f>
        <v>0</v>
      </c>
      <c r="F461" s="325"/>
      <c r="G461" s="326">
        <f t="shared" ref="G461:G524" si="209">H461+AC461+AT461</f>
        <v>0</v>
      </c>
      <c r="H461" s="327">
        <f t="shared" ref="H461:H524" si="210">SUMIF(I$12:AB$12,"总值",I461:AB461)</f>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ref="AC461:AC524" si="211">SUMIF(AD$12:AS$12,"总值",AD461:AS461)</f>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ref="AV461:AV524" si="212">A461</f>
        <v>0</v>
      </c>
      <c r="AW461" s="2210">
        <f t="shared" ref="AW461:AW524" si="213">B461</f>
        <v>0</v>
      </c>
      <c r="AX461" s="2210">
        <f t="shared" ref="AX461:AX524" si="214">C461</f>
        <v>0</v>
      </c>
      <c r="AY461" s="331">
        <f t="shared" ref="AY461:AY524" si="215">ROUND($AY$6*AZ461/$AZ$5,2)</f>
        <v>0</v>
      </c>
      <c r="AZ461" s="324">
        <f t="shared" ref="AZ461:AZ524" si="216">BA461+BL461</f>
        <v>0</v>
      </c>
      <c r="BA461" s="324">
        <f t="shared" ref="BA461:BA524" si="217">SUM(BB461:BK461)</f>
        <v>0</v>
      </c>
      <c r="BB461" s="324">
        <f t="shared" ref="BB461:BB524" si="218">IF($D461="是",I461-J461,0)</f>
        <v>0</v>
      </c>
      <c r="BC461" s="324">
        <f t="shared" ref="BC461:BC524" si="219">IF($D461="是",K461-L461,0)</f>
        <v>0</v>
      </c>
      <c r="BD461" s="324">
        <f t="shared" ref="BD461:BD524" si="220">IF($D461="是",M461-N461,0)</f>
        <v>0</v>
      </c>
      <c r="BE461" s="324">
        <f t="shared" ref="BE461:BE524" si="221">IF($D461="是",O461-P461,0)</f>
        <v>0</v>
      </c>
      <c r="BF461" s="324">
        <f t="shared" ref="BF461:BF524" si="222">IF($D461="是",Q461-R461,0)</f>
        <v>0</v>
      </c>
      <c r="BG461" s="324">
        <f t="shared" ref="BG461:BG524" si="223">IF($D461="是",S461-T461,0)</f>
        <v>0</v>
      </c>
      <c r="BH461" s="324">
        <f t="shared" ref="BH461:BH524" si="224">IF($D461="是",U461-V461,0)</f>
        <v>0</v>
      </c>
      <c r="BI461" s="324">
        <f t="shared" ref="BI461:BI524" si="225">IF($D461="是",W461-X461,0)</f>
        <v>0</v>
      </c>
      <c r="BJ461" s="324">
        <f t="shared" ref="BJ461:BJ524" si="226">IF($D461="是",Y461-Z461,0)</f>
        <v>0</v>
      </c>
      <c r="BK461" s="324">
        <f t="shared" ref="BK461:BK524" si="227">IF($D461="是",AA461-AB461,0)</f>
        <v>0</v>
      </c>
      <c r="BL461" s="324">
        <f t="shared" ref="BL461:BL524" si="228">SUM(BM461:BT461)</f>
        <v>0</v>
      </c>
      <c r="BM461" s="324">
        <f t="shared" ref="BM461:BM524" si="229">IF($D461="是",AD461-AE461,0)</f>
        <v>0</v>
      </c>
      <c r="BN461" s="324">
        <f t="shared" ref="BN461:BN524" si="230">IF($D461="是",AF461-AG461,0)</f>
        <v>0</v>
      </c>
      <c r="BO461" s="324">
        <f t="shared" ref="BO461:BO524" si="231">IF($D461="是",AH461-AI461,0)</f>
        <v>0</v>
      </c>
      <c r="BP461" s="324">
        <f t="shared" ref="BP461:BP524" si="232">IF($D461="是",AJ461-AK461,0)</f>
        <v>0</v>
      </c>
      <c r="BQ461" s="324">
        <f t="shared" ref="BQ461:BQ524" si="233">IF($D461="是",AL461-AM461,0)</f>
        <v>0</v>
      </c>
      <c r="BR461" s="324">
        <f t="shared" ref="BR461:BR524" si="234">IF($D461="是",AN461-AO461,0)</f>
        <v>0</v>
      </c>
      <c r="BS461" s="324">
        <f t="shared" ref="BS461:BS524" si="235">IF($D461="是",AP461-AQ461,0)</f>
        <v>0</v>
      </c>
      <c r="BT461" s="332">
        <f t="shared" ref="BT461:BT524" si="236">IF($D461="是",AR461-AS461,0)</f>
        <v>0</v>
      </c>
    </row>
    <row r="462" spans="1:72" ht="14.25">
      <c r="A462" s="297"/>
      <c r="B462" s="323"/>
      <c r="C462" s="323"/>
      <c r="D462" s="2215"/>
      <c r="E462" s="324">
        <f t="shared" si="208"/>
        <v>0</v>
      </c>
      <c r="F462" s="325"/>
      <c r="G462" s="326">
        <f t="shared" si="209"/>
        <v>0</v>
      </c>
      <c r="H462" s="327">
        <f t="shared" si="210"/>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11"/>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12"/>
        <v>0</v>
      </c>
      <c r="AW462" s="2210">
        <f t="shared" si="213"/>
        <v>0</v>
      </c>
      <c r="AX462" s="2210">
        <f t="shared" si="214"/>
        <v>0</v>
      </c>
      <c r="AY462" s="331">
        <f t="shared" si="215"/>
        <v>0</v>
      </c>
      <c r="AZ462" s="324">
        <f t="shared" si="216"/>
        <v>0</v>
      </c>
      <c r="BA462" s="324">
        <f t="shared" si="217"/>
        <v>0</v>
      </c>
      <c r="BB462" s="324">
        <f t="shared" si="218"/>
        <v>0</v>
      </c>
      <c r="BC462" s="324">
        <f t="shared" si="219"/>
        <v>0</v>
      </c>
      <c r="BD462" s="324">
        <f t="shared" si="220"/>
        <v>0</v>
      </c>
      <c r="BE462" s="324">
        <f t="shared" si="221"/>
        <v>0</v>
      </c>
      <c r="BF462" s="324">
        <f t="shared" si="222"/>
        <v>0</v>
      </c>
      <c r="BG462" s="324">
        <f t="shared" si="223"/>
        <v>0</v>
      </c>
      <c r="BH462" s="324">
        <f t="shared" si="224"/>
        <v>0</v>
      </c>
      <c r="BI462" s="324">
        <f t="shared" si="225"/>
        <v>0</v>
      </c>
      <c r="BJ462" s="324">
        <f t="shared" si="226"/>
        <v>0</v>
      </c>
      <c r="BK462" s="324">
        <f t="shared" si="227"/>
        <v>0</v>
      </c>
      <c r="BL462" s="324">
        <f t="shared" si="228"/>
        <v>0</v>
      </c>
      <c r="BM462" s="324">
        <f t="shared" si="229"/>
        <v>0</v>
      </c>
      <c r="BN462" s="324">
        <f t="shared" si="230"/>
        <v>0</v>
      </c>
      <c r="BO462" s="324">
        <f t="shared" si="231"/>
        <v>0</v>
      </c>
      <c r="BP462" s="324">
        <f t="shared" si="232"/>
        <v>0</v>
      </c>
      <c r="BQ462" s="324">
        <f t="shared" si="233"/>
        <v>0</v>
      </c>
      <c r="BR462" s="324">
        <f t="shared" si="234"/>
        <v>0</v>
      </c>
      <c r="BS462" s="324">
        <f t="shared" si="235"/>
        <v>0</v>
      </c>
      <c r="BT462" s="332">
        <f t="shared" si="236"/>
        <v>0</v>
      </c>
    </row>
    <row r="463" spans="1:72" ht="14.25">
      <c r="A463" s="297"/>
      <c r="B463" s="323"/>
      <c r="C463" s="323"/>
      <c r="D463" s="2215"/>
      <c r="E463" s="324">
        <f t="shared" si="208"/>
        <v>0</v>
      </c>
      <c r="F463" s="325"/>
      <c r="G463" s="326">
        <f t="shared" si="209"/>
        <v>0</v>
      </c>
      <c r="H463" s="327">
        <f t="shared" si="210"/>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11"/>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12"/>
        <v>0</v>
      </c>
      <c r="AW463" s="2210">
        <f t="shared" si="213"/>
        <v>0</v>
      </c>
      <c r="AX463" s="2210">
        <f t="shared" si="214"/>
        <v>0</v>
      </c>
      <c r="AY463" s="331">
        <f t="shared" si="215"/>
        <v>0</v>
      </c>
      <c r="AZ463" s="324">
        <f t="shared" si="216"/>
        <v>0</v>
      </c>
      <c r="BA463" s="324">
        <f t="shared" si="217"/>
        <v>0</v>
      </c>
      <c r="BB463" s="324">
        <f t="shared" si="218"/>
        <v>0</v>
      </c>
      <c r="BC463" s="324">
        <f t="shared" si="219"/>
        <v>0</v>
      </c>
      <c r="BD463" s="324">
        <f t="shared" si="220"/>
        <v>0</v>
      </c>
      <c r="BE463" s="324">
        <f t="shared" si="221"/>
        <v>0</v>
      </c>
      <c r="BF463" s="324">
        <f t="shared" si="222"/>
        <v>0</v>
      </c>
      <c r="BG463" s="324">
        <f t="shared" si="223"/>
        <v>0</v>
      </c>
      <c r="BH463" s="324">
        <f t="shared" si="224"/>
        <v>0</v>
      </c>
      <c r="BI463" s="324">
        <f t="shared" si="225"/>
        <v>0</v>
      </c>
      <c r="BJ463" s="324">
        <f t="shared" si="226"/>
        <v>0</v>
      </c>
      <c r="BK463" s="324">
        <f t="shared" si="227"/>
        <v>0</v>
      </c>
      <c r="BL463" s="324">
        <f t="shared" si="228"/>
        <v>0</v>
      </c>
      <c r="BM463" s="324">
        <f t="shared" si="229"/>
        <v>0</v>
      </c>
      <c r="BN463" s="324">
        <f t="shared" si="230"/>
        <v>0</v>
      </c>
      <c r="BO463" s="324">
        <f t="shared" si="231"/>
        <v>0</v>
      </c>
      <c r="BP463" s="324">
        <f t="shared" si="232"/>
        <v>0</v>
      </c>
      <c r="BQ463" s="324">
        <f t="shared" si="233"/>
        <v>0</v>
      </c>
      <c r="BR463" s="324">
        <f t="shared" si="234"/>
        <v>0</v>
      </c>
      <c r="BS463" s="324">
        <f t="shared" si="235"/>
        <v>0</v>
      </c>
      <c r="BT463" s="332">
        <f t="shared" si="236"/>
        <v>0</v>
      </c>
    </row>
    <row r="464" spans="1:72" ht="14.25">
      <c r="A464" s="297"/>
      <c r="B464" s="323"/>
      <c r="C464" s="323"/>
      <c r="D464" s="2215"/>
      <c r="E464" s="324">
        <f t="shared" si="208"/>
        <v>0</v>
      </c>
      <c r="F464" s="325"/>
      <c r="G464" s="326">
        <f t="shared" si="209"/>
        <v>0</v>
      </c>
      <c r="H464" s="327">
        <f t="shared" si="210"/>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11"/>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12"/>
        <v>0</v>
      </c>
      <c r="AW464" s="2210">
        <f t="shared" si="213"/>
        <v>0</v>
      </c>
      <c r="AX464" s="2210">
        <f t="shared" si="214"/>
        <v>0</v>
      </c>
      <c r="AY464" s="331">
        <f t="shared" si="215"/>
        <v>0</v>
      </c>
      <c r="AZ464" s="324">
        <f t="shared" si="216"/>
        <v>0</v>
      </c>
      <c r="BA464" s="324">
        <f t="shared" si="217"/>
        <v>0</v>
      </c>
      <c r="BB464" s="324">
        <f t="shared" si="218"/>
        <v>0</v>
      </c>
      <c r="BC464" s="324">
        <f t="shared" si="219"/>
        <v>0</v>
      </c>
      <c r="BD464" s="324">
        <f t="shared" si="220"/>
        <v>0</v>
      </c>
      <c r="BE464" s="324">
        <f t="shared" si="221"/>
        <v>0</v>
      </c>
      <c r="BF464" s="324">
        <f t="shared" si="222"/>
        <v>0</v>
      </c>
      <c r="BG464" s="324">
        <f t="shared" si="223"/>
        <v>0</v>
      </c>
      <c r="BH464" s="324">
        <f t="shared" si="224"/>
        <v>0</v>
      </c>
      <c r="BI464" s="324">
        <f t="shared" si="225"/>
        <v>0</v>
      </c>
      <c r="BJ464" s="324">
        <f t="shared" si="226"/>
        <v>0</v>
      </c>
      <c r="BK464" s="324">
        <f t="shared" si="227"/>
        <v>0</v>
      </c>
      <c r="BL464" s="324">
        <f t="shared" si="228"/>
        <v>0</v>
      </c>
      <c r="BM464" s="324">
        <f t="shared" si="229"/>
        <v>0</v>
      </c>
      <c r="BN464" s="324">
        <f t="shared" si="230"/>
        <v>0</v>
      </c>
      <c r="BO464" s="324">
        <f t="shared" si="231"/>
        <v>0</v>
      </c>
      <c r="BP464" s="324">
        <f t="shared" si="232"/>
        <v>0</v>
      </c>
      <c r="BQ464" s="324">
        <f t="shared" si="233"/>
        <v>0</v>
      </c>
      <c r="BR464" s="324">
        <f t="shared" si="234"/>
        <v>0</v>
      </c>
      <c r="BS464" s="324">
        <f t="shared" si="235"/>
        <v>0</v>
      </c>
      <c r="BT464" s="332">
        <f t="shared" si="236"/>
        <v>0</v>
      </c>
    </row>
    <row r="465" spans="1:72" ht="14.25">
      <c r="A465" s="297"/>
      <c r="B465" s="323"/>
      <c r="C465" s="323"/>
      <c r="D465" s="2215"/>
      <c r="E465" s="324">
        <f t="shared" si="208"/>
        <v>0</v>
      </c>
      <c r="F465" s="325"/>
      <c r="G465" s="326">
        <f t="shared" si="209"/>
        <v>0</v>
      </c>
      <c r="H465" s="327">
        <f t="shared" si="210"/>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11"/>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12"/>
        <v>0</v>
      </c>
      <c r="AW465" s="2210">
        <f t="shared" si="213"/>
        <v>0</v>
      </c>
      <c r="AX465" s="2210">
        <f t="shared" si="214"/>
        <v>0</v>
      </c>
      <c r="AY465" s="331">
        <f t="shared" si="215"/>
        <v>0</v>
      </c>
      <c r="AZ465" s="324">
        <f t="shared" si="216"/>
        <v>0</v>
      </c>
      <c r="BA465" s="324">
        <f t="shared" si="217"/>
        <v>0</v>
      </c>
      <c r="BB465" s="324">
        <f t="shared" si="218"/>
        <v>0</v>
      </c>
      <c r="BC465" s="324">
        <f t="shared" si="219"/>
        <v>0</v>
      </c>
      <c r="BD465" s="324">
        <f t="shared" si="220"/>
        <v>0</v>
      </c>
      <c r="BE465" s="324">
        <f t="shared" si="221"/>
        <v>0</v>
      </c>
      <c r="BF465" s="324">
        <f t="shared" si="222"/>
        <v>0</v>
      </c>
      <c r="BG465" s="324">
        <f t="shared" si="223"/>
        <v>0</v>
      </c>
      <c r="BH465" s="324">
        <f t="shared" si="224"/>
        <v>0</v>
      </c>
      <c r="BI465" s="324">
        <f t="shared" si="225"/>
        <v>0</v>
      </c>
      <c r="BJ465" s="324">
        <f t="shared" si="226"/>
        <v>0</v>
      </c>
      <c r="BK465" s="324">
        <f t="shared" si="227"/>
        <v>0</v>
      </c>
      <c r="BL465" s="324">
        <f t="shared" si="228"/>
        <v>0</v>
      </c>
      <c r="BM465" s="324">
        <f t="shared" si="229"/>
        <v>0</v>
      </c>
      <c r="BN465" s="324">
        <f t="shared" si="230"/>
        <v>0</v>
      </c>
      <c r="BO465" s="324">
        <f t="shared" si="231"/>
        <v>0</v>
      </c>
      <c r="BP465" s="324">
        <f t="shared" si="232"/>
        <v>0</v>
      </c>
      <c r="BQ465" s="324">
        <f t="shared" si="233"/>
        <v>0</v>
      </c>
      <c r="BR465" s="324">
        <f t="shared" si="234"/>
        <v>0</v>
      </c>
      <c r="BS465" s="324">
        <f t="shared" si="235"/>
        <v>0</v>
      </c>
      <c r="BT465" s="332">
        <f t="shared" si="236"/>
        <v>0</v>
      </c>
    </row>
    <row r="466" spans="1:72" ht="14.25">
      <c r="A466" s="297"/>
      <c r="B466" s="323"/>
      <c r="C466" s="323"/>
      <c r="D466" s="2215"/>
      <c r="E466" s="324">
        <f t="shared" si="208"/>
        <v>0</v>
      </c>
      <c r="F466" s="325"/>
      <c r="G466" s="326">
        <f t="shared" si="209"/>
        <v>0</v>
      </c>
      <c r="H466" s="327">
        <f t="shared" si="210"/>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11"/>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12"/>
        <v>0</v>
      </c>
      <c r="AW466" s="2210">
        <f t="shared" si="213"/>
        <v>0</v>
      </c>
      <c r="AX466" s="2210">
        <f t="shared" si="214"/>
        <v>0</v>
      </c>
      <c r="AY466" s="331">
        <f t="shared" si="215"/>
        <v>0</v>
      </c>
      <c r="AZ466" s="324">
        <f t="shared" si="216"/>
        <v>0</v>
      </c>
      <c r="BA466" s="324">
        <f t="shared" si="217"/>
        <v>0</v>
      </c>
      <c r="BB466" s="324">
        <f t="shared" si="218"/>
        <v>0</v>
      </c>
      <c r="BC466" s="324">
        <f t="shared" si="219"/>
        <v>0</v>
      </c>
      <c r="BD466" s="324">
        <f t="shared" si="220"/>
        <v>0</v>
      </c>
      <c r="BE466" s="324">
        <f t="shared" si="221"/>
        <v>0</v>
      </c>
      <c r="BF466" s="324">
        <f t="shared" si="222"/>
        <v>0</v>
      </c>
      <c r="BG466" s="324">
        <f t="shared" si="223"/>
        <v>0</v>
      </c>
      <c r="BH466" s="324">
        <f t="shared" si="224"/>
        <v>0</v>
      </c>
      <c r="BI466" s="324">
        <f t="shared" si="225"/>
        <v>0</v>
      </c>
      <c r="BJ466" s="324">
        <f t="shared" si="226"/>
        <v>0</v>
      </c>
      <c r="BK466" s="324">
        <f t="shared" si="227"/>
        <v>0</v>
      </c>
      <c r="BL466" s="324">
        <f t="shared" si="228"/>
        <v>0</v>
      </c>
      <c r="BM466" s="324">
        <f t="shared" si="229"/>
        <v>0</v>
      </c>
      <c r="BN466" s="324">
        <f t="shared" si="230"/>
        <v>0</v>
      </c>
      <c r="BO466" s="324">
        <f t="shared" si="231"/>
        <v>0</v>
      </c>
      <c r="BP466" s="324">
        <f t="shared" si="232"/>
        <v>0</v>
      </c>
      <c r="BQ466" s="324">
        <f t="shared" si="233"/>
        <v>0</v>
      </c>
      <c r="BR466" s="324">
        <f t="shared" si="234"/>
        <v>0</v>
      </c>
      <c r="BS466" s="324">
        <f t="shared" si="235"/>
        <v>0</v>
      </c>
      <c r="BT466" s="332">
        <f t="shared" si="236"/>
        <v>0</v>
      </c>
    </row>
    <row r="467" spans="1:72" ht="14.25">
      <c r="A467" s="297"/>
      <c r="B467" s="323"/>
      <c r="C467" s="323"/>
      <c r="D467" s="2215"/>
      <c r="E467" s="324">
        <f t="shared" si="208"/>
        <v>0</v>
      </c>
      <c r="F467" s="325"/>
      <c r="G467" s="326">
        <f t="shared" si="209"/>
        <v>0</v>
      </c>
      <c r="H467" s="327">
        <f t="shared" si="210"/>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11"/>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12"/>
        <v>0</v>
      </c>
      <c r="AW467" s="2210">
        <f t="shared" si="213"/>
        <v>0</v>
      </c>
      <c r="AX467" s="2210">
        <f t="shared" si="214"/>
        <v>0</v>
      </c>
      <c r="AY467" s="331">
        <f t="shared" si="215"/>
        <v>0</v>
      </c>
      <c r="AZ467" s="324">
        <f t="shared" si="216"/>
        <v>0</v>
      </c>
      <c r="BA467" s="324">
        <f t="shared" si="217"/>
        <v>0</v>
      </c>
      <c r="BB467" s="324">
        <f t="shared" si="218"/>
        <v>0</v>
      </c>
      <c r="BC467" s="324">
        <f t="shared" si="219"/>
        <v>0</v>
      </c>
      <c r="BD467" s="324">
        <f t="shared" si="220"/>
        <v>0</v>
      </c>
      <c r="BE467" s="324">
        <f t="shared" si="221"/>
        <v>0</v>
      </c>
      <c r="BF467" s="324">
        <f t="shared" si="222"/>
        <v>0</v>
      </c>
      <c r="BG467" s="324">
        <f t="shared" si="223"/>
        <v>0</v>
      </c>
      <c r="BH467" s="324">
        <f t="shared" si="224"/>
        <v>0</v>
      </c>
      <c r="BI467" s="324">
        <f t="shared" si="225"/>
        <v>0</v>
      </c>
      <c r="BJ467" s="324">
        <f t="shared" si="226"/>
        <v>0</v>
      </c>
      <c r="BK467" s="324">
        <f t="shared" si="227"/>
        <v>0</v>
      </c>
      <c r="BL467" s="324">
        <f t="shared" si="228"/>
        <v>0</v>
      </c>
      <c r="BM467" s="324">
        <f t="shared" si="229"/>
        <v>0</v>
      </c>
      <c r="BN467" s="324">
        <f t="shared" si="230"/>
        <v>0</v>
      </c>
      <c r="BO467" s="324">
        <f t="shared" si="231"/>
        <v>0</v>
      </c>
      <c r="BP467" s="324">
        <f t="shared" si="232"/>
        <v>0</v>
      </c>
      <c r="BQ467" s="324">
        <f t="shared" si="233"/>
        <v>0</v>
      </c>
      <c r="BR467" s="324">
        <f t="shared" si="234"/>
        <v>0</v>
      </c>
      <c r="BS467" s="324">
        <f t="shared" si="235"/>
        <v>0</v>
      </c>
      <c r="BT467" s="332">
        <f t="shared" si="236"/>
        <v>0</v>
      </c>
    </row>
    <row r="468" spans="1:72" ht="14.25">
      <c r="A468" s="297"/>
      <c r="B468" s="323"/>
      <c r="C468" s="323"/>
      <c r="D468" s="2215"/>
      <c r="E468" s="324">
        <f t="shared" si="208"/>
        <v>0</v>
      </c>
      <c r="F468" s="325"/>
      <c r="G468" s="326">
        <f t="shared" si="209"/>
        <v>0</v>
      </c>
      <c r="H468" s="327">
        <f t="shared" si="210"/>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11"/>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12"/>
        <v>0</v>
      </c>
      <c r="AW468" s="2210">
        <f t="shared" si="213"/>
        <v>0</v>
      </c>
      <c r="AX468" s="2210">
        <f t="shared" si="214"/>
        <v>0</v>
      </c>
      <c r="AY468" s="331">
        <f t="shared" si="215"/>
        <v>0</v>
      </c>
      <c r="AZ468" s="324">
        <f t="shared" si="216"/>
        <v>0</v>
      </c>
      <c r="BA468" s="324">
        <f t="shared" si="217"/>
        <v>0</v>
      </c>
      <c r="BB468" s="324">
        <f t="shared" si="218"/>
        <v>0</v>
      </c>
      <c r="BC468" s="324">
        <f t="shared" si="219"/>
        <v>0</v>
      </c>
      <c r="BD468" s="324">
        <f t="shared" si="220"/>
        <v>0</v>
      </c>
      <c r="BE468" s="324">
        <f t="shared" si="221"/>
        <v>0</v>
      </c>
      <c r="BF468" s="324">
        <f t="shared" si="222"/>
        <v>0</v>
      </c>
      <c r="BG468" s="324">
        <f t="shared" si="223"/>
        <v>0</v>
      </c>
      <c r="BH468" s="324">
        <f t="shared" si="224"/>
        <v>0</v>
      </c>
      <c r="BI468" s="324">
        <f t="shared" si="225"/>
        <v>0</v>
      </c>
      <c r="BJ468" s="324">
        <f t="shared" si="226"/>
        <v>0</v>
      </c>
      <c r="BK468" s="324">
        <f t="shared" si="227"/>
        <v>0</v>
      </c>
      <c r="BL468" s="324">
        <f t="shared" si="228"/>
        <v>0</v>
      </c>
      <c r="BM468" s="324">
        <f t="shared" si="229"/>
        <v>0</v>
      </c>
      <c r="BN468" s="324">
        <f t="shared" si="230"/>
        <v>0</v>
      </c>
      <c r="BO468" s="324">
        <f t="shared" si="231"/>
        <v>0</v>
      </c>
      <c r="BP468" s="324">
        <f t="shared" si="232"/>
        <v>0</v>
      </c>
      <c r="BQ468" s="324">
        <f t="shared" si="233"/>
        <v>0</v>
      </c>
      <c r="BR468" s="324">
        <f t="shared" si="234"/>
        <v>0</v>
      </c>
      <c r="BS468" s="324">
        <f t="shared" si="235"/>
        <v>0</v>
      </c>
      <c r="BT468" s="332">
        <f t="shared" si="236"/>
        <v>0</v>
      </c>
    </row>
    <row r="469" spans="1:72" ht="14.25">
      <c r="A469" s="297"/>
      <c r="B469" s="323"/>
      <c r="C469" s="323"/>
      <c r="D469" s="2215"/>
      <c r="E469" s="324">
        <f t="shared" si="208"/>
        <v>0</v>
      </c>
      <c r="F469" s="325"/>
      <c r="G469" s="326">
        <f t="shared" si="209"/>
        <v>0</v>
      </c>
      <c r="H469" s="327">
        <f t="shared" si="210"/>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11"/>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12"/>
        <v>0</v>
      </c>
      <c r="AW469" s="2210">
        <f t="shared" si="213"/>
        <v>0</v>
      </c>
      <c r="AX469" s="2210">
        <f t="shared" si="214"/>
        <v>0</v>
      </c>
      <c r="AY469" s="331">
        <f t="shared" si="215"/>
        <v>0</v>
      </c>
      <c r="AZ469" s="324">
        <f t="shared" si="216"/>
        <v>0</v>
      </c>
      <c r="BA469" s="324">
        <f t="shared" si="217"/>
        <v>0</v>
      </c>
      <c r="BB469" s="324">
        <f t="shared" si="218"/>
        <v>0</v>
      </c>
      <c r="BC469" s="324">
        <f t="shared" si="219"/>
        <v>0</v>
      </c>
      <c r="BD469" s="324">
        <f t="shared" si="220"/>
        <v>0</v>
      </c>
      <c r="BE469" s="324">
        <f t="shared" si="221"/>
        <v>0</v>
      </c>
      <c r="BF469" s="324">
        <f t="shared" si="222"/>
        <v>0</v>
      </c>
      <c r="BG469" s="324">
        <f t="shared" si="223"/>
        <v>0</v>
      </c>
      <c r="BH469" s="324">
        <f t="shared" si="224"/>
        <v>0</v>
      </c>
      <c r="BI469" s="324">
        <f t="shared" si="225"/>
        <v>0</v>
      </c>
      <c r="BJ469" s="324">
        <f t="shared" si="226"/>
        <v>0</v>
      </c>
      <c r="BK469" s="324">
        <f t="shared" si="227"/>
        <v>0</v>
      </c>
      <c r="BL469" s="324">
        <f t="shared" si="228"/>
        <v>0</v>
      </c>
      <c r="BM469" s="324">
        <f t="shared" si="229"/>
        <v>0</v>
      </c>
      <c r="BN469" s="324">
        <f t="shared" si="230"/>
        <v>0</v>
      </c>
      <c r="BO469" s="324">
        <f t="shared" si="231"/>
        <v>0</v>
      </c>
      <c r="BP469" s="324">
        <f t="shared" si="232"/>
        <v>0</v>
      </c>
      <c r="BQ469" s="324">
        <f t="shared" si="233"/>
        <v>0</v>
      </c>
      <c r="BR469" s="324">
        <f t="shared" si="234"/>
        <v>0</v>
      </c>
      <c r="BS469" s="324">
        <f t="shared" si="235"/>
        <v>0</v>
      </c>
      <c r="BT469" s="332">
        <f t="shared" si="236"/>
        <v>0</v>
      </c>
    </row>
    <row r="470" spans="1:72" ht="14.25">
      <c r="A470" s="297"/>
      <c r="B470" s="323"/>
      <c r="C470" s="323"/>
      <c r="D470" s="2215"/>
      <c r="E470" s="324">
        <f t="shared" si="208"/>
        <v>0</v>
      </c>
      <c r="F470" s="325"/>
      <c r="G470" s="326">
        <f t="shared" si="209"/>
        <v>0</v>
      </c>
      <c r="H470" s="327">
        <f t="shared" si="210"/>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11"/>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12"/>
        <v>0</v>
      </c>
      <c r="AW470" s="2210">
        <f t="shared" si="213"/>
        <v>0</v>
      </c>
      <c r="AX470" s="2210">
        <f t="shared" si="214"/>
        <v>0</v>
      </c>
      <c r="AY470" s="331">
        <f t="shared" si="215"/>
        <v>0</v>
      </c>
      <c r="AZ470" s="324">
        <f t="shared" si="216"/>
        <v>0</v>
      </c>
      <c r="BA470" s="324">
        <f t="shared" si="217"/>
        <v>0</v>
      </c>
      <c r="BB470" s="324">
        <f t="shared" si="218"/>
        <v>0</v>
      </c>
      <c r="BC470" s="324">
        <f t="shared" si="219"/>
        <v>0</v>
      </c>
      <c r="BD470" s="324">
        <f t="shared" si="220"/>
        <v>0</v>
      </c>
      <c r="BE470" s="324">
        <f t="shared" si="221"/>
        <v>0</v>
      </c>
      <c r="BF470" s="324">
        <f t="shared" si="222"/>
        <v>0</v>
      </c>
      <c r="BG470" s="324">
        <f t="shared" si="223"/>
        <v>0</v>
      </c>
      <c r="BH470" s="324">
        <f t="shared" si="224"/>
        <v>0</v>
      </c>
      <c r="BI470" s="324">
        <f t="shared" si="225"/>
        <v>0</v>
      </c>
      <c r="BJ470" s="324">
        <f t="shared" si="226"/>
        <v>0</v>
      </c>
      <c r="BK470" s="324">
        <f t="shared" si="227"/>
        <v>0</v>
      </c>
      <c r="BL470" s="324">
        <f t="shared" si="228"/>
        <v>0</v>
      </c>
      <c r="BM470" s="324">
        <f t="shared" si="229"/>
        <v>0</v>
      </c>
      <c r="BN470" s="324">
        <f t="shared" si="230"/>
        <v>0</v>
      </c>
      <c r="BO470" s="324">
        <f t="shared" si="231"/>
        <v>0</v>
      </c>
      <c r="BP470" s="324">
        <f t="shared" si="232"/>
        <v>0</v>
      </c>
      <c r="BQ470" s="324">
        <f t="shared" si="233"/>
        <v>0</v>
      </c>
      <c r="BR470" s="324">
        <f t="shared" si="234"/>
        <v>0</v>
      </c>
      <c r="BS470" s="324">
        <f t="shared" si="235"/>
        <v>0</v>
      </c>
      <c r="BT470" s="332">
        <f t="shared" si="236"/>
        <v>0</v>
      </c>
    </row>
    <row r="471" spans="1:72" ht="14.25">
      <c r="A471" s="297"/>
      <c r="B471" s="323"/>
      <c r="C471" s="323"/>
      <c r="D471" s="2215"/>
      <c r="E471" s="324">
        <f t="shared" si="208"/>
        <v>0</v>
      </c>
      <c r="F471" s="325"/>
      <c r="G471" s="326">
        <f t="shared" si="209"/>
        <v>0</v>
      </c>
      <c r="H471" s="327">
        <f t="shared" si="210"/>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11"/>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12"/>
        <v>0</v>
      </c>
      <c r="AW471" s="2210">
        <f t="shared" si="213"/>
        <v>0</v>
      </c>
      <c r="AX471" s="2210">
        <f t="shared" si="214"/>
        <v>0</v>
      </c>
      <c r="AY471" s="331">
        <f t="shared" si="215"/>
        <v>0</v>
      </c>
      <c r="AZ471" s="324">
        <f t="shared" si="216"/>
        <v>0</v>
      </c>
      <c r="BA471" s="324">
        <f t="shared" si="217"/>
        <v>0</v>
      </c>
      <c r="BB471" s="324">
        <f t="shared" si="218"/>
        <v>0</v>
      </c>
      <c r="BC471" s="324">
        <f t="shared" si="219"/>
        <v>0</v>
      </c>
      <c r="BD471" s="324">
        <f t="shared" si="220"/>
        <v>0</v>
      </c>
      <c r="BE471" s="324">
        <f t="shared" si="221"/>
        <v>0</v>
      </c>
      <c r="BF471" s="324">
        <f t="shared" si="222"/>
        <v>0</v>
      </c>
      <c r="BG471" s="324">
        <f t="shared" si="223"/>
        <v>0</v>
      </c>
      <c r="BH471" s="324">
        <f t="shared" si="224"/>
        <v>0</v>
      </c>
      <c r="BI471" s="324">
        <f t="shared" si="225"/>
        <v>0</v>
      </c>
      <c r="BJ471" s="324">
        <f t="shared" si="226"/>
        <v>0</v>
      </c>
      <c r="BK471" s="324">
        <f t="shared" si="227"/>
        <v>0</v>
      </c>
      <c r="BL471" s="324">
        <f t="shared" si="228"/>
        <v>0</v>
      </c>
      <c r="BM471" s="324">
        <f t="shared" si="229"/>
        <v>0</v>
      </c>
      <c r="BN471" s="324">
        <f t="shared" si="230"/>
        <v>0</v>
      </c>
      <c r="BO471" s="324">
        <f t="shared" si="231"/>
        <v>0</v>
      </c>
      <c r="BP471" s="324">
        <f t="shared" si="232"/>
        <v>0</v>
      </c>
      <c r="BQ471" s="324">
        <f t="shared" si="233"/>
        <v>0</v>
      </c>
      <c r="BR471" s="324">
        <f t="shared" si="234"/>
        <v>0</v>
      </c>
      <c r="BS471" s="324">
        <f t="shared" si="235"/>
        <v>0</v>
      </c>
      <c r="BT471" s="332">
        <f t="shared" si="236"/>
        <v>0</v>
      </c>
    </row>
    <row r="472" spans="1:72" ht="14.25">
      <c r="A472" s="297"/>
      <c r="B472" s="323"/>
      <c r="C472" s="323"/>
      <c r="D472" s="2215"/>
      <c r="E472" s="324">
        <f t="shared" si="208"/>
        <v>0</v>
      </c>
      <c r="F472" s="325"/>
      <c r="G472" s="326">
        <f t="shared" si="209"/>
        <v>0</v>
      </c>
      <c r="H472" s="327">
        <f t="shared" si="210"/>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11"/>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12"/>
        <v>0</v>
      </c>
      <c r="AW472" s="2210">
        <f t="shared" si="213"/>
        <v>0</v>
      </c>
      <c r="AX472" s="2210">
        <f t="shared" si="214"/>
        <v>0</v>
      </c>
      <c r="AY472" s="331">
        <f t="shared" si="215"/>
        <v>0</v>
      </c>
      <c r="AZ472" s="324">
        <f t="shared" si="216"/>
        <v>0</v>
      </c>
      <c r="BA472" s="324">
        <f t="shared" si="217"/>
        <v>0</v>
      </c>
      <c r="BB472" s="324">
        <f t="shared" si="218"/>
        <v>0</v>
      </c>
      <c r="BC472" s="324">
        <f t="shared" si="219"/>
        <v>0</v>
      </c>
      <c r="BD472" s="324">
        <f t="shared" si="220"/>
        <v>0</v>
      </c>
      <c r="BE472" s="324">
        <f t="shared" si="221"/>
        <v>0</v>
      </c>
      <c r="BF472" s="324">
        <f t="shared" si="222"/>
        <v>0</v>
      </c>
      <c r="BG472" s="324">
        <f t="shared" si="223"/>
        <v>0</v>
      </c>
      <c r="BH472" s="324">
        <f t="shared" si="224"/>
        <v>0</v>
      </c>
      <c r="BI472" s="324">
        <f t="shared" si="225"/>
        <v>0</v>
      </c>
      <c r="BJ472" s="324">
        <f t="shared" si="226"/>
        <v>0</v>
      </c>
      <c r="BK472" s="324">
        <f t="shared" si="227"/>
        <v>0</v>
      </c>
      <c r="BL472" s="324">
        <f t="shared" si="228"/>
        <v>0</v>
      </c>
      <c r="BM472" s="324">
        <f t="shared" si="229"/>
        <v>0</v>
      </c>
      <c r="BN472" s="324">
        <f t="shared" si="230"/>
        <v>0</v>
      </c>
      <c r="BO472" s="324">
        <f t="shared" si="231"/>
        <v>0</v>
      </c>
      <c r="BP472" s="324">
        <f t="shared" si="232"/>
        <v>0</v>
      </c>
      <c r="BQ472" s="324">
        <f t="shared" si="233"/>
        <v>0</v>
      </c>
      <c r="BR472" s="324">
        <f t="shared" si="234"/>
        <v>0</v>
      </c>
      <c r="BS472" s="324">
        <f t="shared" si="235"/>
        <v>0</v>
      </c>
      <c r="BT472" s="332">
        <f t="shared" si="236"/>
        <v>0</v>
      </c>
    </row>
    <row r="473" spans="1:72" ht="14.25">
      <c r="A473" s="297"/>
      <c r="B473" s="323"/>
      <c r="C473" s="323"/>
      <c r="D473" s="2215"/>
      <c r="E473" s="324">
        <f t="shared" si="208"/>
        <v>0</v>
      </c>
      <c r="F473" s="325"/>
      <c r="G473" s="326">
        <f t="shared" si="209"/>
        <v>0</v>
      </c>
      <c r="H473" s="327">
        <f t="shared" si="210"/>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11"/>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12"/>
        <v>0</v>
      </c>
      <c r="AW473" s="2210">
        <f t="shared" si="213"/>
        <v>0</v>
      </c>
      <c r="AX473" s="2210">
        <f t="shared" si="214"/>
        <v>0</v>
      </c>
      <c r="AY473" s="331">
        <f t="shared" si="215"/>
        <v>0</v>
      </c>
      <c r="AZ473" s="324">
        <f t="shared" si="216"/>
        <v>0</v>
      </c>
      <c r="BA473" s="324">
        <f t="shared" si="217"/>
        <v>0</v>
      </c>
      <c r="BB473" s="324">
        <f t="shared" si="218"/>
        <v>0</v>
      </c>
      <c r="BC473" s="324">
        <f t="shared" si="219"/>
        <v>0</v>
      </c>
      <c r="BD473" s="324">
        <f t="shared" si="220"/>
        <v>0</v>
      </c>
      <c r="BE473" s="324">
        <f t="shared" si="221"/>
        <v>0</v>
      </c>
      <c r="BF473" s="324">
        <f t="shared" si="222"/>
        <v>0</v>
      </c>
      <c r="BG473" s="324">
        <f t="shared" si="223"/>
        <v>0</v>
      </c>
      <c r="BH473" s="324">
        <f t="shared" si="224"/>
        <v>0</v>
      </c>
      <c r="BI473" s="324">
        <f t="shared" si="225"/>
        <v>0</v>
      </c>
      <c r="BJ473" s="324">
        <f t="shared" si="226"/>
        <v>0</v>
      </c>
      <c r="BK473" s="324">
        <f t="shared" si="227"/>
        <v>0</v>
      </c>
      <c r="BL473" s="324">
        <f t="shared" si="228"/>
        <v>0</v>
      </c>
      <c r="BM473" s="324">
        <f t="shared" si="229"/>
        <v>0</v>
      </c>
      <c r="BN473" s="324">
        <f t="shared" si="230"/>
        <v>0</v>
      </c>
      <c r="BO473" s="324">
        <f t="shared" si="231"/>
        <v>0</v>
      </c>
      <c r="BP473" s="324">
        <f t="shared" si="232"/>
        <v>0</v>
      </c>
      <c r="BQ473" s="324">
        <f t="shared" si="233"/>
        <v>0</v>
      </c>
      <c r="BR473" s="324">
        <f t="shared" si="234"/>
        <v>0</v>
      </c>
      <c r="BS473" s="324">
        <f t="shared" si="235"/>
        <v>0</v>
      </c>
      <c r="BT473" s="332">
        <f t="shared" si="236"/>
        <v>0</v>
      </c>
    </row>
    <row r="474" spans="1:72" ht="14.25">
      <c r="A474" s="297"/>
      <c r="B474" s="323"/>
      <c r="C474" s="323"/>
      <c r="D474" s="2215"/>
      <c r="E474" s="324">
        <f t="shared" si="208"/>
        <v>0</v>
      </c>
      <c r="F474" s="325"/>
      <c r="G474" s="326">
        <f t="shared" si="209"/>
        <v>0</v>
      </c>
      <c r="H474" s="327">
        <f t="shared" si="210"/>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11"/>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12"/>
        <v>0</v>
      </c>
      <c r="AW474" s="2210">
        <f t="shared" si="213"/>
        <v>0</v>
      </c>
      <c r="AX474" s="2210">
        <f t="shared" si="214"/>
        <v>0</v>
      </c>
      <c r="AY474" s="331">
        <f t="shared" si="215"/>
        <v>0</v>
      </c>
      <c r="AZ474" s="324">
        <f t="shared" si="216"/>
        <v>0</v>
      </c>
      <c r="BA474" s="324">
        <f t="shared" si="217"/>
        <v>0</v>
      </c>
      <c r="BB474" s="324">
        <f t="shared" si="218"/>
        <v>0</v>
      </c>
      <c r="BC474" s="324">
        <f t="shared" si="219"/>
        <v>0</v>
      </c>
      <c r="BD474" s="324">
        <f t="shared" si="220"/>
        <v>0</v>
      </c>
      <c r="BE474" s="324">
        <f t="shared" si="221"/>
        <v>0</v>
      </c>
      <c r="BF474" s="324">
        <f t="shared" si="222"/>
        <v>0</v>
      </c>
      <c r="BG474" s="324">
        <f t="shared" si="223"/>
        <v>0</v>
      </c>
      <c r="BH474" s="324">
        <f t="shared" si="224"/>
        <v>0</v>
      </c>
      <c r="BI474" s="324">
        <f t="shared" si="225"/>
        <v>0</v>
      </c>
      <c r="BJ474" s="324">
        <f t="shared" si="226"/>
        <v>0</v>
      </c>
      <c r="BK474" s="324">
        <f t="shared" si="227"/>
        <v>0</v>
      </c>
      <c r="BL474" s="324">
        <f t="shared" si="228"/>
        <v>0</v>
      </c>
      <c r="BM474" s="324">
        <f t="shared" si="229"/>
        <v>0</v>
      </c>
      <c r="BN474" s="324">
        <f t="shared" si="230"/>
        <v>0</v>
      </c>
      <c r="BO474" s="324">
        <f t="shared" si="231"/>
        <v>0</v>
      </c>
      <c r="BP474" s="324">
        <f t="shared" si="232"/>
        <v>0</v>
      </c>
      <c r="BQ474" s="324">
        <f t="shared" si="233"/>
        <v>0</v>
      </c>
      <c r="BR474" s="324">
        <f t="shared" si="234"/>
        <v>0</v>
      </c>
      <c r="BS474" s="324">
        <f t="shared" si="235"/>
        <v>0</v>
      </c>
      <c r="BT474" s="332">
        <f t="shared" si="236"/>
        <v>0</v>
      </c>
    </row>
    <row r="475" spans="1:72" ht="14.25">
      <c r="A475" s="297"/>
      <c r="B475" s="323"/>
      <c r="C475" s="323"/>
      <c r="D475" s="2215"/>
      <c r="E475" s="324">
        <f t="shared" si="208"/>
        <v>0</v>
      </c>
      <c r="F475" s="325"/>
      <c r="G475" s="326">
        <f t="shared" si="209"/>
        <v>0</v>
      </c>
      <c r="H475" s="327">
        <f t="shared" si="210"/>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11"/>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12"/>
        <v>0</v>
      </c>
      <c r="AW475" s="2210">
        <f t="shared" si="213"/>
        <v>0</v>
      </c>
      <c r="AX475" s="2210">
        <f t="shared" si="214"/>
        <v>0</v>
      </c>
      <c r="AY475" s="331">
        <f t="shared" si="215"/>
        <v>0</v>
      </c>
      <c r="AZ475" s="324">
        <f t="shared" si="216"/>
        <v>0</v>
      </c>
      <c r="BA475" s="324">
        <f t="shared" si="217"/>
        <v>0</v>
      </c>
      <c r="BB475" s="324">
        <f t="shared" si="218"/>
        <v>0</v>
      </c>
      <c r="BC475" s="324">
        <f t="shared" si="219"/>
        <v>0</v>
      </c>
      <c r="BD475" s="324">
        <f t="shared" si="220"/>
        <v>0</v>
      </c>
      <c r="BE475" s="324">
        <f t="shared" si="221"/>
        <v>0</v>
      </c>
      <c r="BF475" s="324">
        <f t="shared" si="222"/>
        <v>0</v>
      </c>
      <c r="BG475" s="324">
        <f t="shared" si="223"/>
        <v>0</v>
      </c>
      <c r="BH475" s="324">
        <f t="shared" si="224"/>
        <v>0</v>
      </c>
      <c r="BI475" s="324">
        <f t="shared" si="225"/>
        <v>0</v>
      </c>
      <c r="BJ475" s="324">
        <f t="shared" si="226"/>
        <v>0</v>
      </c>
      <c r="BK475" s="324">
        <f t="shared" si="227"/>
        <v>0</v>
      </c>
      <c r="BL475" s="324">
        <f t="shared" si="228"/>
        <v>0</v>
      </c>
      <c r="BM475" s="324">
        <f t="shared" si="229"/>
        <v>0</v>
      </c>
      <c r="BN475" s="324">
        <f t="shared" si="230"/>
        <v>0</v>
      </c>
      <c r="BO475" s="324">
        <f t="shared" si="231"/>
        <v>0</v>
      </c>
      <c r="BP475" s="324">
        <f t="shared" si="232"/>
        <v>0</v>
      </c>
      <c r="BQ475" s="324">
        <f t="shared" si="233"/>
        <v>0</v>
      </c>
      <c r="BR475" s="324">
        <f t="shared" si="234"/>
        <v>0</v>
      </c>
      <c r="BS475" s="324">
        <f t="shared" si="235"/>
        <v>0</v>
      </c>
      <c r="BT475" s="332">
        <f t="shared" si="236"/>
        <v>0</v>
      </c>
    </row>
    <row r="476" spans="1:72" ht="14.25">
      <c r="A476" s="297"/>
      <c r="B476" s="323"/>
      <c r="C476" s="323"/>
      <c r="D476" s="2215"/>
      <c r="E476" s="324">
        <f t="shared" si="208"/>
        <v>0</v>
      </c>
      <c r="F476" s="325"/>
      <c r="G476" s="326">
        <f t="shared" si="209"/>
        <v>0</v>
      </c>
      <c r="H476" s="327">
        <f t="shared" si="210"/>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11"/>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12"/>
        <v>0</v>
      </c>
      <c r="AW476" s="2210">
        <f t="shared" si="213"/>
        <v>0</v>
      </c>
      <c r="AX476" s="2210">
        <f t="shared" si="214"/>
        <v>0</v>
      </c>
      <c r="AY476" s="331">
        <f t="shared" si="215"/>
        <v>0</v>
      </c>
      <c r="AZ476" s="324">
        <f t="shared" si="216"/>
        <v>0</v>
      </c>
      <c r="BA476" s="324">
        <f t="shared" si="217"/>
        <v>0</v>
      </c>
      <c r="BB476" s="324">
        <f t="shared" si="218"/>
        <v>0</v>
      </c>
      <c r="BC476" s="324">
        <f t="shared" si="219"/>
        <v>0</v>
      </c>
      <c r="BD476" s="324">
        <f t="shared" si="220"/>
        <v>0</v>
      </c>
      <c r="BE476" s="324">
        <f t="shared" si="221"/>
        <v>0</v>
      </c>
      <c r="BF476" s="324">
        <f t="shared" si="222"/>
        <v>0</v>
      </c>
      <c r="BG476" s="324">
        <f t="shared" si="223"/>
        <v>0</v>
      </c>
      <c r="BH476" s="324">
        <f t="shared" si="224"/>
        <v>0</v>
      </c>
      <c r="BI476" s="324">
        <f t="shared" si="225"/>
        <v>0</v>
      </c>
      <c r="BJ476" s="324">
        <f t="shared" si="226"/>
        <v>0</v>
      </c>
      <c r="BK476" s="324">
        <f t="shared" si="227"/>
        <v>0</v>
      </c>
      <c r="BL476" s="324">
        <f t="shared" si="228"/>
        <v>0</v>
      </c>
      <c r="BM476" s="324">
        <f t="shared" si="229"/>
        <v>0</v>
      </c>
      <c r="BN476" s="324">
        <f t="shared" si="230"/>
        <v>0</v>
      </c>
      <c r="BO476" s="324">
        <f t="shared" si="231"/>
        <v>0</v>
      </c>
      <c r="BP476" s="324">
        <f t="shared" si="232"/>
        <v>0</v>
      </c>
      <c r="BQ476" s="324">
        <f t="shared" si="233"/>
        <v>0</v>
      </c>
      <c r="BR476" s="324">
        <f t="shared" si="234"/>
        <v>0</v>
      </c>
      <c r="BS476" s="324">
        <f t="shared" si="235"/>
        <v>0</v>
      </c>
      <c r="BT476" s="332">
        <f t="shared" si="236"/>
        <v>0</v>
      </c>
    </row>
    <row r="477" spans="1:72" ht="14.25">
      <c r="A477" s="297"/>
      <c r="B477" s="323"/>
      <c r="C477" s="323"/>
      <c r="D477" s="2215"/>
      <c r="E477" s="324">
        <f t="shared" si="208"/>
        <v>0</v>
      </c>
      <c r="F477" s="325"/>
      <c r="G477" s="326">
        <f t="shared" si="209"/>
        <v>0</v>
      </c>
      <c r="H477" s="327">
        <f t="shared" si="210"/>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11"/>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12"/>
        <v>0</v>
      </c>
      <c r="AW477" s="2210">
        <f t="shared" si="213"/>
        <v>0</v>
      </c>
      <c r="AX477" s="2210">
        <f t="shared" si="214"/>
        <v>0</v>
      </c>
      <c r="AY477" s="331">
        <f t="shared" si="215"/>
        <v>0</v>
      </c>
      <c r="AZ477" s="324">
        <f t="shared" si="216"/>
        <v>0</v>
      </c>
      <c r="BA477" s="324">
        <f t="shared" si="217"/>
        <v>0</v>
      </c>
      <c r="BB477" s="324">
        <f t="shared" si="218"/>
        <v>0</v>
      </c>
      <c r="BC477" s="324">
        <f t="shared" si="219"/>
        <v>0</v>
      </c>
      <c r="BD477" s="324">
        <f t="shared" si="220"/>
        <v>0</v>
      </c>
      <c r="BE477" s="324">
        <f t="shared" si="221"/>
        <v>0</v>
      </c>
      <c r="BF477" s="324">
        <f t="shared" si="222"/>
        <v>0</v>
      </c>
      <c r="BG477" s="324">
        <f t="shared" si="223"/>
        <v>0</v>
      </c>
      <c r="BH477" s="324">
        <f t="shared" si="224"/>
        <v>0</v>
      </c>
      <c r="BI477" s="324">
        <f t="shared" si="225"/>
        <v>0</v>
      </c>
      <c r="BJ477" s="324">
        <f t="shared" si="226"/>
        <v>0</v>
      </c>
      <c r="BK477" s="324">
        <f t="shared" si="227"/>
        <v>0</v>
      </c>
      <c r="BL477" s="324">
        <f t="shared" si="228"/>
        <v>0</v>
      </c>
      <c r="BM477" s="324">
        <f t="shared" si="229"/>
        <v>0</v>
      </c>
      <c r="BN477" s="324">
        <f t="shared" si="230"/>
        <v>0</v>
      </c>
      <c r="BO477" s="324">
        <f t="shared" si="231"/>
        <v>0</v>
      </c>
      <c r="BP477" s="324">
        <f t="shared" si="232"/>
        <v>0</v>
      </c>
      <c r="BQ477" s="324">
        <f t="shared" si="233"/>
        <v>0</v>
      </c>
      <c r="BR477" s="324">
        <f t="shared" si="234"/>
        <v>0</v>
      </c>
      <c r="BS477" s="324">
        <f t="shared" si="235"/>
        <v>0</v>
      </c>
      <c r="BT477" s="332">
        <f t="shared" si="236"/>
        <v>0</v>
      </c>
    </row>
    <row r="478" spans="1:72" ht="14.25">
      <c r="A478" s="297"/>
      <c r="B478" s="323"/>
      <c r="C478" s="323"/>
      <c r="D478" s="2215"/>
      <c r="E478" s="324">
        <f t="shared" si="208"/>
        <v>0</v>
      </c>
      <c r="F478" s="325"/>
      <c r="G478" s="326">
        <f t="shared" si="209"/>
        <v>0</v>
      </c>
      <c r="H478" s="327">
        <f t="shared" si="210"/>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11"/>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12"/>
        <v>0</v>
      </c>
      <c r="AW478" s="2210">
        <f t="shared" si="213"/>
        <v>0</v>
      </c>
      <c r="AX478" s="2210">
        <f t="shared" si="214"/>
        <v>0</v>
      </c>
      <c r="AY478" s="331">
        <f t="shared" si="215"/>
        <v>0</v>
      </c>
      <c r="AZ478" s="324">
        <f t="shared" si="216"/>
        <v>0</v>
      </c>
      <c r="BA478" s="324">
        <f t="shared" si="217"/>
        <v>0</v>
      </c>
      <c r="BB478" s="324">
        <f t="shared" si="218"/>
        <v>0</v>
      </c>
      <c r="BC478" s="324">
        <f t="shared" si="219"/>
        <v>0</v>
      </c>
      <c r="BD478" s="324">
        <f t="shared" si="220"/>
        <v>0</v>
      </c>
      <c r="BE478" s="324">
        <f t="shared" si="221"/>
        <v>0</v>
      </c>
      <c r="BF478" s="324">
        <f t="shared" si="222"/>
        <v>0</v>
      </c>
      <c r="BG478" s="324">
        <f t="shared" si="223"/>
        <v>0</v>
      </c>
      <c r="BH478" s="324">
        <f t="shared" si="224"/>
        <v>0</v>
      </c>
      <c r="BI478" s="324">
        <f t="shared" si="225"/>
        <v>0</v>
      </c>
      <c r="BJ478" s="324">
        <f t="shared" si="226"/>
        <v>0</v>
      </c>
      <c r="BK478" s="324">
        <f t="shared" si="227"/>
        <v>0</v>
      </c>
      <c r="BL478" s="324">
        <f t="shared" si="228"/>
        <v>0</v>
      </c>
      <c r="BM478" s="324">
        <f t="shared" si="229"/>
        <v>0</v>
      </c>
      <c r="BN478" s="324">
        <f t="shared" si="230"/>
        <v>0</v>
      </c>
      <c r="BO478" s="324">
        <f t="shared" si="231"/>
        <v>0</v>
      </c>
      <c r="BP478" s="324">
        <f t="shared" si="232"/>
        <v>0</v>
      </c>
      <c r="BQ478" s="324">
        <f t="shared" si="233"/>
        <v>0</v>
      </c>
      <c r="BR478" s="324">
        <f t="shared" si="234"/>
        <v>0</v>
      </c>
      <c r="BS478" s="324">
        <f t="shared" si="235"/>
        <v>0</v>
      </c>
      <c r="BT478" s="332">
        <f t="shared" si="236"/>
        <v>0</v>
      </c>
    </row>
    <row r="479" spans="1:72" ht="14.25">
      <c r="A479" s="297"/>
      <c r="B479" s="323"/>
      <c r="C479" s="323"/>
      <c r="D479" s="2215"/>
      <c r="E479" s="324">
        <f t="shared" si="208"/>
        <v>0</v>
      </c>
      <c r="F479" s="325"/>
      <c r="G479" s="326">
        <f t="shared" si="209"/>
        <v>0</v>
      </c>
      <c r="H479" s="327">
        <f t="shared" si="210"/>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11"/>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12"/>
        <v>0</v>
      </c>
      <c r="AW479" s="2210">
        <f t="shared" si="213"/>
        <v>0</v>
      </c>
      <c r="AX479" s="2210">
        <f t="shared" si="214"/>
        <v>0</v>
      </c>
      <c r="AY479" s="331">
        <f t="shared" si="215"/>
        <v>0</v>
      </c>
      <c r="AZ479" s="324">
        <f t="shared" si="216"/>
        <v>0</v>
      </c>
      <c r="BA479" s="324">
        <f t="shared" si="217"/>
        <v>0</v>
      </c>
      <c r="BB479" s="324">
        <f t="shared" si="218"/>
        <v>0</v>
      </c>
      <c r="BC479" s="324">
        <f t="shared" si="219"/>
        <v>0</v>
      </c>
      <c r="BD479" s="324">
        <f t="shared" si="220"/>
        <v>0</v>
      </c>
      <c r="BE479" s="324">
        <f t="shared" si="221"/>
        <v>0</v>
      </c>
      <c r="BF479" s="324">
        <f t="shared" si="222"/>
        <v>0</v>
      </c>
      <c r="BG479" s="324">
        <f t="shared" si="223"/>
        <v>0</v>
      </c>
      <c r="BH479" s="324">
        <f t="shared" si="224"/>
        <v>0</v>
      </c>
      <c r="BI479" s="324">
        <f t="shared" si="225"/>
        <v>0</v>
      </c>
      <c r="BJ479" s="324">
        <f t="shared" si="226"/>
        <v>0</v>
      </c>
      <c r="BK479" s="324">
        <f t="shared" si="227"/>
        <v>0</v>
      </c>
      <c r="BL479" s="324">
        <f t="shared" si="228"/>
        <v>0</v>
      </c>
      <c r="BM479" s="324">
        <f t="shared" si="229"/>
        <v>0</v>
      </c>
      <c r="BN479" s="324">
        <f t="shared" si="230"/>
        <v>0</v>
      </c>
      <c r="BO479" s="324">
        <f t="shared" si="231"/>
        <v>0</v>
      </c>
      <c r="BP479" s="324">
        <f t="shared" si="232"/>
        <v>0</v>
      </c>
      <c r="BQ479" s="324">
        <f t="shared" si="233"/>
        <v>0</v>
      </c>
      <c r="BR479" s="324">
        <f t="shared" si="234"/>
        <v>0</v>
      </c>
      <c r="BS479" s="324">
        <f t="shared" si="235"/>
        <v>0</v>
      </c>
      <c r="BT479" s="332">
        <f t="shared" si="236"/>
        <v>0</v>
      </c>
    </row>
    <row r="480" spans="1:72" ht="14.25">
      <c r="A480" s="297"/>
      <c r="B480" s="323"/>
      <c r="C480" s="323"/>
      <c r="D480" s="2215"/>
      <c r="E480" s="324">
        <f t="shared" si="208"/>
        <v>0</v>
      </c>
      <c r="F480" s="325"/>
      <c r="G480" s="326">
        <f t="shared" si="209"/>
        <v>0</v>
      </c>
      <c r="H480" s="327">
        <f t="shared" si="210"/>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11"/>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12"/>
        <v>0</v>
      </c>
      <c r="AW480" s="2210">
        <f t="shared" si="213"/>
        <v>0</v>
      </c>
      <c r="AX480" s="2210">
        <f t="shared" si="214"/>
        <v>0</v>
      </c>
      <c r="AY480" s="331">
        <f t="shared" si="215"/>
        <v>0</v>
      </c>
      <c r="AZ480" s="324">
        <f t="shared" si="216"/>
        <v>0</v>
      </c>
      <c r="BA480" s="324">
        <f t="shared" si="217"/>
        <v>0</v>
      </c>
      <c r="BB480" s="324">
        <f t="shared" si="218"/>
        <v>0</v>
      </c>
      <c r="BC480" s="324">
        <f t="shared" si="219"/>
        <v>0</v>
      </c>
      <c r="BD480" s="324">
        <f t="shared" si="220"/>
        <v>0</v>
      </c>
      <c r="BE480" s="324">
        <f t="shared" si="221"/>
        <v>0</v>
      </c>
      <c r="BF480" s="324">
        <f t="shared" si="222"/>
        <v>0</v>
      </c>
      <c r="BG480" s="324">
        <f t="shared" si="223"/>
        <v>0</v>
      </c>
      <c r="BH480" s="324">
        <f t="shared" si="224"/>
        <v>0</v>
      </c>
      <c r="BI480" s="324">
        <f t="shared" si="225"/>
        <v>0</v>
      </c>
      <c r="BJ480" s="324">
        <f t="shared" si="226"/>
        <v>0</v>
      </c>
      <c r="BK480" s="324">
        <f t="shared" si="227"/>
        <v>0</v>
      </c>
      <c r="BL480" s="324">
        <f t="shared" si="228"/>
        <v>0</v>
      </c>
      <c r="BM480" s="324">
        <f t="shared" si="229"/>
        <v>0</v>
      </c>
      <c r="BN480" s="324">
        <f t="shared" si="230"/>
        <v>0</v>
      </c>
      <c r="BO480" s="324">
        <f t="shared" si="231"/>
        <v>0</v>
      </c>
      <c r="BP480" s="324">
        <f t="shared" si="232"/>
        <v>0</v>
      </c>
      <c r="BQ480" s="324">
        <f t="shared" si="233"/>
        <v>0</v>
      </c>
      <c r="BR480" s="324">
        <f t="shared" si="234"/>
        <v>0</v>
      </c>
      <c r="BS480" s="324">
        <f t="shared" si="235"/>
        <v>0</v>
      </c>
      <c r="BT480" s="332">
        <f t="shared" si="236"/>
        <v>0</v>
      </c>
    </row>
    <row r="481" spans="1:72" ht="14.25">
      <c r="A481" s="297"/>
      <c r="B481" s="323"/>
      <c r="C481" s="323"/>
      <c r="D481" s="2215"/>
      <c r="E481" s="324">
        <f t="shared" si="208"/>
        <v>0</v>
      </c>
      <c r="F481" s="325"/>
      <c r="G481" s="326">
        <f t="shared" si="209"/>
        <v>0</v>
      </c>
      <c r="H481" s="327">
        <f t="shared" si="210"/>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11"/>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12"/>
        <v>0</v>
      </c>
      <c r="AW481" s="2210">
        <f t="shared" si="213"/>
        <v>0</v>
      </c>
      <c r="AX481" s="2210">
        <f t="shared" si="214"/>
        <v>0</v>
      </c>
      <c r="AY481" s="331">
        <f t="shared" si="215"/>
        <v>0</v>
      </c>
      <c r="AZ481" s="324">
        <f t="shared" si="216"/>
        <v>0</v>
      </c>
      <c r="BA481" s="324">
        <f t="shared" si="217"/>
        <v>0</v>
      </c>
      <c r="BB481" s="324">
        <f t="shared" si="218"/>
        <v>0</v>
      </c>
      <c r="BC481" s="324">
        <f t="shared" si="219"/>
        <v>0</v>
      </c>
      <c r="BD481" s="324">
        <f t="shared" si="220"/>
        <v>0</v>
      </c>
      <c r="BE481" s="324">
        <f t="shared" si="221"/>
        <v>0</v>
      </c>
      <c r="BF481" s="324">
        <f t="shared" si="222"/>
        <v>0</v>
      </c>
      <c r="BG481" s="324">
        <f t="shared" si="223"/>
        <v>0</v>
      </c>
      <c r="BH481" s="324">
        <f t="shared" si="224"/>
        <v>0</v>
      </c>
      <c r="BI481" s="324">
        <f t="shared" si="225"/>
        <v>0</v>
      </c>
      <c r="BJ481" s="324">
        <f t="shared" si="226"/>
        <v>0</v>
      </c>
      <c r="BK481" s="324">
        <f t="shared" si="227"/>
        <v>0</v>
      </c>
      <c r="BL481" s="324">
        <f t="shared" si="228"/>
        <v>0</v>
      </c>
      <c r="BM481" s="324">
        <f t="shared" si="229"/>
        <v>0</v>
      </c>
      <c r="BN481" s="324">
        <f t="shared" si="230"/>
        <v>0</v>
      </c>
      <c r="BO481" s="324">
        <f t="shared" si="231"/>
        <v>0</v>
      </c>
      <c r="BP481" s="324">
        <f t="shared" si="232"/>
        <v>0</v>
      </c>
      <c r="BQ481" s="324">
        <f t="shared" si="233"/>
        <v>0</v>
      </c>
      <c r="BR481" s="324">
        <f t="shared" si="234"/>
        <v>0</v>
      </c>
      <c r="BS481" s="324">
        <f t="shared" si="235"/>
        <v>0</v>
      </c>
      <c r="BT481" s="332">
        <f t="shared" si="236"/>
        <v>0</v>
      </c>
    </row>
    <row r="482" spans="1:72" ht="14.25">
      <c r="A482" s="297"/>
      <c r="B482" s="323"/>
      <c r="C482" s="323"/>
      <c r="D482" s="2215"/>
      <c r="E482" s="324">
        <f t="shared" si="208"/>
        <v>0</v>
      </c>
      <c r="F482" s="325"/>
      <c r="G482" s="326">
        <f t="shared" si="209"/>
        <v>0</v>
      </c>
      <c r="H482" s="327">
        <f t="shared" si="210"/>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11"/>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12"/>
        <v>0</v>
      </c>
      <c r="AW482" s="2210">
        <f t="shared" si="213"/>
        <v>0</v>
      </c>
      <c r="AX482" s="2210">
        <f t="shared" si="214"/>
        <v>0</v>
      </c>
      <c r="AY482" s="331">
        <f t="shared" si="215"/>
        <v>0</v>
      </c>
      <c r="AZ482" s="324">
        <f t="shared" si="216"/>
        <v>0</v>
      </c>
      <c r="BA482" s="324">
        <f t="shared" si="217"/>
        <v>0</v>
      </c>
      <c r="BB482" s="324">
        <f t="shared" si="218"/>
        <v>0</v>
      </c>
      <c r="BC482" s="324">
        <f t="shared" si="219"/>
        <v>0</v>
      </c>
      <c r="BD482" s="324">
        <f t="shared" si="220"/>
        <v>0</v>
      </c>
      <c r="BE482" s="324">
        <f t="shared" si="221"/>
        <v>0</v>
      </c>
      <c r="BF482" s="324">
        <f t="shared" si="222"/>
        <v>0</v>
      </c>
      <c r="BG482" s="324">
        <f t="shared" si="223"/>
        <v>0</v>
      </c>
      <c r="BH482" s="324">
        <f t="shared" si="224"/>
        <v>0</v>
      </c>
      <c r="BI482" s="324">
        <f t="shared" si="225"/>
        <v>0</v>
      </c>
      <c r="BJ482" s="324">
        <f t="shared" si="226"/>
        <v>0</v>
      </c>
      <c r="BK482" s="324">
        <f t="shared" si="227"/>
        <v>0</v>
      </c>
      <c r="BL482" s="324">
        <f t="shared" si="228"/>
        <v>0</v>
      </c>
      <c r="BM482" s="324">
        <f t="shared" si="229"/>
        <v>0</v>
      </c>
      <c r="BN482" s="324">
        <f t="shared" si="230"/>
        <v>0</v>
      </c>
      <c r="BO482" s="324">
        <f t="shared" si="231"/>
        <v>0</v>
      </c>
      <c r="BP482" s="324">
        <f t="shared" si="232"/>
        <v>0</v>
      </c>
      <c r="BQ482" s="324">
        <f t="shared" si="233"/>
        <v>0</v>
      </c>
      <c r="BR482" s="324">
        <f t="shared" si="234"/>
        <v>0</v>
      </c>
      <c r="BS482" s="324">
        <f t="shared" si="235"/>
        <v>0</v>
      </c>
      <c r="BT482" s="332">
        <f t="shared" si="236"/>
        <v>0</v>
      </c>
    </row>
    <row r="483" spans="1:72" ht="14.25">
      <c r="A483" s="297"/>
      <c r="B483" s="323"/>
      <c r="C483" s="323"/>
      <c r="D483" s="2215"/>
      <c r="E483" s="324">
        <f t="shared" si="208"/>
        <v>0</v>
      </c>
      <c r="F483" s="325"/>
      <c r="G483" s="326">
        <f t="shared" si="209"/>
        <v>0</v>
      </c>
      <c r="H483" s="327">
        <f t="shared" si="210"/>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11"/>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12"/>
        <v>0</v>
      </c>
      <c r="AW483" s="2210">
        <f t="shared" si="213"/>
        <v>0</v>
      </c>
      <c r="AX483" s="2210">
        <f t="shared" si="214"/>
        <v>0</v>
      </c>
      <c r="AY483" s="331">
        <f t="shared" si="215"/>
        <v>0</v>
      </c>
      <c r="AZ483" s="324">
        <f t="shared" si="216"/>
        <v>0</v>
      </c>
      <c r="BA483" s="324">
        <f t="shared" si="217"/>
        <v>0</v>
      </c>
      <c r="BB483" s="324">
        <f t="shared" si="218"/>
        <v>0</v>
      </c>
      <c r="BC483" s="324">
        <f t="shared" si="219"/>
        <v>0</v>
      </c>
      <c r="BD483" s="324">
        <f t="shared" si="220"/>
        <v>0</v>
      </c>
      <c r="BE483" s="324">
        <f t="shared" si="221"/>
        <v>0</v>
      </c>
      <c r="BF483" s="324">
        <f t="shared" si="222"/>
        <v>0</v>
      </c>
      <c r="BG483" s="324">
        <f t="shared" si="223"/>
        <v>0</v>
      </c>
      <c r="BH483" s="324">
        <f t="shared" si="224"/>
        <v>0</v>
      </c>
      <c r="BI483" s="324">
        <f t="shared" si="225"/>
        <v>0</v>
      </c>
      <c r="BJ483" s="324">
        <f t="shared" si="226"/>
        <v>0</v>
      </c>
      <c r="BK483" s="324">
        <f t="shared" si="227"/>
        <v>0</v>
      </c>
      <c r="BL483" s="324">
        <f t="shared" si="228"/>
        <v>0</v>
      </c>
      <c r="BM483" s="324">
        <f t="shared" si="229"/>
        <v>0</v>
      </c>
      <c r="BN483" s="324">
        <f t="shared" si="230"/>
        <v>0</v>
      </c>
      <c r="BO483" s="324">
        <f t="shared" si="231"/>
        <v>0</v>
      </c>
      <c r="BP483" s="324">
        <f t="shared" si="232"/>
        <v>0</v>
      </c>
      <c r="BQ483" s="324">
        <f t="shared" si="233"/>
        <v>0</v>
      </c>
      <c r="BR483" s="324">
        <f t="shared" si="234"/>
        <v>0</v>
      </c>
      <c r="BS483" s="324">
        <f t="shared" si="235"/>
        <v>0</v>
      </c>
      <c r="BT483" s="332">
        <f t="shared" si="236"/>
        <v>0</v>
      </c>
    </row>
    <row r="484" spans="1:72" ht="14.25">
      <c r="A484" s="297"/>
      <c r="B484" s="323"/>
      <c r="C484" s="323"/>
      <c r="D484" s="2215"/>
      <c r="E484" s="324">
        <f t="shared" si="208"/>
        <v>0</v>
      </c>
      <c r="F484" s="325"/>
      <c r="G484" s="326">
        <f t="shared" si="209"/>
        <v>0</v>
      </c>
      <c r="H484" s="327">
        <f t="shared" si="210"/>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11"/>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12"/>
        <v>0</v>
      </c>
      <c r="AW484" s="2210">
        <f t="shared" si="213"/>
        <v>0</v>
      </c>
      <c r="AX484" s="2210">
        <f t="shared" si="214"/>
        <v>0</v>
      </c>
      <c r="AY484" s="331">
        <f t="shared" si="215"/>
        <v>0</v>
      </c>
      <c r="AZ484" s="324">
        <f t="shared" si="216"/>
        <v>0</v>
      </c>
      <c r="BA484" s="324">
        <f t="shared" si="217"/>
        <v>0</v>
      </c>
      <c r="BB484" s="324">
        <f t="shared" si="218"/>
        <v>0</v>
      </c>
      <c r="BC484" s="324">
        <f t="shared" si="219"/>
        <v>0</v>
      </c>
      <c r="BD484" s="324">
        <f t="shared" si="220"/>
        <v>0</v>
      </c>
      <c r="BE484" s="324">
        <f t="shared" si="221"/>
        <v>0</v>
      </c>
      <c r="BF484" s="324">
        <f t="shared" si="222"/>
        <v>0</v>
      </c>
      <c r="BG484" s="324">
        <f t="shared" si="223"/>
        <v>0</v>
      </c>
      <c r="BH484" s="324">
        <f t="shared" si="224"/>
        <v>0</v>
      </c>
      <c r="BI484" s="324">
        <f t="shared" si="225"/>
        <v>0</v>
      </c>
      <c r="BJ484" s="324">
        <f t="shared" si="226"/>
        <v>0</v>
      </c>
      <c r="BK484" s="324">
        <f t="shared" si="227"/>
        <v>0</v>
      </c>
      <c r="BL484" s="324">
        <f t="shared" si="228"/>
        <v>0</v>
      </c>
      <c r="BM484" s="324">
        <f t="shared" si="229"/>
        <v>0</v>
      </c>
      <c r="BN484" s="324">
        <f t="shared" si="230"/>
        <v>0</v>
      </c>
      <c r="BO484" s="324">
        <f t="shared" si="231"/>
        <v>0</v>
      </c>
      <c r="BP484" s="324">
        <f t="shared" si="232"/>
        <v>0</v>
      </c>
      <c r="BQ484" s="324">
        <f t="shared" si="233"/>
        <v>0</v>
      </c>
      <c r="BR484" s="324">
        <f t="shared" si="234"/>
        <v>0</v>
      </c>
      <c r="BS484" s="324">
        <f t="shared" si="235"/>
        <v>0</v>
      </c>
      <c r="BT484" s="332">
        <f t="shared" si="236"/>
        <v>0</v>
      </c>
    </row>
    <row r="485" spans="1:72" ht="14.25">
      <c r="A485" s="297"/>
      <c r="B485" s="323"/>
      <c r="C485" s="323"/>
      <c r="D485" s="2215"/>
      <c r="E485" s="324">
        <f t="shared" si="208"/>
        <v>0</v>
      </c>
      <c r="F485" s="325"/>
      <c r="G485" s="326">
        <f t="shared" si="209"/>
        <v>0</v>
      </c>
      <c r="H485" s="327">
        <f t="shared" si="210"/>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11"/>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12"/>
        <v>0</v>
      </c>
      <c r="AW485" s="2210">
        <f t="shared" si="213"/>
        <v>0</v>
      </c>
      <c r="AX485" s="2210">
        <f t="shared" si="214"/>
        <v>0</v>
      </c>
      <c r="AY485" s="331">
        <f t="shared" si="215"/>
        <v>0</v>
      </c>
      <c r="AZ485" s="324">
        <f t="shared" si="216"/>
        <v>0</v>
      </c>
      <c r="BA485" s="324">
        <f t="shared" si="217"/>
        <v>0</v>
      </c>
      <c r="BB485" s="324">
        <f t="shared" si="218"/>
        <v>0</v>
      </c>
      <c r="BC485" s="324">
        <f t="shared" si="219"/>
        <v>0</v>
      </c>
      <c r="BD485" s="324">
        <f t="shared" si="220"/>
        <v>0</v>
      </c>
      <c r="BE485" s="324">
        <f t="shared" si="221"/>
        <v>0</v>
      </c>
      <c r="BF485" s="324">
        <f t="shared" si="222"/>
        <v>0</v>
      </c>
      <c r="BG485" s="324">
        <f t="shared" si="223"/>
        <v>0</v>
      </c>
      <c r="BH485" s="324">
        <f t="shared" si="224"/>
        <v>0</v>
      </c>
      <c r="BI485" s="324">
        <f t="shared" si="225"/>
        <v>0</v>
      </c>
      <c r="BJ485" s="324">
        <f t="shared" si="226"/>
        <v>0</v>
      </c>
      <c r="BK485" s="324">
        <f t="shared" si="227"/>
        <v>0</v>
      </c>
      <c r="BL485" s="324">
        <f t="shared" si="228"/>
        <v>0</v>
      </c>
      <c r="BM485" s="324">
        <f t="shared" si="229"/>
        <v>0</v>
      </c>
      <c r="BN485" s="324">
        <f t="shared" si="230"/>
        <v>0</v>
      </c>
      <c r="BO485" s="324">
        <f t="shared" si="231"/>
        <v>0</v>
      </c>
      <c r="BP485" s="324">
        <f t="shared" si="232"/>
        <v>0</v>
      </c>
      <c r="BQ485" s="324">
        <f t="shared" si="233"/>
        <v>0</v>
      </c>
      <c r="BR485" s="324">
        <f t="shared" si="234"/>
        <v>0</v>
      </c>
      <c r="BS485" s="324">
        <f t="shared" si="235"/>
        <v>0</v>
      </c>
      <c r="BT485" s="332">
        <f t="shared" si="236"/>
        <v>0</v>
      </c>
    </row>
    <row r="486" spans="1:72" ht="14.25">
      <c r="A486" s="297"/>
      <c r="B486" s="323"/>
      <c r="C486" s="323"/>
      <c r="D486" s="2215"/>
      <c r="E486" s="324">
        <f t="shared" si="208"/>
        <v>0</v>
      </c>
      <c r="F486" s="325"/>
      <c r="G486" s="326">
        <f t="shared" si="209"/>
        <v>0</v>
      </c>
      <c r="H486" s="327">
        <f t="shared" si="210"/>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11"/>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12"/>
        <v>0</v>
      </c>
      <c r="AW486" s="2210">
        <f t="shared" si="213"/>
        <v>0</v>
      </c>
      <c r="AX486" s="2210">
        <f t="shared" si="214"/>
        <v>0</v>
      </c>
      <c r="AY486" s="331">
        <f t="shared" si="215"/>
        <v>0</v>
      </c>
      <c r="AZ486" s="324">
        <f t="shared" si="216"/>
        <v>0</v>
      </c>
      <c r="BA486" s="324">
        <f t="shared" si="217"/>
        <v>0</v>
      </c>
      <c r="BB486" s="324">
        <f t="shared" si="218"/>
        <v>0</v>
      </c>
      <c r="BC486" s="324">
        <f t="shared" si="219"/>
        <v>0</v>
      </c>
      <c r="BD486" s="324">
        <f t="shared" si="220"/>
        <v>0</v>
      </c>
      <c r="BE486" s="324">
        <f t="shared" si="221"/>
        <v>0</v>
      </c>
      <c r="BF486" s="324">
        <f t="shared" si="222"/>
        <v>0</v>
      </c>
      <c r="BG486" s="324">
        <f t="shared" si="223"/>
        <v>0</v>
      </c>
      <c r="BH486" s="324">
        <f t="shared" si="224"/>
        <v>0</v>
      </c>
      <c r="BI486" s="324">
        <f t="shared" si="225"/>
        <v>0</v>
      </c>
      <c r="BJ486" s="324">
        <f t="shared" si="226"/>
        <v>0</v>
      </c>
      <c r="BK486" s="324">
        <f t="shared" si="227"/>
        <v>0</v>
      </c>
      <c r="BL486" s="324">
        <f t="shared" si="228"/>
        <v>0</v>
      </c>
      <c r="BM486" s="324">
        <f t="shared" si="229"/>
        <v>0</v>
      </c>
      <c r="BN486" s="324">
        <f t="shared" si="230"/>
        <v>0</v>
      </c>
      <c r="BO486" s="324">
        <f t="shared" si="231"/>
        <v>0</v>
      </c>
      <c r="BP486" s="324">
        <f t="shared" si="232"/>
        <v>0</v>
      </c>
      <c r="BQ486" s="324">
        <f t="shared" si="233"/>
        <v>0</v>
      </c>
      <c r="BR486" s="324">
        <f t="shared" si="234"/>
        <v>0</v>
      </c>
      <c r="BS486" s="324">
        <f t="shared" si="235"/>
        <v>0</v>
      </c>
      <c r="BT486" s="332">
        <f t="shared" si="236"/>
        <v>0</v>
      </c>
    </row>
    <row r="487" spans="1:72" ht="14.25">
      <c r="A487" s="297"/>
      <c r="B487" s="323"/>
      <c r="C487" s="323"/>
      <c r="D487" s="2215"/>
      <c r="E487" s="324">
        <f t="shared" si="208"/>
        <v>0</v>
      </c>
      <c r="F487" s="325"/>
      <c r="G487" s="326">
        <f t="shared" si="209"/>
        <v>0</v>
      </c>
      <c r="H487" s="327">
        <f t="shared" si="210"/>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11"/>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12"/>
        <v>0</v>
      </c>
      <c r="AW487" s="2210">
        <f t="shared" si="213"/>
        <v>0</v>
      </c>
      <c r="AX487" s="2210">
        <f t="shared" si="214"/>
        <v>0</v>
      </c>
      <c r="AY487" s="331">
        <f t="shared" si="215"/>
        <v>0</v>
      </c>
      <c r="AZ487" s="324">
        <f t="shared" si="216"/>
        <v>0</v>
      </c>
      <c r="BA487" s="324">
        <f t="shared" si="217"/>
        <v>0</v>
      </c>
      <c r="BB487" s="324">
        <f t="shared" si="218"/>
        <v>0</v>
      </c>
      <c r="BC487" s="324">
        <f t="shared" si="219"/>
        <v>0</v>
      </c>
      <c r="BD487" s="324">
        <f t="shared" si="220"/>
        <v>0</v>
      </c>
      <c r="BE487" s="324">
        <f t="shared" si="221"/>
        <v>0</v>
      </c>
      <c r="BF487" s="324">
        <f t="shared" si="222"/>
        <v>0</v>
      </c>
      <c r="BG487" s="324">
        <f t="shared" si="223"/>
        <v>0</v>
      </c>
      <c r="BH487" s="324">
        <f t="shared" si="224"/>
        <v>0</v>
      </c>
      <c r="BI487" s="324">
        <f t="shared" si="225"/>
        <v>0</v>
      </c>
      <c r="BJ487" s="324">
        <f t="shared" si="226"/>
        <v>0</v>
      </c>
      <c r="BK487" s="324">
        <f t="shared" si="227"/>
        <v>0</v>
      </c>
      <c r="BL487" s="324">
        <f t="shared" si="228"/>
        <v>0</v>
      </c>
      <c r="BM487" s="324">
        <f t="shared" si="229"/>
        <v>0</v>
      </c>
      <c r="BN487" s="324">
        <f t="shared" si="230"/>
        <v>0</v>
      </c>
      <c r="BO487" s="324">
        <f t="shared" si="231"/>
        <v>0</v>
      </c>
      <c r="BP487" s="324">
        <f t="shared" si="232"/>
        <v>0</v>
      </c>
      <c r="BQ487" s="324">
        <f t="shared" si="233"/>
        <v>0</v>
      </c>
      <c r="BR487" s="324">
        <f t="shared" si="234"/>
        <v>0</v>
      </c>
      <c r="BS487" s="324">
        <f t="shared" si="235"/>
        <v>0</v>
      </c>
      <c r="BT487" s="332">
        <f t="shared" si="236"/>
        <v>0</v>
      </c>
    </row>
    <row r="488" spans="1:72" ht="14.25">
      <c r="A488" s="297"/>
      <c r="B488" s="323"/>
      <c r="C488" s="323"/>
      <c r="D488" s="2215"/>
      <c r="E488" s="324">
        <f t="shared" si="208"/>
        <v>0</v>
      </c>
      <c r="F488" s="325"/>
      <c r="G488" s="326">
        <f t="shared" si="209"/>
        <v>0</v>
      </c>
      <c r="H488" s="327">
        <f t="shared" si="210"/>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11"/>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12"/>
        <v>0</v>
      </c>
      <c r="AW488" s="2210">
        <f t="shared" si="213"/>
        <v>0</v>
      </c>
      <c r="AX488" s="2210">
        <f t="shared" si="214"/>
        <v>0</v>
      </c>
      <c r="AY488" s="331">
        <f t="shared" si="215"/>
        <v>0</v>
      </c>
      <c r="AZ488" s="324">
        <f t="shared" si="216"/>
        <v>0</v>
      </c>
      <c r="BA488" s="324">
        <f t="shared" si="217"/>
        <v>0</v>
      </c>
      <c r="BB488" s="324">
        <f t="shared" si="218"/>
        <v>0</v>
      </c>
      <c r="BC488" s="324">
        <f t="shared" si="219"/>
        <v>0</v>
      </c>
      <c r="BD488" s="324">
        <f t="shared" si="220"/>
        <v>0</v>
      </c>
      <c r="BE488" s="324">
        <f t="shared" si="221"/>
        <v>0</v>
      </c>
      <c r="BF488" s="324">
        <f t="shared" si="222"/>
        <v>0</v>
      </c>
      <c r="BG488" s="324">
        <f t="shared" si="223"/>
        <v>0</v>
      </c>
      <c r="BH488" s="324">
        <f t="shared" si="224"/>
        <v>0</v>
      </c>
      <c r="BI488" s="324">
        <f t="shared" si="225"/>
        <v>0</v>
      </c>
      <c r="BJ488" s="324">
        <f t="shared" si="226"/>
        <v>0</v>
      </c>
      <c r="BK488" s="324">
        <f t="shared" si="227"/>
        <v>0</v>
      </c>
      <c r="BL488" s="324">
        <f t="shared" si="228"/>
        <v>0</v>
      </c>
      <c r="BM488" s="324">
        <f t="shared" si="229"/>
        <v>0</v>
      </c>
      <c r="BN488" s="324">
        <f t="shared" si="230"/>
        <v>0</v>
      </c>
      <c r="BO488" s="324">
        <f t="shared" si="231"/>
        <v>0</v>
      </c>
      <c r="BP488" s="324">
        <f t="shared" si="232"/>
        <v>0</v>
      </c>
      <c r="BQ488" s="324">
        <f t="shared" si="233"/>
        <v>0</v>
      </c>
      <c r="BR488" s="324">
        <f t="shared" si="234"/>
        <v>0</v>
      </c>
      <c r="BS488" s="324">
        <f t="shared" si="235"/>
        <v>0</v>
      </c>
      <c r="BT488" s="332">
        <f t="shared" si="236"/>
        <v>0</v>
      </c>
    </row>
    <row r="489" spans="1:72" ht="14.25">
      <c r="A489" s="297"/>
      <c r="B489" s="323"/>
      <c r="C489" s="323"/>
      <c r="D489" s="2215"/>
      <c r="E489" s="324">
        <f t="shared" si="208"/>
        <v>0</v>
      </c>
      <c r="F489" s="325"/>
      <c r="G489" s="326">
        <f t="shared" si="209"/>
        <v>0</v>
      </c>
      <c r="H489" s="327">
        <f t="shared" si="210"/>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11"/>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12"/>
        <v>0</v>
      </c>
      <c r="AW489" s="2210">
        <f t="shared" si="213"/>
        <v>0</v>
      </c>
      <c r="AX489" s="2210">
        <f t="shared" si="214"/>
        <v>0</v>
      </c>
      <c r="AY489" s="331">
        <f t="shared" si="215"/>
        <v>0</v>
      </c>
      <c r="AZ489" s="324">
        <f t="shared" si="216"/>
        <v>0</v>
      </c>
      <c r="BA489" s="324">
        <f t="shared" si="217"/>
        <v>0</v>
      </c>
      <c r="BB489" s="324">
        <f t="shared" si="218"/>
        <v>0</v>
      </c>
      <c r="BC489" s="324">
        <f t="shared" si="219"/>
        <v>0</v>
      </c>
      <c r="BD489" s="324">
        <f t="shared" si="220"/>
        <v>0</v>
      </c>
      <c r="BE489" s="324">
        <f t="shared" si="221"/>
        <v>0</v>
      </c>
      <c r="BF489" s="324">
        <f t="shared" si="222"/>
        <v>0</v>
      </c>
      <c r="BG489" s="324">
        <f t="shared" si="223"/>
        <v>0</v>
      </c>
      <c r="BH489" s="324">
        <f t="shared" si="224"/>
        <v>0</v>
      </c>
      <c r="BI489" s="324">
        <f t="shared" si="225"/>
        <v>0</v>
      </c>
      <c r="BJ489" s="324">
        <f t="shared" si="226"/>
        <v>0</v>
      </c>
      <c r="BK489" s="324">
        <f t="shared" si="227"/>
        <v>0</v>
      </c>
      <c r="BL489" s="324">
        <f t="shared" si="228"/>
        <v>0</v>
      </c>
      <c r="BM489" s="324">
        <f t="shared" si="229"/>
        <v>0</v>
      </c>
      <c r="BN489" s="324">
        <f t="shared" si="230"/>
        <v>0</v>
      </c>
      <c r="BO489" s="324">
        <f t="shared" si="231"/>
        <v>0</v>
      </c>
      <c r="BP489" s="324">
        <f t="shared" si="232"/>
        <v>0</v>
      </c>
      <c r="BQ489" s="324">
        <f t="shared" si="233"/>
        <v>0</v>
      </c>
      <c r="BR489" s="324">
        <f t="shared" si="234"/>
        <v>0</v>
      </c>
      <c r="BS489" s="324">
        <f t="shared" si="235"/>
        <v>0</v>
      </c>
      <c r="BT489" s="332">
        <f t="shared" si="236"/>
        <v>0</v>
      </c>
    </row>
    <row r="490" spans="1:72" ht="14.25">
      <c r="A490" s="297"/>
      <c r="B490" s="297"/>
      <c r="C490" s="297"/>
      <c r="D490" s="2215"/>
      <c r="E490" s="324">
        <f t="shared" si="208"/>
        <v>0</v>
      </c>
      <c r="F490" s="333"/>
      <c r="G490" s="326">
        <f t="shared" si="209"/>
        <v>0</v>
      </c>
      <c r="H490" s="327">
        <f t="shared" si="210"/>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si="211"/>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12"/>
        <v>0</v>
      </c>
      <c r="AW490" s="2210">
        <f t="shared" si="213"/>
        <v>0</v>
      </c>
      <c r="AX490" s="2210">
        <f t="shared" si="214"/>
        <v>0</v>
      </c>
      <c r="AY490" s="331">
        <f t="shared" si="215"/>
        <v>0</v>
      </c>
      <c r="AZ490" s="324">
        <f t="shared" si="216"/>
        <v>0</v>
      </c>
      <c r="BA490" s="324">
        <f t="shared" si="217"/>
        <v>0</v>
      </c>
      <c r="BB490" s="324">
        <f t="shared" si="218"/>
        <v>0</v>
      </c>
      <c r="BC490" s="324">
        <f t="shared" si="219"/>
        <v>0</v>
      </c>
      <c r="BD490" s="324">
        <f t="shared" si="220"/>
        <v>0</v>
      </c>
      <c r="BE490" s="324">
        <f t="shared" si="221"/>
        <v>0</v>
      </c>
      <c r="BF490" s="324">
        <f t="shared" si="222"/>
        <v>0</v>
      </c>
      <c r="BG490" s="324">
        <f t="shared" si="223"/>
        <v>0</v>
      </c>
      <c r="BH490" s="324">
        <f t="shared" si="224"/>
        <v>0</v>
      </c>
      <c r="BI490" s="324">
        <f t="shared" si="225"/>
        <v>0</v>
      </c>
      <c r="BJ490" s="324">
        <f t="shared" si="226"/>
        <v>0</v>
      </c>
      <c r="BK490" s="324">
        <f t="shared" si="227"/>
        <v>0</v>
      </c>
      <c r="BL490" s="324">
        <f t="shared" si="228"/>
        <v>0</v>
      </c>
      <c r="BM490" s="324">
        <f t="shared" si="229"/>
        <v>0</v>
      </c>
      <c r="BN490" s="324">
        <f t="shared" si="230"/>
        <v>0</v>
      </c>
      <c r="BO490" s="324">
        <f t="shared" si="231"/>
        <v>0</v>
      </c>
      <c r="BP490" s="324">
        <f t="shared" si="232"/>
        <v>0</v>
      </c>
      <c r="BQ490" s="324">
        <f t="shared" si="233"/>
        <v>0</v>
      </c>
      <c r="BR490" s="324">
        <f t="shared" si="234"/>
        <v>0</v>
      </c>
      <c r="BS490" s="324">
        <f t="shared" si="235"/>
        <v>0</v>
      </c>
      <c r="BT490" s="332">
        <f t="shared" si="236"/>
        <v>0</v>
      </c>
    </row>
    <row r="491" spans="1:72" ht="14.25">
      <c r="A491" s="297"/>
      <c r="B491" s="297"/>
      <c r="C491" s="297"/>
      <c r="D491" s="2215"/>
      <c r="E491" s="324">
        <f t="shared" si="208"/>
        <v>0</v>
      </c>
      <c r="F491" s="333"/>
      <c r="G491" s="326">
        <f t="shared" si="209"/>
        <v>0</v>
      </c>
      <c r="H491" s="327">
        <f t="shared" si="210"/>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11"/>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12"/>
        <v>0</v>
      </c>
      <c r="AW491" s="2210">
        <f t="shared" si="213"/>
        <v>0</v>
      </c>
      <c r="AX491" s="2210">
        <f t="shared" si="214"/>
        <v>0</v>
      </c>
      <c r="AY491" s="331">
        <f t="shared" si="215"/>
        <v>0</v>
      </c>
      <c r="AZ491" s="324">
        <f t="shared" si="216"/>
        <v>0</v>
      </c>
      <c r="BA491" s="324">
        <f t="shared" si="217"/>
        <v>0</v>
      </c>
      <c r="BB491" s="324">
        <f t="shared" si="218"/>
        <v>0</v>
      </c>
      <c r="BC491" s="324">
        <f t="shared" si="219"/>
        <v>0</v>
      </c>
      <c r="BD491" s="324">
        <f t="shared" si="220"/>
        <v>0</v>
      </c>
      <c r="BE491" s="324">
        <f t="shared" si="221"/>
        <v>0</v>
      </c>
      <c r="BF491" s="324">
        <f t="shared" si="222"/>
        <v>0</v>
      </c>
      <c r="BG491" s="324">
        <f t="shared" si="223"/>
        <v>0</v>
      </c>
      <c r="BH491" s="324">
        <f t="shared" si="224"/>
        <v>0</v>
      </c>
      <c r="BI491" s="324">
        <f t="shared" si="225"/>
        <v>0</v>
      </c>
      <c r="BJ491" s="324">
        <f t="shared" si="226"/>
        <v>0</v>
      </c>
      <c r="BK491" s="324">
        <f t="shared" si="227"/>
        <v>0</v>
      </c>
      <c r="BL491" s="324">
        <f t="shared" si="228"/>
        <v>0</v>
      </c>
      <c r="BM491" s="324">
        <f t="shared" si="229"/>
        <v>0</v>
      </c>
      <c r="BN491" s="324">
        <f t="shared" si="230"/>
        <v>0</v>
      </c>
      <c r="BO491" s="324">
        <f t="shared" si="231"/>
        <v>0</v>
      </c>
      <c r="BP491" s="324">
        <f t="shared" si="232"/>
        <v>0</v>
      </c>
      <c r="BQ491" s="324">
        <f t="shared" si="233"/>
        <v>0</v>
      </c>
      <c r="BR491" s="324">
        <f t="shared" si="234"/>
        <v>0</v>
      </c>
      <c r="BS491" s="324">
        <f t="shared" si="235"/>
        <v>0</v>
      </c>
      <c r="BT491" s="332">
        <f t="shared" si="236"/>
        <v>0</v>
      </c>
    </row>
    <row r="492" spans="1:72" ht="14.25">
      <c r="A492" s="297"/>
      <c r="B492" s="297"/>
      <c r="C492" s="297"/>
      <c r="D492" s="2215"/>
      <c r="E492" s="324">
        <f t="shared" si="208"/>
        <v>0</v>
      </c>
      <c r="F492" s="333"/>
      <c r="G492" s="326">
        <f t="shared" si="209"/>
        <v>0</v>
      </c>
      <c r="H492" s="327">
        <f t="shared" si="210"/>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11"/>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12"/>
        <v>0</v>
      </c>
      <c r="AW492" s="2210">
        <f t="shared" si="213"/>
        <v>0</v>
      </c>
      <c r="AX492" s="2210">
        <f t="shared" si="214"/>
        <v>0</v>
      </c>
      <c r="AY492" s="331">
        <f t="shared" si="215"/>
        <v>0</v>
      </c>
      <c r="AZ492" s="324">
        <f t="shared" si="216"/>
        <v>0</v>
      </c>
      <c r="BA492" s="324">
        <f t="shared" si="217"/>
        <v>0</v>
      </c>
      <c r="BB492" s="324">
        <f t="shared" si="218"/>
        <v>0</v>
      </c>
      <c r="BC492" s="324">
        <f t="shared" si="219"/>
        <v>0</v>
      </c>
      <c r="BD492" s="324">
        <f t="shared" si="220"/>
        <v>0</v>
      </c>
      <c r="BE492" s="324">
        <f t="shared" si="221"/>
        <v>0</v>
      </c>
      <c r="BF492" s="324">
        <f t="shared" si="222"/>
        <v>0</v>
      </c>
      <c r="BG492" s="324">
        <f t="shared" si="223"/>
        <v>0</v>
      </c>
      <c r="BH492" s="324">
        <f t="shared" si="224"/>
        <v>0</v>
      </c>
      <c r="BI492" s="324">
        <f t="shared" si="225"/>
        <v>0</v>
      </c>
      <c r="BJ492" s="324">
        <f t="shared" si="226"/>
        <v>0</v>
      </c>
      <c r="BK492" s="324">
        <f t="shared" si="227"/>
        <v>0</v>
      </c>
      <c r="BL492" s="324">
        <f t="shared" si="228"/>
        <v>0</v>
      </c>
      <c r="BM492" s="324">
        <f t="shared" si="229"/>
        <v>0</v>
      </c>
      <c r="BN492" s="324">
        <f t="shared" si="230"/>
        <v>0</v>
      </c>
      <c r="BO492" s="324">
        <f t="shared" si="231"/>
        <v>0</v>
      </c>
      <c r="BP492" s="324">
        <f t="shared" si="232"/>
        <v>0</v>
      </c>
      <c r="BQ492" s="324">
        <f t="shared" si="233"/>
        <v>0</v>
      </c>
      <c r="BR492" s="324">
        <f t="shared" si="234"/>
        <v>0</v>
      </c>
      <c r="BS492" s="324">
        <f t="shared" si="235"/>
        <v>0</v>
      </c>
      <c r="BT492" s="332">
        <f t="shared" si="236"/>
        <v>0</v>
      </c>
    </row>
    <row r="493" spans="1:72" ht="14.25">
      <c r="A493" s="297"/>
      <c r="B493" s="323"/>
      <c r="C493" s="323"/>
      <c r="D493" s="3"/>
      <c r="E493" s="324">
        <f t="shared" si="208"/>
        <v>0</v>
      </c>
      <c r="F493" s="325"/>
      <c r="G493" s="326">
        <f t="shared" si="209"/>
        <v>0</v>
      </c>
      <c r="H493" s="327">
        <f t="shared" si="210"/>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11"/>
        <v>0</v>
      </c>
      <c r="AD493" s="329"/>
      <c r="AE493" s="329"/>
      <c r="AF493" s="329"/>
      <c r="AG493" s="329"/>
      <c r="AH493" s="329"/>
      <c r="AI493" s="329"/>
      <c r="AJ493" s="329"/>
      <c r="AK493" s="329"/>
      <c r="AL493" s="329"/>
      <c r="AM493" s="329"/>
      <c r="AN493" s="329"/>
      <c r="AO493" s="329"/>
      <c r="AP493" s="329"/>
      <c r="AQ493" s="329"/>
      <c r="AR493" s="329"/>
      <c r="AS493" s="329"/>
      <c r="AT493" s="330"/>
      <c r="AU493" s="8"/>
      <c r="AV493" s="7">
        <f t="shared" si="212"/>
        <v>0</v>
      </c>
      <c r="AW493" s="7">
        <f t="shared" si="213"/>
        <v>0</v>
      </c>
      <c r="AX493" s="7">
        <f t="shared" si="214"/>
        <v>0</v>
      </c>
      <c r="AY493" s="331">
        <f t="shared" si="215"/>
        <v>0</v>
      </c>
      <c r="AZ493" s="324">
        <f t="shared" si="216"/>
        <v>0</v>
      </c>
      <c r="BA493" s="324">
        <f t="shared" si="217"/>
        <v>0</v>
      </c>
      <c r="BB493" s="324">
        <f t="shared" si="218"/>
        <v>0</v>
      </c>
      <c r="BC493" s="324">
        <f t="shared" si="219"/>
        <v>0</v>
      </c>
      <c r="BD493" s="324">
        <f t="shared" si="220"/>
        <v>0</v>
      </c>
      <c r="BE493" s="324">
        <f t="shared" si="221"/>
        <v>0</v>
      </c>
      <c r="BF493" s="324">
        <f t="shared" si="222"/>
        <v>0</v>
      </c>
      <c r="BG493" s="324">
        <f t="shared" si="223"/>
        <v>0</v>
      </c>
      <c r="BH493" s="324">
        <f t="shared" si="224"/>
        <v>0</v>
      </c>
      <c r="BI493" s="324">
        <f t="shared" si="225"/>
        <v>0</v>
      </c>
      <c r="BJ493" s="324">
        <f t="shared" si="226"/>
        <v>0</v>
      </c>
      <c r="BK493" s="324">
        <f t="shared" si="227"/>
        <v>0</v>
      </c>
      <c r="BL493" s="324">
        <f t="shared" si="228"/>
        <v>0</v>
      </c>
      <c r="BM493" s="324">
        <f t="shared" si="229"/>
        <v>0</v>
      </c>
      <c r="BN493" s="324">
        <f t="shared" si="230"/>
        <v>0</v>
      </c>
      <c r="BO493" s="324">
        <f t="shared" si="231"/>
        <v>0</v>
      </c>
      <c r="BP493" s="324">
        <f t="shared" si="232"/>
        <v>0</v>
      </c>
      <c r="BQ493" s="324">
        <f t="shared" si="233"/>
        <v>0</v>
      </c>
      <c r="BR493" s="324">
        <f t="shared" si="234"/>
        <v>0</v>
      </c>
      <c r="BS493" s="324">
        <f t="shared" si="235"/>
        <v>0</v>
      </c>
      <c r="BT493" s="332">
        <f t="shared" si="236"/>
        <v>0</v>
      </c>
    </row>
    <row r="494" spans="1:72" ht="14.25">
      <c r="A494" s="297"/>
      <c r="B494" s="323"/>
      <c r="C494" s="323"/>
      <c r="D494" s="3"/>
      <c r="E494" s="324">
        <f t="shared" si="208"/>
        <v>0</v>
      </c>
      <c r="F494" s="325"/>
      <c r="G494" s="326">
        <f t="shared" si="209"/>
        <v>0</v>
      </c>
      <c r="H494" s="327">
        <f t="shared" si="210"/>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11"/>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12"/>
        <v>0</v>
      </c>
      <c r="AW494" s="7">
        <f t="shared" si="213"/>
        <v>0</v>
      </c>
      <c r="AX494" s="7">
        <f t="shared" si="214"/>
        <v>0</v>
      </c>
      <c r="AY494" s="331">
        <f t="shared" si="215"/>
        <v>0</v>
      </c>
      <c r="AZ494" s="324">
        <f t="shared" si="216"/>
        <v>0</v>
      </c>
      <c r="BA494" s="324">
        <f t="shared" si="217"/>
        <v>0</v>
      </c>
      <c r="BB494" s="324">
        <f t="shared" si="218"/>
        <v>0</v>
      </c>
      <c r="BC494" s="324">
        <f t="shared" si="219"/>
        <v>0</v>
      </c>
      <c r="BD494" s="324">
        <f t="shared" si="220"/>
        <v>0</v>
      </c>
      <c r="BE494" s="324">
        <f t="shared" si="221"/>
        <v>0</v>
      </c>
      <c r="BF494" s="324">
        <f t="shared" si="222"/>
        <v>0</v>
      </c>
      <c r="BG494" s="324">
        <f t="shared" si="223"/>
        <v>0</v>
      </c>
      <c r="BH494" s="324">
        <f t="shared" si="224"/>
        <v>0</v>
      </c>
      <c r="BI494" s="324">
        <f t="shared" si="225"/>
        <v>0</v>
      </c>
      <c r="BJ494" s="324">
        <f t="shared" si="226"/>
        <v>0</v>
      </c>
      <c r="BK494" s="324">
        <f t="shared" si="227"/>
        <v>0</v>
      </c>
      <c r="BL494" s="324">
        <f t="shared" si="228"/>
        <v>0</v>
      </c>
      <c r="BM494" s="324">
        <f t="shared" si="229"/>
        <v>0</v>
      </c>
      <c r="BN494" s="324">
        <f t="shared" si="230"/>
        <v>0</v>
      </c>
      <c r="BO494" s="324">
        <f t="shared" si="231"/>
        <v>0</v>
      </c>
      <c r="BP494" s="324">
        <f t="shared" si="232"/>
        <v>0</v>
      </c>
      <c r="BQ494" s="324">
        <f t="shared" si="233"/>
        <v>0</v>
      </c>
      <c r="BR494" s="324">
        <f t="shared" si="234"/>
        <v>0</v>
      </c>
      <c r="BS494" s="324">
        <f t="shared" si="235"/>
        <v>0</v>
      </c>
      <c r="BT494" s="332">
        <f t="shared" si="236"/>
        <v>0</v>
      </c>
    </row>
    <row r="495" spans="1:72" ht="14.25">
      <c r="A495" s="297"/>
      <c r="B495" s="323"/>
      <c r="C495" s="323"/>
      <c r="D495" s="3"/>
      <c r="E495" s="324">
        <f t="shared" si="208"/>
        <v>0</v>
      </c>
      <c r="F495" s="325"/>
      <c r="G495" s="326">
        <f t="shared" si="209"/>
        <v>0</v>
      </c>
      <c r="H495" s="327">
        <f t="shared" si="210"/>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11"/>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12"/>
        <v>0</v>
      </c>
      <c r="AW495" s="7">
        <f t="shared" si="213"/>
        <v>0</v>
      </c>
      <c r="AX495" s="7">
        <f t="shared" si="214"/>
        <v>0</v>
      </c>
      <c r="AY495" s="331">
        <f t="shared" si="215"/>
        <v>0</v>
      </c>
      <c r="AZ495" s="324">
        <f t="shared" si="216"/>
        <v>0</v>
      </c>
      <c r="BA495" s="324">
        <f t="shared" si="217"/>
        <v>0</v>
      </c>
      <c r="BB495" s="324">
        <f t="shared" si="218"/>
        <v>0</v>
      </c>
      <c r="BC495" s="324">
        <f t="shared" si="219"/>
        <v>0</v>
      </c>
      <c r="BD495" s="324">
        <f t="shared" si="220"/>
        <v>0</v>
      </c>
      <c r="BE495" s="324">
        <f t="shared" si="221"/>
        <v>0</v>
      </c>
      <c r="BF495" s="324">
        <f t="shared" si="222"/>
        <v>0</v>
      </c>
      <c r="BG495" s="324">
        <f t="shared" si="223"/>
        <v>0</v>
      </c>
      <c r="BH495" s="324">
        <f t="shared" si="224"/>
        <v>0</v>
      </c>
      <c r="BI495" s="324">
        <f t="shared" si="225"/>
        <v>0</v>
      </c>
      <c r="BJ495" s="324">
        <f t="shared" si="226"/>
        <v>0</v>
      </c>
      <c r="BK495" s="324">
        <f t="shared" si="227"/>
        <v>0</v>
      </c>
      <c r="BL495" s="324">
        <f t="shared" si="228"/>
        <v>0</v>
      </c>
      <c r="BM495" s="324">
        <f t="shared" si="229"/>
        <v>0</v>
      </c>
      <c r="BN495" s="324">
        <f t="shared" si="230"/>
        <v>0</v>
      </c>
      <c r="BO495" s="324">
        <f t="shared" si="231"/>
        <v>0</v>
      </c>
      <c r="BP495" s="324">
        <f t="shared" si="232"/>
        <v>0</v>
      </c>
      <c r="BQ495" s="324">
        <f t="shared" si="233"/>
        <v>0</v>
      </c>
      <c r="BR495" s="324">
        <f t="shared" si="234"/>
        <v>0</v>
      </c>
      <c r="BS495" s="324">
        <f t="shared" si="235"/>
        <v>0</v>
      </c>
      <c r="BT495" s="332">
        <f t="shared" si="236"/>
        <v>0</v>
      </c>
    </row>
    <row r="496" spans="1:72" ht="14.25">
      <c r="A496" s="297"/>
      <c r="B496" s="323"/>
      <c r="C496" s="323"/>
      <c r="D496" s="3"/>
      <c r="E496" s="324">
        <f t="shared" si="208"/>
        <v>0</v>
      </c>
      <c r="F496" s="325"/>
      <c r="G496" s="326">
        <f t="shared" si="209"/>
        <v>0</v>
      </c>
      <c r="H496" s="327">
        <f t="shared" si="210"/>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11"/>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12"/>
        <v>0</v>
      </c>
      <c r="AW496" s="7">
        <f t="shared" si="213"/>
        <v>0</v>
      </c>
      <c r="AX496" s="7">
        <f t="shared" si="214"/>
        <v>0</v>
      </c>
      <c r="AY496" s="331">
        <f t="shared" si="215"/>
        <v>0</v>
      </c>
      <c r="AZ496" s="324">
        <f t="shared" si="216"/>
        <v>0</v>
      </c>
      <c r="BA496" s="324">
        <f t="shared" si="217"/>
        <v>0</v>
      </c>
      <c r="BB496" s="324">
        <f t="shared" si="218"/>
        <v>0</v>
      </c>
      <c r="BC496" s="324">
        <f t="shared" si="219"/>
        <v>0</v>
      </c>
      <c r="BD496" s="324">
        <f t="shared" si="220"/>
        <v>0</v>
      </c>
      <c r="BE496" s="324">
        <f t="shared" si="221"/>
        <v>0</v>
      </c>
      <c r="BF496" s="324">
        <f t="shared" si="222"/>
        <v>0</v>
      </c>
      <c r="BG496" s="324">
        <f t="shared" si="223"/>
        <v>0</v>
      </c>
      <c r="BH496" s="324">
        <f t="shared" si="224"/>
        <v>0</v>
      </c>
      <c r="BI496" s="324">
        <f t="shared" si="225"/>
        <v>0</v>
      </c>
      <c r="BJ496" s="324">
        <f t="shared" si="226"/>
        <v>0</v>
      </c>
      <c r="BK496" s="324">
        <f t="shared" si="227"/>
        <v>0</v>
      </c>
      <c r="BL496" s="324">
        <f t="shared" si="228"/>
        <v>0</v>
      </c>
      <c r="BM496" s="324">
        <f t="shared" si="229"/>
        <v>0</v>
      </c>
      <c r="BN496" s="324">
        <f t="shared" si="230"/>
        <v>0</v>
      </c>
      <c r="BO496" s="324">
        <f t="shared" si="231"/>
        <v>0</v>
      </c>
      <c r="BP496" s="324">
        <f t="shared" si="232"/>
        <v>0</v>
      </c>
      <c r="BQ496" s="324">
        <f t="shared" si="233"/>
        <v>0</v>
      </c>
      <c r="BR496" s="324">
        <f t="shared" si="234"/>
        <v>0</v>
      </c>
      <c r="BS496" s="324">
        <f t="shared" si="235"/>
        <v>0</v>
      </c>
      <c r="BT496" s="332">
        <f t="shared" si="236"/>
        <v>0</v>
      </c>
    </row>
    <row r="497" spans="1:72" ht="14.25">
      <c r="A497" s="297"/>
      <c r="B497" s="323"/>
      <c r="C497" s="323"/>
      <c r="D497" s="3"/>
      <c r="E497" s="324">
        <f t="shared" si="208"/>
        <v>0</v>
      </c>
      <c r="F497" s="325"/>
      <c r="G497" s="326">
        <f t="shared" si="209"/>
        <v>0</v>
      </c>
      <c r="H497" s="327">
        <f t="shared" si="210"/>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11"/>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12"/>
        <v>0</v>
      </c>
      <c r="AW497" s="7">
        <f t="shared" si="213"/>
        <v>0</v>
      </c>
      <c r="AX497" s="7">
        <f t="shared" si="214"/>
        <v>0</v>
      </c>
      <c r="AY497" s="331">
        <f t="shared" si="215"/>
        <v>0</v>
      </c>
      <c r="AZ497" s="324">
        <f t="shared" si="216"/>
        <v>0</v>
      </c>
      <c r="BA497" s="324">
        <f t="shared" si="217"/>
        <v>0</v>
      </c>
      <c r="BB497" s="324">
        <f t="shared" si="218"/>
        <v>0</v>
      </c>
      <c r="BC497" s="324">
        <f t="shared" si="219"/>
        <v>0</v>
      </c>
      <c r="BD497" s="324">
        <f t="shared" si="220"/>
        <v>0</v>
      </c>
      <c r="BE497" s="324">
        <f t="shared" si="221"/>
        <v>0</v>
      </c>
      <c r="BF497" s="324">
        <f t="shared" si="222"/>
        <v>0</v>
      </c>
      <c r="BG497" s="324">
        <f t="shared" si="223"/>
        <v>0</v>
      </c>
      <c r="BH497" s="324">
        <f t="shared" si="224"/>
        <v>0</v>
      </c>
      <c r="BI497" s="324">
        <f t="shared" si="225"/>
        <v>0</v>
      </c>
      <c r="BJ497" s="324">
        <f t="shared" si="226"/>
        <v>0</v>
      </c>
      <c r="BK497" s="324">
        <f t="shared" si="227"/>
        <v>0</v>
      </c>
      <c r="BL497" s="324">
        <f t="shared" si="228"/>
        <v>0</v>
      </c>
      <c r="BM497" s="324">
        <f t="shared" si="229"/>
        <v>0</v>
      </c>
      <c r="BN497" s="324">
        <f t="shared" si="230"/>
        <v>0</v>
      </c>
      <c r="BO497" s="324">
        <f t="shared" si="231"/>
        <v>0</v>
      </c>
      <c r="BP497" s="324">
        <f t="shared" si="232"/>
        <v>0</v>
      </c>
      <c r="BQ497" s="324">
        <f t="shared" si="233"/>
        <v>0</v>
      </c>
      <c r="BR497" s="324">
        <f t="shared" si="234"/>
        <v>0</v>
      </c>
      <c r="BS497" s="324">
        <f t="shared" si="235"/>
        <v>0</v>
      </c>
      <c r="BT497" s="332">
        <f t="shared" si="236"/>
        <v>0</v>
      </c>
    </row>
    <row r="498" spans="1:72" ht="14.25">
      <c r="A498" s="297"/>
      <c r="B498" s="323"/>
      <c r="C498" s="323"/>
      <c r="D498" s="3"/>
      <c r="E498" s="324">
        <f t="shared" si="208"/>
        <v>0</v>
      </c>
      <c r="F498" s="325"/>
      <c r="G498" s="326">
        <f t="shared" si="209"/>
        <v>0</v>
      </c>
      <c r="H498" s="327">
        <f t="shared" si="210"/>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11"/>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12"/>
        <v>0</v>
      </c>
      <c r="AW498" s="7">
        <f t="shared" si="213"/>
        <v>0</v>
      </c>
      <c r="AX498" s="7">
        <f t="shared" si="214"/>
        <v>0</v>
      </c>
      <c r="AY498" s="331">
        <f t="shared" si="215"/>
        <v>0</v>
      </c>
      <c r="AZ498" s="324">
        <f t="shared" si="216"/>
        <v>0</v>
      </c>
      <c r="BA498" s="324">
        <f t="shared" si="217"/>
        <v>0</v>
      </c>
      <c r="BB498" s="324">
        <f t="shared" si="218"/>
        <v>0</v>
      </c>
      <c r="BC498" s="324">
        <f t="shared" si="219"/>
        <v>0</v>
      </c>
      <c r="BD498" s="324">
        <f t="shared" si="220"/>
        <v>0</v>
      </c>
      <c r="BE498" s="324">
        <f t="shared" si="221"/>
        <v>0</v>
      </c>
      <c r="BF498" s="324">
        <f t="shared" si="222"/>
        <v>0</v>
      </c>
      <c r="BG498" s="324">
        <f t="shared" si="223"/>
        <v>0</v>
      </c>
      <c r="BH498" s="324">
        <f t="shared" si="224"/>
        <v>0</v>
      </c>
      <c r="BI498" s="324">
        <f t="shared" si="225"/>
        <v>0</v>
      </c>
      <c r="BJ498" s="324">
        <f t="shared" si="226"/>
        <v>0</v>
      </c>
      <c r="BK498" s="324">
        <f t="shared" si="227"/>
        <v>0</v>
      </c>
      <c r="BL498" s="324">
        <f t="shared" si="228"/>
        <v>0</v>
      </c>
      <c r="BM498" s="324">
        <f t="shared" si="229"/>
        <v>0</v>
      </c>
      <c r="BN498" s="324">
        <f t="shared" si="230"/>
        <v>0</v>
      </c>
      <c r="BO498" s="324">
        <f t="shared" si="231"/>
        <v>0</v>
      </c>
      <c r="BP498" s="324">
        <f t="shared" si="232"/>
        <v>0</v>
      </c>
      <c r="BQ498" s="324">
        <f t="shared" si="233"/>
        <v>0</v>
      </c>
      <c r="BR498" s="324">
        <f t="shared" si="234"/>
        <v>0</v>
      </c>
      <c r="BS498" s="324">
        <f t="shared" si="235"/>
        <v>0</v>
      </c>
      <c r="BT498" s="332">
        <f t="shared" si="236"/>
        <v>0</v>
      </c>
    </row>
    <row r="499" spans="1:72" ht="14.25">
      <c r="A499" s="297"/>
      <c r="B499" s="323"/>
      <c r="C499" s="323"/>
      <c r="D499" s="3"/>
      <c r="E499" s="324">
        <f t="shared" si="208"/>
        <v>0</v>
      </c>
      <c r="F499" s="325"/>
      <c r="G499" s="326">
        <f t="shared" si="209"/>
        <v>0</v>
      </c>
      <c r="H499" s="327">
        <f t="shared" si="210"/>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11"/>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12"/>
        <v>0</v>
      </c>
      <c r="AW499" s="7">
        <f t="shared" si="213"/>
        <v>0</v>
      </c>
      <c r="AX499" s="7">
        <f t="shared" si="214"/>
        <v>0</v>
      </c>
      <c r="AY499" s="331">
        <f t="shared" si="215"/>
        <v>0</v>
      </c>
      <c r="AZ499" s="324">
        <f t="shared" si="216"/>
        <v>0</v>
      </c>
      <c r="BA499" s="324">
        <f t="shared" si="217"/>
        <v>0</v>
      </c>
      <c r="BB499" s="324">
        <f t="shared" si="218"/>
        <v>0</v>
      </c>
      <c r="BC499" s="324">
        <f t="shared" si="219"/>
        <v>0</v>
      </c>
      <c r="BD499" s="324">
        <f t="shared" si="220"/>
        <v>0</v>
      </c>
      <c r="BE499" s="324">
        <f t="shared" si="221"/>
        <v>0</v>
      </c>
      <c r="BF499" s="324">
        <f t="shared" si="222"/>
        <v>0</v>
      </c>
      <c r="BG499" s="324">
        <f t="shared" si="223"/>
        <v>0</v>
      </c>
      <c r="BH499" s="324">
        <f t="shared" si="224"/>
        <v>0</v>
      </c>
      <c r="BI499" s="324">
        <f t="shared" si="225"/>
        <v>0</v>
      </c>
      <c r="BJ499" s="324">
        <f t="shared" si="226"/>
        <v>0</v>
      </c>
      <c r="BK499" s="324">
        <f t="shared" si="227"/>
        <v>0</v>
      </c>
      <c r="BL499" s="324">
        <f t="shared" si="228"/>
        <v>0</v>
      </c>
      <c r="BM499" s="324">
        <f t="shared" si="229"/>
        <v>0</v>
      </c>
      <c r="BN499" s="324">
        <f t="shared" si="230"/>
        <v>0</v>
      </c>
      <c r="BO499" s="324">
        <f t="shared" si="231"/>
        <v>0</v>
      </c>
      <c r="BP499" s="324">
        <f t="shared" si="232"/>
        <v>0</v>
      </c>
      <c r="BQ499" s="324">
        <f t="shared" si="233"/>
        <v>0</v>
      </c>
      <c r="BR499" s="324">
        <f t="shared" si="234"/>
        <v>0</v>
      </c>
      <c r="BS499" s="324">
        <f t="shared" si="235"/>
        <v>0</v>
      </c>
      <c r="BT499" s="332">
        <f t="shared" si="236"/>
        <v>0</v>
      </c>
    </row>
    <row r="500" spans="1:72" ht="14.25">
      <c r="A500" s="297"/>
      <c r="B500" s="323"/>
      <c r="C500" s="323"/>
      <c r="D500" s="3"/>
      <c r="E500" s="324">
        <f t="shared" si="208"/>
        <v>0</v>
      </c>
      <c r="F500" s="325"/>
      <c r="G500" s="326">
        <f t="shared" si="209"/>
        <v>0</v>
      </c>
      <c r="H500" s="327">
        <f t="shared" si="210"/>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11"/>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12"/>
        <v>0</v>
      </c>
      <c r="AW500" s="7">
        <f t="shared" si="213"/>
        <v>0</v>
      </c>
      <c r="AX500" s="7">
        <f t="shared" si="214"/>
        <v>0</v>
      </c>
      <c r="AY500" s="331">
        <f t="shared" si="215"/>
        <v>0</v>
      </c>
      <c r="AZ500" s="324">
        <f t="shared" si="216"/>
        <v>0</v>
      </c>
      <c r="BA500" s="324">
        <f t="shared" si="217"/>
        <v>0</v>
      </c>
      <c r="BB500" s="324">
        <f t="shared" si="218"/>
        <v>0</v>
      </c>
      <c r="BC500" s="324">
        <f t="shared" si="219"/>
        <v>0</v>
      </c>
      <c r="BD500" s="324">
        <f t="shared" si="220"/>
        <v>0</v>
      </c>
      <c r="BE500" s="324">
        <f t="shared" si="221"/>
        <v>0</v>
      </c>
      <c r="BF500" s="324">
        <f t="shared" si="222"/>
        <v>0</v>
      </c>
      <c r="BG500" s="324">
        <f t="shared" si="223"/>
        <v>0</v>
      </c>
      <c r="BH500" s="324">
        <f t="shared" si="224"/>
        <v>0</v>
      </c>
      <c r="BI500" s="324">
        <f t="shared" si="225"/>
        <v>0</v>
      </c>
      <c r="BJ500" s="324">
        <f t="shared" si="226"/>
        <v>0</v>
      </c>
      <c r="BK500" s="324">
        <f t="shared" si="227"/>
        <v>0</v>
      </c>
      <c r="BL500" s="324">
        <f t="shared" si="228"/>
        <v>0</v>
      </c>
      <c r="BM500" s="324">
        <f t="shared" si="229"/>
        <v>0</v>
      </c>
      <c r="BN500" s="324">
        <f t="shared" si="230"/>
        <v>0</v>
      </c>
      <c r="BO500" s="324">
        <f t="shared" si="231"/>
        <v>0</v>
      </c>
      <c r="BP500" s="324">
        <f t="shared" si="232"/>
        <v>0</v>
      </c>
      <c r="BQ500" s="324">
        <f t="shared" si="233"/>
        <v>0</v>
      </c>
      <c r="BR500" s="324">
        <f t="shared" si="234"/>
        <v>0</v>
      </c>
      <c r="BS500" s="324">
        <f t="shared" si="235"/>
        <v>0</v>
      </c>
      <c r="BT500" s="332">
        <f t="shared" si="236"/>
        <v>0</v>
      </c>
    </row>
    <row r="501" spans="1:72" ht="14.25">
      <c r="A501" s="297"/>
      <c r="B501" s="323"/>
      <c r="C501" s="323"/>
      <c r="D501" s="3"/>
      <c r="E501" s="324">
        <f t="shared" si="208"/>
        <v>0</v>
      </c>
      <c r="F501" s="325"/>
      <c r="G501" s="326">
        <f t="shared" si="209"/>
        <v>0</v>
      </c>
      <c r="H501" s="327">
        <f t="shared" si="210"/>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11"/>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12"/>
        <v>0</v>
      </c>
      <c r="AW501" s="7">
        <f t="shared" si="213"/>
        <v>0</v>
      </c>
      <c r="AX501" s="7">
        <f t="shared" si="214"/>
        <v>0</v>
      </c>
      <c r="AY501" s="331">
        <f t="shared" si="215"/>
        <v>0</v>
      </c>
      <c r="AZ501" s="324">
        <f t="shared" si="216"/>
        <v>0</v>
      </c>
      <c r="BA501" s="324">
        <f t="shared" si="217"/>
        <v>0</v>
      </c>
      <c r="BB501" s="324">
        <f t="shared" si="218"/>
        <v>0</v>
      </c>
      <c r="BC501" s="324">
        <f t="shared" si="219"/>
        <v>0</v>
      </c>
      <c r="BD501" s="324">
        <f t="shared" si="220"/>
        <v>0</v>
      </c>
      <c r="BE501" s="324">
        <f t="shared" si="221"/>
        <v>0</v>
      </c>
      <c r="BF501" s="324">
        <f t="shared" si="222"/>
        <v>0</v>
      </c>
      <c r="BG501" s="324">
        <f t="shared" si="223"/>
        <v>0</v>
      </c>
      <c r="BH501" s="324">
        <f t="shared" si="224"/>
        <v>0</v>
      </c>
      <c r="BI501" s="324">
        <f t="shared" si="225"/>
        <v>0</v>
      </c>
      <c r="BJ501" s="324">
        <f t="shared" si="226"/>
        <v>0</v>
      </c>
      <c r="BK501" s="324">
        <f t="shared" si="227"/>
        <v>0</v>
      </c>
      <c r="BL501" s="324">
        <f t="shared" si="228"/>
        <v>0</v>
      </c>
      <c r="BM501" s="324">
        <f t="shared" si="229"/>
        <v>0</v>
      </c>
      <c r="BN501" s="324">
        <f t="shared" si="230"/>
        <v>0</v>
      </c>
      <c r="BO501" s="324">
        <f t="shared" si="231"/>
        <v>0</v>
      </c>
      <c r="BP501" s="324">
        <f t="shared" si="232"/>
        <v>0</v>
      </c>
      <c r="BQ501" s="324">
        <f t="shared" si="233"/>
        <v>0</v>
      </c>
      <c r="BR501" s="324">
        <f t="shared" si="234"/>
        <v>0</v>
      </c>
      <c r="BS501" s="324">
        <f t="shared" si="235"/>
        <v>0</v>
      </c>
      <c r="BT501" s="332">
        <f t="shared" si="236"/>
        <v>0</v>
      </c>
    </row>
    <row r="502" spans="1:72" ht="14.25">
      <c r="A502" s="297"/>
      <c r="B502" s="323"/>
      <c r="C502" s="323"/>
      <c r="D502" s="3"/>
      <c r="E502" s="324">
        <f t="shared" si="208"/>
        <v>0</v>
      </c>
      <c r="F502" s="325"/>
      <c r="G502" s="326">
        <f t="shared" si="209"/>
        <v>0</v>
      </c>
      <c r="H502" s="327">
        <f t="shared" si="210"/>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11"/>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12"/>
        <v>0</v>
      </c>
      <c r="AW502" s="7">
        <f t="shared" si="213"/>
        <v>0</v>
      </c>
      <c r="AX502" s="7">
        <f t="shared" si="214"/>
        <v>0</v>
      </c>
      <c r="AY502" s="331">
        <f t="shared" si="215"/>
        <v>0</v>
      </c>
      <c r="AZ502" s="324">
        <f t="shared" si="216"/>
        <v>0</v>
      </c>
      <c r="BA502" s="324">
        <f t="shared" si="217"/>
        <v>0</v>
      </c>
      <c r="BB502" s="324">
        <f t="shared" si="218"/>
        <v>0</v>
      </c>
      <c r="BC502" s="324">
        <f t="shared" si="219"/>
        <v>0</v>
      </c>
      <c r="BD502" s="324">
        <f t="shared" si="220"/>
        <v>0</v>
      </c>
      <c r="BE502" s="324">
        <f t="shared" si="221"/>
        <v>0</v>
      </c>
      <c r="BF502" s="324">
        <f t="shared" si="222"/>
        <v>0</v>
      </c>
      <c r="BG502" s="324">
        <f t="shared" si="223"/>
        <v>0</v>
      </c>
      <c r="BH502" s="324">
        <f t="shared" si="224"/>
        <v>0</v>
      </c>
      <c r="BI502" s="324">
        <f t="shared" si="225"/>
        <v>0</v>
      </c>
      <c r="BJ502" s="324">
        <f t="shared" si="226"/>
        <v>0</v>
      </c>
      <c r="BK502" s="324">
        <f t="shared" si="227"/>
        <v>0</v>
      </c>
      <c r="BL502" s="324">
        <f t="shared" si="228"/>
        <v>0</v>
      </c>
      <c r="BM502" s="324">
        <f t="shared" si="229"/>
        <v>0</v>
      </c>
      <c r="BN502" s="324">
        <f t="shared" si="230"/>
        <v>0</v>
      </c>
      <c r="BO502" s="324">
        <f t="shared" si="231"/>
        <v>0</v>
      </c>
      <c r="BP502" s="324">
        <f t="shared" si="232"/>
        <v>0</v>
      </c>
      <c r="BQ502" s="324">
        <f t="shared" si="233"/>
        <v>0</v>
      </c>
      <c r="BR502" s="324">
        <f t="shared" si="234"/>
        <v>0</v>
      </c>
      <c r="BS502" s="324">
        <f t="shared" si="235"/>
        <v>0</v>
      </c>
      <c r="BT502" s="332">
        <f t="shared" si="236"/>
        <v>0</v>
      </c>
    </row>
    <row r="503" spans="1:72" ht="14.25">
      <c r="A503" s="297"/>
      <c r="B503" s="323"/>
      <c r="C503" s="323"/>
      <c r="D503" s="3"/>
      <c r="E503" s="324">
        <f t="shared" si="208"/>
        <v>0</v>
      </c>
      <c r="F503" s="325"/>
      <c r="G503" s="326">
        <f t="shared" si="209"/>
        <v>0</v>
      </c>
      <c r="H503" s="327">
        <f t="shared" si="210"/>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11"/>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12"/>
        <v>0</v>
      </c>
      <c r="AW503" s="7">
        <f t="shared" si="213"/>
        <v>0</v>
      </c>
      <c r="AX503" s="7">
        <f t="shared" si="214"/>
        <v>0</v>
      </c>
      <c r="AY503" s="331">
        <f t="shared" si="215"/>
        <v>0</v>
      </c>
      <c r="AZ503" s="324">
        <f t="shared" si="216"/>
        <v>0</v>
      </c>
      <c r="BA503" s="324">
        <f t="shared" si="217"/>
        <v>0</v>
      </c>
      <c r="BB503" s="324">
        <f t="shared" si="218"/>
        <v>0</v>
      </c>
      <c r="BC503" s="324">
        <f t="shared" si="219"/>
        <v>0</v>
      </c>
      <c r="BD503" s="324">
        <f t="shared" si="220"/>
        <v>0</v>
      </c>
      <c r="BE503" s="324">
        <f t="shared" si="221"/>
        <v>0</v>
      </c>
      <c r="BF503" s="324">
        <f t="shared" si="222"/>
        <v>0</v>
      </c>
      <c r="BG503" s="324">
        <f t="shared" si="223"/>
        <v>0</v>
      </c>
      <c r="BH503" s="324">
        <f t="shared" si="224"/>
        <v>0</v>
      </c>
      <c r="BI503" s="324">
        <f t="shared" si="225"/>
        <v>0</v>
      </c>
      <c r="BJ503" s="324">
        <f t="shared" si="226"/>
        <v>0</v>
      </c>
      <c r="BK503" s="324">
        <f t="shared" si="227"/>
        <v>0</v>
      </c>
      <c r="BL503" s="324">
        <f t="shared" si="228"/>
        <v>0</v>
      </c>
      <c r="BM503" s="324">
        <f t="shared" si="229"/>
        <v>0</v>
      </c>
      <c r="BN503" s="324">
        <f t="shared" si="230"/>
        <v>0</v>
      </c>
      <c r="BO503" s="324">
        <f t="shared" si="231"/>
        <v>0</v>
      </c>
      <c r="BP503" s="324">
        <f t="shared" si="232"/>
        <v>0</v>
      </c>
      <c r="BQ503" s="324">
        <f t="shared" si="233"/>
        <v>0</v>
      </c>
      <c r="BR503" s="324">
        <f t="shared" si="234"/>
        <v>0</v>
      </c>
      <c r="BS503" s="324">
        <f t="shared" si="235"/>
        <v>0</v>
      </c>
      <c r="BT503" s="332">
        <f t="shared" si="236"/>
        <v>0</v>
      </c>
    </row>
    <row r="504" spans="1:72" ht="14.25">
      <c r="A504" s="297"/>
      <c r="B504" s="323"/>
      <c r="C504" s="323"/>
      <c r="D504" s="3"/>
      <c r="E504" s="324">
        <f t="shared" si="208"/>
        <v>0</v>
      </c>
      <c r="F504" s="325"/>
      <c r="G504" s="326">
        <f t="shared" si="209"/>
        <v>0</v>
      </c>
      <c r="H504" s="327">
        <f t="shared" si="210"/>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11"/>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12"/>
        <v>0</v>
      </c>
      <c r="AW504" s="7">
        <f t="shared" si="213"/>
        <v>0</v>
      </c>
      <c r="AX504" s="7">
        <f t="shared" si="214"/>
        <v>0</v>
      </c>
      <c r="AY504" s="331">
        <f t="shared" si="215"/>
        <v>0</v>
      </c>
      <c r="AZ504" s="324">
        <f t="shared" si="216"/>
        <v>0</v>
      </c>
      <c r="BA504" s="324">
        <f t="shared" si="217"/>
        <v>0</v>
      </c>
      <c r="BB504" s="324">
        <f t="shared" si="218"/>
        <v>0</v>
      </c>
      <c r="BC504" s="324">
        <f t="shared" si="219"/>
        <v>0</v>
      </c>
      <c r="BD504" s="324">
        <f t="shared" si="220"/>
        <v>0</v>
      </c>
      <c r="BE504" s="324">
        <f t="shared" si="221"/>
        <v>0</v>
      </c>
      <c r="BF504" s="324">
        <f t="shared" si="222"/>
        <v>0</v>
      </c>
      <c r="BG504" s="324">
        <f t="shared" si="223"/>
        <v>0</v>
      </c>
      <c r="BH504" s="324">
        <f t="shared" si="224"/>
        <v>0</v>
      </c>
      <c r="BI504" s="324">
        <f t="shared" si="225"/>
        <v>0</v>
      </c>
      <c r="BJ504" s="324">
        <f t="shared" si="226"/>
        <v>0</v>
      </c>
      <c r="BK504" s="324">
        <f t="shared" si="227"/>
        <v>0</v>
      </c>
      <c r="BL504" s="324">
        <f t="shared" si="228"/>
        <v>0</v>
      </c>
      <c r="BM504" s="324">
        <f t="shared" si="229"/>
        <v>0</v>
      </c>
      <c r="BN504" s="324">
        <f t="shared" si="230"/>
        <v>0</v>
      </c>
      <c r="BO504" s="324">
        <f t="shared" si="231"/>
        <v>0</v>
      </c>
      <c r="BP504" s="324">
        <f t="shared" si="232"/>
        <v>0</v>
      </c>
      <c r="BQ504" s="324">
        <f t="shared" si="233"/>
        <v>0</v>
      </c>
      <c r="BR504" s="324">
        <f t="shared" si="234"/>
        <v>0</v>
      </c>
      <c r="BS504" s="324">
        <f t="shared" si="235"/>
        <v>0</v>
      </c>
      <c r="BT504" s="332">
        <f t="shared" si="236"/>
        <v>0</v>
      </c>
    </row>
    <row r="505" spans="1:72" ht="14.25">
      <c r="A505" s="297"/>
      <c r="B505" s="323"/>
      <c r="C505" s="323"/>
      <c r="D505" s="3"/>
      <c r="E505" s="324">
        <f t="shared" si="208"/>
        <v>0</v>
      </c>
      <c r="F505" s="325"/>
      <c r="G505" s="326">
        <f t="shared" si="209"/>
        <v>0</v>
      </c>
      <c r="H505" s="327">
        <f t="shared" si="210"/>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11"/>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12"/>
        <v>0</v>
      </c>
      <c r="AW505" s="7">
        <f t="shared" si="213"/>
        <v>0</v>
      </c>
      <c r="AX505" s="7">
        <f t="shared" si="214"/>
        <v>0</v>
      </c>
      <c r="AY505" s="331">
        <f t="shared" si="215"/>
        <v>0</v>
      </c>
      <c r="AZ505" s="324">
        <f t="shared" si="216"/>
        <v>0</v>
      </c>
      <c r="BA505" s="324">
        <f t="shared" si="217"/>
        <v>0</v>
      </c>
      <c r="BB505" s="324">
        <f t="shared" si="218"/>
        <v>0</v>
      </c>
      <c r="BC505" s="324">
        <f t="shared" si="219"/>
        <v>0</v>
      </c>
      <c r="BD505" s="324">
        <f t="shared" si="220"/>
        <v>0</v>
      </c>
      <c r="BE505" s="324">
        <f t="shared" si="221"/>
        <v>0</v>
      </c>
      <c r="BF505" s="324">
        <f t="shared" si="222"/>
        <v>0</v>
      </c>
      <c r="BG505" s="324">
        <f t="shared" si="223"/>
        <v>0</v>
      </c>
      <c r="BH505" s="324">
        <f t="shared" si="224"/>
        <v>0</v>
      </c>
      <c r="BI505" s="324">
        <f t="shared" si="225"/>
        <v>0</v>
      </c>
      <c r="BJ505" s="324">
        <f t="shared" si="226"/>
        <v>0</v>
      </c>
      <c r="BK505" s="324">
        <f t="shared" si="227"/>
        <v>0</v>
      </c>
      <c r="BL505" s="324">
        <f t="shared" si="228"/>
        <v>0</v>
      </c>
      <c r="BM505" s="324">
        <f t="shared" si="229"/>
        <v>0</v>
      </c>
      <c r="BN505" s="324">
        <f t="shared" si="230"/>
        <v>0</v>
      </c>
      <c r="BO505" s="324">
        <f t="shared" si="231"/>
        <v>0</v>
      </c>
      <c r="BP505" s="324">
        <f t="shared" si="232"/>
        <v>0</v>
      </c>
      <c r="BQ505" s="324">
        <f t="shared" si="233"/>
        <v>0</v>
      </c>
      <c r="BR505" s="324">
        <f t="shared" si="234"/>
        <v>0</v>
      </c>
      <c r="BS505" s="324">
        <f t="shared" si="235"/>
        <v>0</v>
      </c>
      <c r="BT505" s="332">
        <f t="shared" si="236"/>
        <v>0</v>
      </c>
    </row>
    <row r="506" spans="1:72" ht="14.25">
      <c r="A506" s="297"/>
      <c r="B506" s="323"/>
      <c r="C506" s="323"/>
      <c r="D506" s="3"/>
      <c r="E506" s="324">
        <f t="shared" si="208"/>
        <v>0</v>
      </c>
      <c r="F506" s="325"/>
      <c r="G506" s="326">
        <f t="shared" si="209"/>
        <v>0</v>
      </c>
      <c r="H506" s="327">
        <f t="shared" si="210"/>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11"/>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12"/>
        <v>0</v>
      </c>
      <c r="AW506" s="7">
        <f t="shared" si="213"/>
        <v>0</v>
      </c>
      <c r="AX506" s="7">
        <f t="shared" si="214"/>
        <v>0</v>
      </c>
      <c r="AY506" s="331">
        <f t="shared" si="215"/>
        <v>0</v>
      </c>
      <c r="AZ506" s="324">
        <f t="shared" si="216"/>
        <v>0</v>
      </c>
      <c r="BA506" s="324">
        <f t="shared" si="217"/>
        <v>0</v>
      </c>
      <c r="BB506" s="324">
        <f t="shared" si="218"/>
        <v>0</v>
      </c>
      <c r="BC506" s="324">
        <f t="shared" si="219"/>
        <v>0</v>
      </c>
      <c r="BD506" s="324">
        <f t="shared" si="220"/>
        <v>0</v>
      </c>
      <c r="BE506" s="324">
        <f t="shared" si="221"/>
        <v>0</v>
      </c>
      <c r="BF506" s="324">
        <f t="shared" si="222"/>
        <v>0</v>
      </c>
      <c r="BG506" s="324">
        <f t="shared" si="223"/>
        <v>0</v>
      </c>
      <c r="BH506" s="324">
        <f t="shared" si="224"/>
        <v>0</v>
      </c>
      <c r="BI506" s="324">
        <f t="shared" si="225"/>
        <v>0</v>
      </c>
      <c r="BJ506" s="324">
        <f t="shared" si="226"/>
        <v>0</v>
      </c>
      <c r="BK506" s="324">
        <f t="shared" si="227"/>
        <v>0</v>
      </c>
      <c r="BL506" s="324">
        <f t="shared" si="228"/>
        <v>0</v>
      </c>
      <c r="BM506" s="324">
        <f t="shared" si="229"/>
        <v>0</v>
      </c>
      <c r="BN506" s="324">
        <f t="shared" si="230"/>
        <v>0</v>
      </c>
      <c r="BO506" s="324">
        <f t="shared" si="231"/>
        <v>0</v>
      </c>
      <c r="BP506" s="324">
        <f t="shared" si="232"/>
        <v>0</v>
      </c>
      <c r="BQ506" s="324">
        <f t="shared" si="233"/>
        <v>0</v>
      </c>
      <c r="BR506" s="324">
        <f t="shared" si="234"/>
        <v>0</v>
      </c>
      <c r="BS506" s="324">
        <f t="shared" si="235"/>
        <v>0</v>
      </c>
      <c r="BT506" s="332">
        <f t="shared" si="236"/>
        <v>0</v>
      </c>
    </row>
    <row r="507" spans="1:72" ht="14.25">
      <c r="A507" s="297"/>
      <c r="B507" s="323"/>
      <c r="C507" s="323"/>
      <c r="D507" s="3"/>
      <c r="E507" s="324">
        <f t="shared" si="208"/>
        <v>0</v>
      </c>
      <c r="F507" s="325"/>
      <c r="G507" s="326">
        <f t="shared" si="209"/>
        <v>0</v>
      </c>
      <c r="H507" s="327">
        <f t="shared" si="210"/>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11"/>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12"/>
        <v>0</v>
      </c>
      <c r="AW507" s="7">
        <f t="shared" si="213"/>
        <v>0</v>
      </c>
      <c r="AX507" s="7">
        <f t="shared" si="214"/>
        <v>0</v>
      </c>
      <c r="AY507" s="331">
        <f t="shared" si="215"/>
        <v>0</v>
      </c>
      <c r="AZ507" s="324">
        <f t="shared" si="216"/>
        <v>0</v>
      </c>
      <c r="BA507" s="324">
        <f t="shared" si="217"/>
        <v>0</v>
      </c>
      <c r="BB507" s="324">
        <f t="shared" si="218"/>
        <v>0</v>
      </c>
      <c r="BC507" s="324">
        <f t="shared" si="219"/>
        <v>0</v>
      </c>
      <c r="BD507" s="324">
        <f t="shared" si="220"/>
        <v>0</v>
      </c>
      <c r="BE507" s="324">
        <f t="shared" si="221"/>
        <v>0</v>
      </c>
      <c r="BF507" s="324">
        <f t="shared" si="222"/>
        <v>0</v>
      </c>
      <c r="BG507" s="324">
        <f t="shared" si="223"/>
        <v>0</v>
      </c>
      <c r="BH507" s="324">
        <f t="shared" si="224"/>
        <v>0</v>
      </c>
      <c r="BI507" s="324">
        <f t="shared" si="225"/>
        <v>0</v>
      </c>
      <c r="BJ507" s="324">
        <f t="shared" si="226"/>
        <v>0</v>
      </c>
      <c r="BK507" s="324">
        <f t="shared" si="227"/>
        <v>0</v>
      </c>
      <c r="BL507" s="324">
        <f t="shared" si="228"/>
        <v>0</v>
      </c>
      <c r="BM507" s="324">
        <f t="shared" si="229"/>
        <v>0</v>
      </c>
      <c r="BN507" s="324">
        <f t="shared" si="230"/>
        <v>0</v>
      </c>
      <c r="BO507" s="324">
        <f t="shared" si="231"/>
        <v>0</v>
      </c>
      <c r="BP507" s="324">
        <f t="shared" si="232"/>
        <v>0</v>
      </c>
      <c r="BQ507" s="324">
        <f t="shared" si="233"/>
        <v>0</v>
      </c>
      <c r="BR507" s="324">
        <f t="shared" si="234"/>
        <v>0</v>
      </c>
      <c r="BS507" s="324">
        <f t="shared" si="235"/>
        <v>0</v>
      </c>
      <c r="BT507" s="332">
        <f t="shared" si="236"/>
        <v>0</v>
      </c>
    </row>
    <row r="508" spans="1:72" ht="14.25">
      <c r="A508" s="297"/>
      <c r="B508" s="323"/>
      <c r="C508" s="323"/>
      <c r="D508" s="3"/>
      <c r="E508" s="324">
        <f t="shared" si="208"/>
        <v>0</v>
      </c>
      <c r="F508" s="325"/>
      <c r="G508" s="326">
        <f t="shared" si="209"/>
        <v>0</v>
      </c>
      <c r="H508" s="327">
        <f t="shared" si="210"/>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11"/>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12"/>
        <v>0</v>
      </c>
      <c r="AW508" s="7">
        <f t="shared" si="213"/>
        <v>0</v>
      </c>
      <c r="AX508" s="7">
        <f t="shared" si="214"/>
        <v>0</v>
      </c>
      <c r="AY508" s="331">
        <f t="shared" si="215"/>
        <v>0</v>
      </c>
      <c r="AZ508" s="324">
        <f t="shared" si="216"/>
        <v>0</v>
      </c>
      <c r="BA508" s="324">
        <f t="shared" si="217"/>
        <v>0</v>
      </c>
      <c r="BB508" s="324">
        <f t="shared" si="218"/>
        <v>0</v>
      </c>
      <c r="BC508" s="324">
        <f t="shared" si="219"/>
        <v>0</v>
      </c>
      <c r="BD508" s="324">
        <f t="shared" si="220"/>
        <v>0</v>
      </c>
      <c r="BE508" s="324">
        <f t="shared" si="221"/>
        <v>0</v>
      </c>
      <c r="BF508" s="324">
        <f t="shared" si="222"/>
        <v>0</v>
      </c>
      <c r="BG508" s="324">
        <f t="shared" si="223"/>
        <v>0</v>
      </c>
      <c r="BH508" s="324">
        <f t="shared" si="224"/>
        <v>0</v>
      </c>
      <c r="BI508" s="324">
        <f t="shared" si="225"/>
        <v>0</v>
      </c>
      <c r="BJ508" s="324">
        <f t="shared" si="226"/>
        <v>0</v>
      </c>
      <c r="BK508" s="324">
        <f t="shared" si="227"/>
        <v>0</v>
      </c>
      <c r="BL508" s="324">
        <f t="shared" si="228"/>
        <v>0</v>
      </c>
      <c r="BM508" s="324">
        <f t="shared" si="229"/>
        <v>0</v>
      </c>
      <c r="BN508" s="324">
        <f t="shared" si="230"/>
        <v>0</v>
      </c>
      <c r="BO508" s="324">
        <f t="shared" si="231"/>
        <v>0</v>
      </c>
      <c r="BP508" s="324">
        <f t="shared" si="232"/>
        <v>0</v>
      </c>
      <c r="BQ508" s="324">
        <f t="shared" si="233"/>
        <v>0</v>
      </c>
      <c r="BR508" s="324">
        <f t="shared" si="234"/>
        <v>0</v>
      </c>
      <c r="BS508" s="324">
        <f t="shared" si="235"/>
        <v>0</v>
      </c>
      <c r="BT508" s="332">
        <f t="shared" si="236"/>
        <v>0</v>
      </c>
    </row>
    <row r="509" spans="1:72" ht="14.25">
      <c r="A509" s="297"/>
      <c r="B509" s="323"/>
      <c r="C509" s="323"/>
      <c r="D509" s="3"/>
      <c r="E509" s="324">
        <f t="shared" si="208"/>
        <v>0</v>
      </c>
      <c r="F509" s="325"/>
      <c r="G509" s="326">
        <f t="shared" si="209"/>
        <v>0</v>
      </c>
      <c r="H509" s="327">
        <f t="shared" si="210"/>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11"/>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12"/>
        <v>0</v>
      </c>
      <c r="AW509" s="7">
        <f t="shared" si="213"/>
        <v>0</v>
      </c>
      <c r="AX509" s="7">
        <f t="shared" si="214"/>
        <v>0</v>
      </c>
      <c r="AY509" s="331">
        <f t="shared" si="215"/>
        <v>0</v>
      </c>
      <c r="AZ509" s="324">
        <f t="shared" si="216"/>
        <v>0</v>
      </c>
      <c r="BA509" s="324">
        <f t="shared" si="217"/>
        <v>0</v>
      </c>
      <c r="BB509" s="324">
        <f t="shared" si="218"/>
        <v>0</v>
      </c>
      <c r="BC509" s="324">
        <f t="shared" si="219"/>
        <v>0</v>
      </c>
      <c r="BD509" s="324">
        <f t="shared" si="220"/>
        <v>0</v>
      </c>
      <c r="BE509" s="324">
        <f t="shared" si="221"/>
        <v>0</v>
      </c>
      <c r="BF509" s="324">
        <f t="shared" si="222"/>
        <v>0</v>
      </c>
      <c r="BG509" s="324">
        <f t="shared" si="223"/>
        <v>0</v>
      </c>
      <c r="BH509" s="324">
        <f t="shared" si="224"/>
        <v>0</v>
      </c>
      <c r="BI509" s="324">
        <f t="shared" si="225"/>
        <v>0</v>
      </c>
      <c r="BJ509" s="324">
        <f t="shared" si="226"/>
        <v>0</v>
      </c>
      <c r="BK509" s="324">
        <f t="shared" si="227"/>
        <v>0</v>
      </c>
      <c r="BL509" s="324">
        <f t="shared" si="228"/>
        <v>0</v>
      </c>
      <c r="BM509" s="324">
        <f t="shared" si="229"/>
        <v>0</v>
      </c>
      <c r="BN509" s="324">
        <f t="shared" si="230"/>
        <v>0</v>
      </c>
      <c r="BO509" s="324">
        <f t="shared" si="231"/>
        <v>0</v>
      </c>
      <c r="BP509" s="324">
        <f t="shared" si="232"/>
        <v>0</v>
      </c>
      <c r="BQ509" s="324">
        <f t="shared" si="233"/>
        <v>0</v>
      </c>
      <c r="BR509" s="324">
        <f t="shared" si="234"/>
        <v>0</v>
      </c>
      <c r="BS509" s="324">
        <f t="shared" si="235"/>
        <v>0</v>
      </c>
      <c r="BT509" s="332">
        <f t="shared" si="236"/>
        <v>0</v>
      </c>
    </row>
    <row r="510" spans="1:72" ht="14.25">
      <c r="A510" s="297"/>
      <c r="B510" s="323"/>
      <c r="C510" s="323"/>
      <c r="D510" s="3"/>
      <c r="E510" s="324">
        <f t="shared" si="208"/>
        <v>0</v>
      </c>
      <c r="F510" s="325"/>
      <c r="G510" s="326">
        <f t="shared" si="209"/>
        <v>0</v>
      </c>
      <c r="H510" s="327">
        <f t="shared" si="210"/>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11"/>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12"/>
        <v>0</v>
      </c>
      <c r="AW510" s="7">
        <f t="shared" si="213"/>
        <v>0</v>
      </c>
      <c r="AX510" s="7">
        <f t="shared" si="214"/>
        <v>0</v>
      </c>
      <c r="AY510" s="331">
        <f t="shared" si="215"/>
        <v>0</v>
      </c>
      <c r="AZ510" s="324">
        <f t="shared" si="216"/>
        <v>0</v>
      </c>
      <c r="BA510" s="324">
        <f t="shared" si="217"/>
        <v>0</v>
      </c>
      <c r="BB510" s="324">
        <f t="shared" si="218"/>
        <v>0</v>
      </c>
      <c r="BC510" s="324">
        <f t="shared" si="219"/>
        <v>0</v>
      </c>
      <c r="BD510" s="324">
        <f t="shared" si="220"/>
        <v>0</v>
      </c>
      <c r="BE510" s="324">
        <f t="shared" si="221"/>
        <v>0</v>
      </c>
      <c r="BF510" s="324">
        <f t="shared" si="222"/>
        <v>0</v>
      </c>
      <c r="BG510" s="324">
        <f t="shared" si="223"/>
        <v>0</v>
      </c>
      <c r="BH510" s="324">
        <f t="shared" si="224"/>
        <v>0</v>
      </c>
      <c r="BI510" s="324">
        <f t="shared" si="225"/>
        <v>0</v>
      </c>
      <c r="BJ510" s="324">
        <f t="shared" si="226"/>
        <v>0</v>
      </c>
      <c r="BK510" s="324">
        <f t="shared" si="227"/>
        <v>0</v>
      </c>
      <c r="BL510" s="324">
        <f t="shared" si="228"/>
        <v>0</v>
      </c>
      <c r="BM510" s="324">
        <f t="shared" si="229"/>
        <v>0</v>
      </c>
      <c r="BN510" s="324">
        <f t="shared" si="230"/>
        <v>0</v>
      </c>
      <c r="BO510" s="324">
        <f t="shared" si="231"/>
        <v>0</v>
      </c>
      <c r="BP510" s="324">
        <f t="shared" si="232"/>
        <v>0</v>
      </c>
      <c r="BQ510" s="324">
        <f t="shared" si="233"/>
        <v>0</v>
      </c>
      <c r="BR510" s="324">
        <f t="shared" si="234"/>
        <v>0</v>
      </c>
      <c r="BS510" s="324">
        <f t="shared" si="235"/>
        <v>0</v>
      </c>
      <c r="BT510" s="332">
        <f t="shared" si="236"/>
        <v>0</v>
      </c>
    </row>
    <row r="511" spans="1:72" ht="14.25">
      <c r="A511" s="297"/>
      <c r="B511" s="323"/>
      <c r="C511" s="323"/>
      <c r="D511" s="3"/>
      <c r="E511" s="324">
        <f t="shared" si="208"/>
        <v>0</v>
      </c>
      <c r="F511" s="325"/>
      <c r="G511" s="326">
        <f t="shared" si="209"/>
        <v>0</v>
      </c>
      <c r="H511" s="327">
        <f t="shared" si="210"/>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11"/>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12"/>
        <v>0</v>
      </c>
      <c r="AW511" s="7">
        <f t="shared" si="213"/>
        <v>0</v>
      </c>
      <c r="AX511" s="7">
        <f t="shared" si="214"/>
        <v>0</v>
      </c>
      <c r="AY511" s="331">
        <f t="shared" si="215"/>
        <v>0</v>
      </c>
      <c r="AZ511" s="324">
        <f t="shared" si="216"/>
        <v>0</v>
      </c>
      <c r="BA511" s="324">
        <f t="shared" si="217"/>
        <v>0</v>
      </c>
      <c r="BB511" s="324">
        <f t="shared" si="218"/>
        <v>0</v>
      </c>
      <c r="BC511" s="324">
        <f t="shared" si="219"/>
        <v>0</v>
      </c>
      <c r="BD511" s="324">
        <f t="shared" si="220"/>
        <v>0</v>
      </c>
      <c r="BE511" s="324">
        <f t="shared" si="221"/>
        <v>0</v>
      </c>
      <c r="BF511" s="324">
        <f t="shared" si="222"/>
        <v>0</v>
      </c>
      <c r="BG511" s="324">
        <f t="shared" si="223"/>
        <v>0</v>
      </c>
      <c r="BH511" s="324">
        <f t="shared" si="224"/>
        <v>0</v>
      </c>
      <c r="BI511" s="324">
        <f t="shared" si="225"/>
        <v>0</v>
      </c>
      <c r="BJ511" s="324">
        <f t="shared" si="226"/>
        <v>0</v>
      </c>
      <c r="BK511" s="324">
        <f t="shared" si="227"/>
        <v>0</v>
      </c>
      <c r="BL511" s="324">
        <f t="shared" si="228"/>
        <v>0</v>
      </c>
      <c r="BM511" s="324">
        <f t="shared" si="229"/>
        <v>0</v>
      </c>
      <c r="BN511" s="324">
        <f t="shared" si="230"/>
        <v>0</v>
      </c>
      <c r="BO511" s="324">
        <f t="shared" si="231"/>
        <v>0</v>
      </c>
      <c r="BP511" s="324">
        <f t="shared" si="232"/>
        <v>0</v>
      </c>
      <c r="BQ511" s="324">
        <f t="shared" si="233"/>
        <v>0</v>
      </c>
      <c r="BR511" s="324">
        <f t="shared" si="234"/>
        <v>0</v>
      </c>
      <c r="BS511" s="324">
        <f t="shared" si="235"/>
        <v>0</v>
      </c>
      <c r="BT511" s="332">
        <f t="shared" si="236"/>
        <v>0</v>
      </c>
    </row>
    <row r="512" spans="1:72" ht="14.25">
      <c r="A512" s="297"/>
      <c r="B512" s="323"/>
      <c r="C512" s="323"/>
      <c r="D512" s="3"/>
      <c r="E512" s="324">
        <f t="shared" si="208"/>
        <v>0</v>
      </c>
      <c r="F512" s="325"/>
      <c r="G512" s="326">
        <f t="shared" si="209"/>
        <v>0</v>
      </c>
      <c r="H512" s="327">
        <f t="shared" si="210"/>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11"/>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12"/>
        <v>0</v>
      </c>
      <c r="AW512" s="7">
        <f t="shared" si="213"/>
        <v>0</v>
      </c>
      <c r="AX512" s="7">
        <f t="shared" si="214"/>
        <v>0</v>
      </c>
      <c r="AY512" s="331">
        <f t="shared" si="215"/>
        <v>0</v>
      </c>
      <c r="AZ512" s="324">
        <f t="shared" si="216"/>
        <v>0</v>
      </c>
      <c r="BA512" s="324">
        <f t="shared" si="217"/>
        <v>0</v>
      </c>
      <c r="BB512" s="324">
        <f t="shared" si="218"/>
        <v>0</v>
      </c>
      <c r="BC512" s="324">
        <f t="shared" si="219"/>
        <v>0</v>
      </c>
      <c r="BD512" s="324">
        <f t="shared" si="220"/>
        <v>0</v>
      </c>
      <c r="BE512" s="324">
        <f t="shared" si="221"/>
        <v>0</v>
      </c>
      <c r="BF512" s="324">
        <f t="shared" si="222"/>
        <v>0</v>
      </c>
      <c r="BG512" s="324">
        <f t="shared" si="223"/>
        <v>0</v>
      </c>
      <c r="BH512" s="324">
        <f t="shared" si="224"/>
        <v>0</v>
      </c>
      <c r="BI512" s="324">
        <f t="shared" si="225"/>
        <v>0</v>
      </c>
      <c r="BJ512" s="324">
        <f t="shared" si="226"/>
        <v>0</v>
      </c>
      <c r="BK512" s="324">
        <f t="shared" si="227"/>
        <v>0</v>
      </c>
      <c r="BL512" s="324">
        <f t="shared" si="228"/>
        <v>0</v>
      </c>
      <c r="BM512" s="324">
        <f t="shared" si="229"/>
        <v>0</v>
      </c>
      <c r="BN512" s="324">
        <f t="shared" si="230"/>
        <v>0</v>
      </c>
      <c r="BO512" s="324">
        <f t="shared" si="231"/>
        <v>0</v>
      </c>
      <c r="BP512" s="324">
        <f t="shared" si="232"/>
        <v>0</v>
      </c>
      <c r="BQ512" s="324">
        <f t="shared" si="233"/>
        <v>0</v>
      </c>
      <c r="BR512" s="324">
        <f t="shared" si="234"/>
        <v>0</v>
      </c>
      <c r="BS512" s="324">
        <f t="shared" si="235"/>
        <v>0</v>
      </c>
      <c r="BT512" s="332">
        <f t="shared" si="236"/>
        <v>0</v>
      </c>
    </row>
    <row r="513" spans="1:72" ht="14.25">
      <c r="A513" s="297"/>
      <c r="B513" s="323"/>
      <c r="C513" s="323"/>
      <c r="D513" s="3"/>
      <c r="E513" s="324">
        <f t="shared" si="208"/>
        <v>0</v>
      </c>
      <c r="F513" s="325"/>
      <c r="G513" s="326">
        <f t="shared" si="209"/>
        <v>0</v>
      </c>
      <c r="H513" s="327">
        <f t="shared" si="210"/>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11"/>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12"/>
        <v>0</v>
      </c>
      <c r="AW513" s="7">
        <f t="shared" si="213"/>
        <v>0</v>
      </c>
      <c r="AX513" s="7">
        <f t="shared" si="214"/>
        <v>0</v>
      </c>
      <c r="AY513" s="331">
        <f t="shared" si="215"/>
        <v>0</v>
      </c>
      <c r="AZ513" s="324">
        <f t="shared" si="216"/>
        <v>0</v>
      </c>
      <c r="BA513" s="324">
        <f t="shared" si="217"/>
        <v>0</v>
      </c>
      <c r="BB513" s="324">
        <f t="shared" si="218"/>
        <v>0</v>
      </c>
      <c r="BC513" s="324">
        <f t="shared" si="219"/>
        <v>0</v>
      </c>
      <c r="BD513" s="324">
        <f t="shared" si="220"/>
        <v>0</v>
      </c>
      <c r="BE513" s="324">
        <f t="shared" si="221"/>
        <v>0</v>
      </c>
      <c r="BF513" s="324">
        <f t="shared" si="222"/>
        <v>0</v>
      </c>
      <c r="BG513" s="324">
        <f t="shared" si="223"/>
        <v>0</v>
      </c>
      <c r="BH513" s="324">
        <f t="shared" si="224"/>
        <v>0</v>
      </c>
      <c r="BI513" s="324">
        <f t="shared" si="225"/>
        <v>0</v>
      </c>
      <c r="BJ513" s="324">
        <f t="shared" si="226"/>
        <v>0</v>
      </c>
      <c r="BK513" s="324">
        <f t="shared" si="227"/>
        <v>0</v>
      </c>
      <c r="BL513" s="324">
        <f t="shared" si="228"/>
        <v>0</v>
      </c>
      <c r="BM513" s="324">
        <f t="shared" si="229"/>
        <v>0</v>
      </c>
      <c r="BN513" s="324">
        <f t="shared" si="230"/>
        <v>0</v>
      </c>
      <c r="BO513" s="324">
        <f t="shared" si="231"/>
        <v>0</v>
      </c>
      <c r="BP513" s="324">
        <f t="shared" si="232"/>
        <v>0</v>
      </c>
      <c r="BQ513" s="324">
        <f t="shared" si="233"/>
        <v>0</v>
      </c>
      <c r="BR513" s="324">
        <f t="shared" si="234"/>
        <v>0</v>
      </c>
      <c r="BS513" s="324">
        <f t="shared" si="235"/>
        <v>0</v>
      </c>
      <c r="BT513" s="332">
        <f t="shared" si="236"/>
        <v>0</v>
      </c>
    </row>
    <row r="514" spans="1:72" ht="14.25">
      <c r="A514" s="297"/>
      <c r="B514" s="323"/>
      <c r="C514" s="323"/>
      <c r="D514" s="3"/>
      <c r="E514" s="324">
        <f t="shared" si="208"/>
        <v>0</v>
      </c>
      <c r="F514" s="325"/>
      <c r="G514" s="326">
        <f t="shared" si="209"/>
        <v>0</v>
      </c>
      <c r="H514" s="327">
        <f t="shared" si="210"/>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11"/>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12"/>
        <v>0</v>
      </c>
      <c r="AW514" s="7">
        <f t="shared" si="213"/>
        <v>0</v>
      </c>
      <c r="AX514" s="7">
        <f t="shared" si="214"/>
        <v>0</v>
      </c>
      <c r="AY514" s="331">
        <f t="shared" si="215"/>
        <v>0</v>
      </c>
      <c r="AZ514" s="324">
        <f t="shared" si="216"/>
        <v>0</v>
      </c>
      <c r="BA514" s="324">
        <f t="shared" si="217"/>
        <v>0</v>
      </c>
      <c r="BB514" s="324">
        <f t="shared" si="218"/>
        <v>0</v>
      </c>
      <c r="BC514" s="324">
        <f t="shared" si="219"/>
        <v>0</v>
      </c>
      <c r="BD514" s="324">
        <f t="shared" si="220"/>
        <v>0</v>
      </c>
      <c r="BE514" s="324">
        <f t="shared" si="221"/>
        <v>0</v>
      </c>
      <c r="BF514" s="324">
        <f t="shared" si="222"/>
        <v>0</v>
      </c>
      <c r="BG514" s="324">
        <f t="shared" si="223"/>
        <v>0</v>
      </c>
      <c r="BH514" s="324">
        <f t="shared" si="224"/>
        <v>0</v>
      </c>
      <c r="BI514" s="324">
        <f t="shared" si="225"/>
        <v>0</v>
      </c>
      <c r="BJ514" s="324">
        <f t="shared" si="226"/>
        <v>0</v>
      </c>
      <c r="BK514" s="324">
        <f t="shared" si="227"/>
        <v>0</v>
      </c>
      <c r="BL514" s="324">
        <f t="shared" si="228"/>
        <v>0</v>
      </c>
      <c r="BM514" s="324">
        <f t="shared" si="229"/>
        <v>0</v>
      </c>
      <c r="BN514" s="324">
        <f t="shared" si="230"/>
        <v>0</v>
      </c>
      <c r="BO514" s="324">
        <f t="shared" si="231"/>
        <v>0</v>
      </c>
      <c r="BP514" s="324">
        <f t="shared" si="232"/>
        <v>0</v>
      </c>
      <c r="BQ514" s="324">
        <f t="shared" si="233"/>
        <v>0</v>
      </c>
      <c r="BR514" s="324">
        <f t="shared" si="234"/>
        <v>0</v>
      </c>
      <c r="BS514" s="324">
        <f t="shared" si="235"/>
        <v>0</v>
      </c>
      <c r="BT514" s="332">
        <f t="shared" si="236"/>
        <v>0</v>
      </c>
    </row>
    <row r="515" spans="1:72" ht="14.25">
      <c r="A515" s="297"/>
      <c r="B515" s="323"/>
      <c r="C515" s="323"/>
      <c r="D515" s="3"/>
      <c r="E515" s="324">
        <f t="shared" si="208"/>
        <v>0</v>
      </c>
      <c r="F515" s="325"/>
      <c r="G515" s="326">
        <f t="shared" si="209"/>
        <v>0</v>
      </c>
      <c r="H515" s="327">
        <f t="shared" si="210"/>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11"/>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12"/>
        <v>0</v>
      </c>
      <c r="AW515" s="7">
        <f t="shared" si="213"/>
        <v>0</v>
      </c>
      <c r="AX515" s="7">
        <f t="shared" si="214"/>
        <v>0</v>
      </c>
      <c r="AY515" s="331">
        <f t="shared" si="215"/>
        <v>0</v>
      </c>
      <c r="AZ515" s="324">
        <f t="shared" si="216"/>
        <v>0</v>
      </c>
      <c r="BA515" s="324">
        <f t="shared" si="217"/>
        <v>0</v>
      </c>
      <c r="BB515" s="324">
        <f t="shared" si="218"/>
        <v>0</v>
      </c>
      <c r="BC515" s="324">
        <f t="shared" si="219"/>
        <v>0</v>
      </c>
      <c r="BD515" s="324">
        <f t="shared" si="220"/>
        <v>0</v>
      </c>
      <c r="BE515" s="324">
        <f t="shared" si="221"/>
        <v>0</v>
      </c>
      <c r="BF515" s="324">
        <f t="shared" si="222"/>
        <v>0</v>
      </c>
      <c r="BG515" s="324">
        <f t="shared" si="223"/>
        <v>0</v>
      </c>
      <c r="BH515" s="324">
        <f t="shared" si="224"/>
        <v>0</v>
      </c>
      <c r="BI515" s="324">
        <f t="shared" si="225"/>
        <v>0</v>
      </c>
      <c r="BJ515" s="324">
        <f t="shared" si="226"/>
        <v>0</v>
      </c>
      <c r="BK515" s="324">
        <f t="shared" si="227"/>
        <v>0</v>
      </c>
      <c r="BL515" s="324">
        <f t="shared" si="228"/>
        <v>0</v>
      </c>
      <c r="BM515" s="324">
        <f t="shared" si="229"/>
        <v>0</v>
      </c>
      <c r="BN515" s="324">
        <f t="shared" si="230"/>
        <v>0</v>
      </c>
      <c r="BO515" s="324">
        <f t="shared" si="231"/>
        <v>0</v>
      </c>
      <c r="BP515" s="324">
        <f t="shared" si="232"/>
        <v>0</v>
      </c>
      <c r="BQ515" s="324">
        <f t="shared" si="233"/>
        <v>0</v>
      </c>
      <c r="BR515" s="324">
        <f t="shared" si="234"/>
        <v>0</v>
      </c>
      <c r="BS515" s="324">
        <f t="shared" si="235"/>
        <v>0</v>
      </c>
      <c r="BT515" s="332">
        <f t="shared" si="236"/>
        <v>0</v>
      </c>
    </row>
    <row r="516" spans="1:72" ht="14.25">
      <c r="A516" s="297"/>
      <c r="B516" s="323"/>
      <c r="C516" s="323"/>
      <c r="D516" s="3"/>
      <c r="E516" s="324">
        <f t="shared" si="208"/>
        <v>0</v>
      </c>
      <c r="F516" s="325"/>
      <c r="G516" s="326">
        <f t="shared" si="209"/>
        <v>0</v>
      </c>
      <c r="H516" s="327">
        <f t="shared" si="210"/>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11"/>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12"/>
        <v>0</v>
      </c>
      <c r="AW516" s="7">
        <f t="shared" si="213"/>
        <v>0</v>
      </c>
      <c r="AX516" s="7">
        <f t="shared" si="214"/>
        <v>0</v>
      </c>
      <c r="AY516" s="331">
        <f t="shared" si="215"/>
        <v>0</v>
      </c>
      <c r="AZ516" s="324">
        <f t="shared" si="216"/>
        <v>0</v>
      </c>
      <c r="BA516" s="324">
        <f t="shared" si="217"/>
        <v>0</v>
      </c>
      <c r="BB516" s="324">
        <f t="shared" si="218"/>
        <v>0</v>
      </c>
      <c r="BC516" s="324">
        <f t="shared" si="219"/>
        <v>0</v>
      </c>
      <c r="BD516" s="324">
        <f t="shared" si="220"/>
        <v>0</v>
      </c>
      <c r="BE516" s="324">
        <f t="shared" si="221"/>
        <v>0</v>
      </c>
      <c r="BF516" s="324">
        <f t="shared" si="222"/>
        <v>0</v>
      </c>
      <c r="BG516" s="324">
        <f t="shared" si="223"/>
        <v>0</v>
      </c>
      <c r="BH516" s="324">
        <f t="shared" si="224"/>
        <v>0</v>
      </c>
      <c r="BI516" s="324">
        <f t="shared" si="225"/>
        <v>0</v>
      </c>
      <c r="BJ516" s="324">
        <f t="shared" si="226"/>
        <v>0</v>
      </c>
      <c r="BK516" s="324">
        <f t="shared" si="227"/>
        <v>0</v>
      </c>
      <c r="BL516" s="324">
        <f t="shared" si="228"/>
        <v>0</v>
      </c>
      <c r="BM516" s="324">
        <f t="shared" si="229"/>
        <v>0</v>
      </c>
      <c r="BN516" s="324">
        <f t="shared" si="230"/>
        <v>0</v>
      </c>
      <c r="BO516" s="324">
        <f t="shared" si="231"/>
        <v>0</v>
      </c>
      <c r="BP516" s="324">
        <f t="shared" si="232"/>
        <v>0</v>
      </c>
      <c r="BQ516" s="324">
        <f t="shared" si="233"/>
        <v>0</v>
      </c>
      <c r="BR516" s="324">
        <f t="shared" si="234"/>
        <v>0</v>
      </c>
      <c r="BS516" s="324">
        <f t="shared" si="235"/>
        <v>0</v>
      </c>
      <c r="BT516" s="332">
        <f t="shared" si="236"/>
        <v>0</v>
      </c>
    </row>
    <row r="517" spans="1:72" ht="14.25">
      <c r="A517" s="297"/>
      <c r="B517" s="323"/>
      <c r="C517" s="323"/>
      <c r="D517" s="3"/>
      <c r="E517" s="324">
        <f t="shared" si="208"/>
        <v>0</v>
      </c>
      <c r="F517" s="325"/>
      <c r="G517" s="326">
        <f t="shared" si="209"/>
        <v>0</v>
      </c>
      <c r="H517" s="327">
        <f t="shared" si="210"/>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11"/>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12"/>
        <v>0</v>
      </c>
      <c r="AW517" s="7">
        <f t="shared" si="213"/>
        <v>0</v>
      </c>
      <c r="AX517" s="7">
        <f t="shared" si="214"/>
        <v>0</v>
      </c>
      <c r="AY517" s="331">
        <f t="shared" si="215"/>
        <v>0</v>
      </c>
      <c r="AZ517" s="324">
        <f t="shared" si="216"/>
        <v>0</v>
      </c>
      <c r="BA517" s="324">
        <f t="shared" si="217"/>
        <v>0</v>
      </c>
      <c r="BB517" s="324">
        <f t="shared" si="218"/>
        <v>0</v>
      </c>
      <c r="BC517" s="324">
        <f t="shared" si="219"/>
        <v>0</v>
      </c>
      <c r="BD517" s="324">
        <f t="shared" si="220"/>
        <v>0</v>
      </c>
      <c r="BE517" s="324">
        <f t="shared" si="221"/>
        <v>0</v>
      </c>
      <c r="BF517" s="324">
        <f t="shared" si="222"/>
        <v>0</v>
      </c>
      <c r="BG517" s="324">
        <f t="shared" si="223"/>
        <v>0</v>
      </c>
      <c r="BH517" s="324">
        <f t="shared" si="224"/>
        <v>0</v>
      </c>
      <c r="BI517" s="324">
        <f t="shared" si="225"/>
        <v>0</v>
      </c>
      <c r="BJ517" s="324">
        <f t="shared" si="226"/>
        <v>0</v>
      </c>
      <c r="BK517" s="324">
        <f t="shared" si="227"/>
        <v>0</v>
      </c>
      <c r="BL517" s="324">
        <f t="shared" si="228"/>
        <v>0</v>
      </c>
      <c r="BM517" s="324">
        <f t="shared" si="229"/>
        <v>0</v>
      </c>
      <c r="BN517" s="324">
        <f t="shared" si="230"/>
        <v>0</v>
      </c>
      <c r="BO517" s="324">
        <f t="shared" si="231"/>
        <v>0</v>
      </c>
      <c r="BP517" s="324">
        <f t="shared" si="232"/>
        <v>0</v>
      </c>
      <c r="BQ517" s="324">
        <f t="shared" si="233"/>
        <v>0</v>
      </c>
      <c r="BR517" s="324">
        <f t="shared" si="234"/>
        <v>0</v>
      </c>
      <c r="BS517" s="324">
        <f t="shared" si="235"/>
        <v>0</v>
      </c>
      <c r="BT517" s="332">
        <f t="shared" si="236"/>
        <v>0</v>
      </c>
    </row>
    <row r="518" spans="1:72" ht="14.25">
      <c r="A518" s="297"/>
      <c r="B518" s="323"/>
      <c r="C518" s="323"/>
      <c r="D518" s="3"/>
      <c r="E518" s="324">
        <f t="shared" si="208"/>
        <v>0</v>
      </c>
      <c r="F518" s="325"/>
      <c r="G518" s="326">
        <f t="shared" si="209"/>
        <v>0</v>
      </c>
      <c r="H518" s="327">
        <f t="shared" si="210"/>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11"/>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12"/>
        <v>0</v>
      </c>
      <c r="AW518" s="7">
        <f t="shared" si="213"/>
        <v>0</v>
      </c>
      <c r="AX518" s="7">
        <f t="shared" si="214"/>
        <v>0</v>
      </c>
      <c r="AY518" s="331">
        <f t="shared" si="215"/>
        <v>0</v>
      </c>
      <c r="AZ518" s="324">
        <f t="shared" si="216"/>
        <v>0</v>
      </c>
      <c r="BA518" s="324">
        <f t="shared" si="217"/>
        <v>0</v>
      </c>
      <c r="BB518" s="324">
        <f t="shared" si="218"/>
        <v>0</v>
      </c>
      <c r="BC518" s="324">
        <f t="shared" si="219"/>
        <v>0</v>
      </c>
      <c r="BD518" s="324">
        <f t="shared" si="220"/>
        <v>0</v>
      </c>
      <c r="BE518" s="324">
        <f t="shared" si="221"/>
        <v>0</v>
      </c>
      <c r="BF518" s="324">
        <f t="shared" si="222"/>
        <v>0</v>
      </c>
      <c r="BG518" s="324">
        <f t="shared" si="223"/>
        <v>0</v>
      </c>
      <c r="BH518" s="324">
        <f t="shared" si="224"/>
        <v>0</v>
      </c>
      <c r="BI518" s="324">
        <f t="shared" si="225"/>
        <v>0</v>
      </c>
      <c r="BJ518" s="324">
        <f t="shared" si="226"/>
        <v>0</v>
      </c>
      <c r="BK518" s="324">
        <f t="shared" si="227"/>
        <v>0</v>
      </c>
      <c r="BL518" s="324">
        <f t="shared" si="228"/>
        <v>0</v>
      </c>
      <c r="BM518" s="324">
        <f t="shared" si="229"/>
        <v>0</v>
      </c>
      <c r="BN518" s="324">
        <f t="shared" si="230"/>
        <v>0</v>
      </c>
      <c r="BO518" s="324">
        <f t="shared" si="231"/>
        <v>0</v>
      </c>
      <c r="BP518" s="324">
        <f t="shared" si="232"/>
        <v>0</v>
      </c>
      <c r="BQ518" s="324">
        <f t="shared" si="233"/>
        <v>0</v>
      </c>
      <c r="BR518" s="324">
        <f t="shared" si="234"/>
        <v>0</v>
      </c>
      <c r="BS518" s="324">
        <f t="shared" si="235"/>
        <v>0</v>
      </c>
      <c r="BT518" s="332">
        <f t="shared" si="236"/>
        <v>0</v>
      </c>
    </row>
    <row r="519" spans="1:72" ht="14.25">
      <c r="A519" s="297"/>
      <c r="B519" s="323"/>
      <c r="C519" s="323"/>
      <c r="D519" s="3"/>
      <c r="E519" s="324">
        <f t="shared" si="208"/>
        <v>0</v>
      </c>
      <c r="F519" s="325"/>
      <c r="G519" s="326">
        <f t="shared" si="209"/>
        <v>0</v>
      </c>
      <c r="H519" s="327">
        <f t="shared" si="210"/>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11"/>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12"/>
        <v>0</v>
      </c>
      <c r="AW519" s="7">
        <f t="shared" si="213"/>
        <v>0</v>
      </c>
      <c r="AX519" s="7">
        <f t="shared" si="214"/>
        <v>0</v>
      </c>
      <c r="AY519" s="331">
        <f t="shared" si="215"/>
        <v>0</v>
      </c>
      <c r="AZ519" s="324">
        <f t="shared" si="216"/>
        <v>0</v>
      </c>
      <c r="BA519" s="324">
        <f t="shared" si="217"/>
        <v>0</v>
      </c>
      <c r="BB519" s="324">
        <f t="shared" si="218"/>
        <v>0</v>
      </c>
      <c r="BC519" s="324">
        <f t="shared" si="219"/>
        <v>0</v>
      </c>
      <c r="BD519" s="324">
        <f t="shared" si="220"/>
        <v>0</v>
      </c>
      <c r="BE519" s="324">
        <f t="shared" si="221"/>
        <v>0</v>
      </c>
      <c r="BF519" s="324">
        <f t="shared" si="222"/>
        <v>0</v>
      </c>
      <c r="BG519" s="324">
        <f t="shared" si="223"/>
        <v>0</v>
      </c>
      <c r="BH519" s="324">
        <f t="shared" si="224"/>
        <v>0</v>
      </c>
      <c r="BI519" s="324">
        <f t="shared" si="225"/>
        <v>0</v>
      </c>
      <c r="BJ519" s="324">
        <f t="shared" si="226"/>
        <v>0</v>
      </c>
      <c r="BK519" s="324">
        <f t="shared" si="227"/>
        <v>0</v>
      </c>
      <c r="BL519" s="324">
        <f t="shared" si="228"/>
        <v>0</v>
      </c>
      <c r="BM519" s="324">
        <f t="shared" si="229"/>
        <v>0</v>
      </c>
      <c r="BN519" s="324">
        <f t="shared" si="230"/>
        <v>0</v>
      </c>
      <c r="BO519" s="324">
        <f t="shared" si="231"/>
        <v>0</v>
      </c>
      <c r="BP519" s="324">
        <f t="shared" si="232"/>
        <v>0</v>
      </c>
      <c r="BQ519" s="324">
        <f t="shared" si="233"/>
        <v>0</v>
      </c>
      <c r="BR519" s="324">
        <f t="shared" si="234"/>
        <v>0</v>
      </c>
      <c r="BS519" s="324">
        <f t="shared" si="235"/>
        <v>0</v>
      </c>
      <c r="BT519" s="332">
        <f t="shared" si="236"/>
        <v>0</v>
      </c>
    </row>
    <row r="520" spans="1:72" ht="14.25">
      <c r="A520" s="297"/>
      <c r="B520" s="323"/>
      <c r="C520" s="323"/>
      <c r="D520" s="3"/>
      <c r="E520" s="324">
        <f t="shared" si="208"/>
        <v>0</v>
      </c>
      <c r="F520" s="325"/>
      <c r="G520" s="326">
        <f t="shared" si="209"/>
        <v>0</v>
      </c>
      <c r="H520" s="327">
        <f t="shared" si="210"/>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11"/>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12"/>
        <v>0</v>
      </c>
      <c r="AW520" s="7">
        <f t="shared" si="213"/>
        <v>0</v>
      </c>
      <c r="AX520" s="7">
        <f t="shared" si="214"/>
        <v>0</v>
      </c>
      <c r="AY520" s="331">
        <f t="shared" si="215"/>
        <v>0</v>
      </c>
      <c r="AZ520" s="324">
        <f t="shared" si="216"/>
        <v>0</v>
      </c>
      <c r="BA520" s="324">
        <f t="shared" si="217"/>
        <v>0</v>
      </c>
      <c r="BB520" s="324">
        <f t="shared" si="218"/>
        <v>0</v>
      </c>
      <c r="BC520" s="324">
        <f t="shared" si="219"/>
        <v>0</v>
      </c>
      <c r="BD520" s="324">
        <f t="shared" si="220"/>
        <v>0</v>
      </c>
      <c r="BE520" s="324">
        <f t="shared" si="221"/>
        <v>0</v>
      </c>
      <c r="BF520" s="324">
        <f t="shared" si="222"/>
        <v>0</v>
      </c>
      <c r="BG520" s="324">
        <f t="shared" si="223"/>
        <v>0</v>
      </c>
      <c r="BH520" s="324">
        <f t="shared" si="224"/>
        <v>0</v>
      </c>
      <c r="BI520" s="324">
        <f t="shared" si="225"/>
        <v>0</v>
      </c>
      <c r="BJ520" s="324">
        <f t="shared" si="226"/>
        <v>0</v>
      </c>
      <c r="BK520" s="324">
        <f t="shared" si="227"/>
        <v>0</v>
      </c>
      <c r="BL520" s="324">
        <f t="shared" si="228"/>
        <v>0</v>
      </c>
      <c r="BM520" s="324">
        <f t="shared" si="229"/>
        <v>0</v>
      </c>
      <c r="BN520" s="324">
        <f t="shared" si="230"/>
        <v>0</v>
      </c>
      <c r="BO520" s="324">
        <f t="shared" si="231"/>
        <v>0</v>
      </c>
      <c r="BP520" s="324">
        <f t="shared" si="232"/>
        <v>0</v>
      </c>
      <c r="BQ520" s="324">
        <f t="shared" si="233"/>
        <v>0</v>
      </c>
      <c r="BR520" s="324">
        <f t="shared" si="234"/>
        <v>0</v>
      </c>
      <c r="BS520" s="324">
        <f t="shared" si="235"/>
        <v>0</v>
      </c>
      <c r="BT520" s="332">
        <f t="shared" si="236"/>
        <v>0</v>
      </c>
    </row>
    <row r="521" spans="1:72" ht="14.25">
      <c r="A521" s="297"/>
      <c r="B521" s="323"/>
      <c r="C521" s="323"/>
      <c r="D521" s="3"/>
      <c r="E521" s="324">
        <f t="shared" si="208"/>
        <v>0</v>
      </c>
      <c r="F521" s="325"/>
      <c r="G521" s="326">
        <f t="shared" si="209"/>
        <v>0</v>
      </c>
      <c r="H521" s="327">
        <f t="shared" si="210"/>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11"/>
        <v>0</v>
      </c>
      <c r="AD521" s="329"/>
      <c r="AE521" s="329"/>
      <c r="AF521" s="329"/>
      <c r="AG521" s="329"/>
      <c r="AH521" s="329"/>
      <c r="AI521" s="329"/>
      <c r="AJ521" s="329"/>
      <c r="AK521" s="329"/>
      <c r="AL521" s="329"/>
      <c r="AM521" s="329"/>
      <c r="AN521" s="329"/>
      <c r="AO521" s="329"/>
      <c r="AP521" s="329"/>
      <c r="AQ521" s="329"/>
      <c r="AR521" s="329"/>
      <c r="AS521" s="329"/>
      <c r="AT521" s="330"/>
      <c r="AU521" s="8"/>
      <c r="AV521" s="7">
        <f t="shared" si="212"/>
        <v>0</v>
      </c>
      <c r="AW521" s="7">
        <f t="shared" si="213"/>
        <v>0</v>
      </c>
      <c r="AX521" s="7">
        <f t="shared" si="214"/>
        <v>0</v>
      </c>
      <c r="AY521" s="331">
        <f t="shared" si="215"/>
        <v>0</v>
      </c>
      <c r="AZ521" s="324">
        <f t="shared" si="216"/>
        <v>0</v>
      </c>
      <c r="BA521" s="324">
        <f t="shared" si="217"/>
        <v>0</v>
      </c>
      <c r="BB521" s="324">
        <f t="shared" si="218"/>
        <v>0</v>
      </c>
      <c r="BC521" s="324">
        <f t="shared" si="219"/>
        <v>0</v>
      </c>
      <c r="BD521" s="324">
        <f t="shared" si="220"/>
        <v>0</v>
      </c>
      <c r="BE521" s="324">
        <f t="shared" si="221"/>
        <v>0</v>
      </c>
      <c r="BF521" s="324">
        <f t="shared" si="222"/>
        <v>0</v>
      </c>
      <c r="BG521" s="324">
        <f t="shared" si="223"/>
        <v>0</v>
      </c>
      <c r="BH521" s="324">
        <f t="shared" si="224"/>
        <v>0</v>
      </c>
      <c r="BI521" s="324">
        <f t="shared" si="225"/>
        <v>0</v>
      </c>
      <c r="BJ521" s="324">
        <f t="shared" si="226"/>
        <v>0</v>
      </c>
      <c r="BK521" s="324">
        <f t="shared" si="227"/>
        <v>0</v>
      </c>
      <c r="BL521" s="324">
        <f t="shared" si="228"/>
        <v>0</v>
      </c>
      <c r="BM521" s="324">
        <f t="shared" si="229"/>
        <v>0</v>
      </c>
      <c r="BN521" s="324">
        <f t="shared" si="230"/>
        <v>0</v>
      </c>
      <c r="BO521" s="324">
        <f t="shared" si="231"/>
        <v>0</v>
      </c>
      <c r="BP521" s="324">
        <f t="shared" si="232"/>
        <v>0</v>
      </c>
      <c r="BQ521" s="324">
        <f t="shared" si="233"/>
        <v>0</v>
      </c>
      <c r="BR521" s="324">
        <f t="shared" si="234"/>
        <v>0</v>
      </c>
      <c r="BS521" s="324">
        <f t="shared" si="235"/>
        <v>0</v>
      </c>
      <c r="BT521" s="332">
        <f t="shared" si="236"/>
        <v>0</v>
      </c>
    </row>
    <row r="522" spans="1:72" ht="14.25">
      <c r="A522" s="297"/>
      <c r="B522" s="323"/>
      <c r="C522" s="323"/>
      <c r="D522" s="3"/>
      <c r="E522" s="324">
        <f t="shared" si="208"/>
        <v>0</v>
      </c>
      <c r="F522" s="325"/>
      <c r="G522" s="326">
        <f t="shared" si="209"/>
        <v>0</v>
      </c>
      <c r="H522" s="327">
        <f t="shared" si="210"/>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si="211"/>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12"/>
        <v>0</v>
      </c>
      <c r="AW522" s="7">
        <f t="shared" si="213"/>
        <v>0</v>
      </c>
      <c r="AX522" s="7">
        <f t="shared" si="214"/>
        <v>0</v>
      </c>
      <c r="AY522" s="331">
        <f t="shared" si="215"/>
        <v>0</v>
      </c>
      <c r="AZ522" s="324">
        <f t="shared" si="216"/>
        <v>0</v>
      </c>
      <c r="BA522" s="324">
        <f t="shared" si="217"/>
        <v>0</v>
      </c>
      <c r="BB522" s="324">
        <f t="shared" si="218"/>
        <v>0</v>
      </c>
      <c r="BC522" s="324">
        <f t="shared" si="219"/>
        <v>0</v>
      </c>
      <c r="BD522" s="324">
        <f t="shared" si="220"/>
        <v>0</v>
      </c>
      <c r="BE522" s="324">
        <f t="shared" si="221"/>
        <v>0</v>
      </c>
      <c r="BF522" s="324">
        <f t="shared" si="222"/>
        <v>0</v>
      </c>
      <c r="BG522" s="324">
        <f t="shared" si="223"/>
        <v>0</v>
      </c>
      <c r="BH522" s="324">
        <f t="shared" si="224"/>
        <v>0</v>
      </c>
      <c r="BI522" s="324">
        <f t="shared" si="225"/>
        <v>0</v>
      </c>
      <c r="BJ522" s="324">
        <f t="shared" si="226"/>
        <v>0</v>
      </c>
      <c r="BK522" s="324">
        <f t="shared" si="227"/>
        <v>0</v>
      </c>
      <c r="BL522" s="324">
        <f t="shared" si="228"/>
        <v>0</v>
      </c>
      <c r="BM522" s="324">
        <f t="shared" si="229"/>
        <v>0</v>
      </c>
      <c r="BN522" s="324">
        <f t="shared" si="230"/>
        <v>0</v>
      </c>
      <c r="BO522" s="324">
        <f t="shared" si="231"/>
        <v>0</v>
      </c>
      <c r="BP522" s="324">
        <f t="shared" si="232"/>
        <v>0</v>
      </c>
      <c r="BQ522" s="324">
        <f t="shared" si="233"/>
        <v>0</v>
      </c>
      <c r="BR522" s="324">
        <f t="shared" si="234"/>
        <v>0</v>
      </c>
      <c r="BS522" s="324">
        <f t="shared" si="235"/>
        <v>0</v>
      </c>
      <c r="BT522" s="332">
        <f t="shared" si="236"/>
        <v>0</v>
      </c>
    </row>
    <row r="523" spans="1:72" ht="14.25">
      <c r="A523" s="297"/>
      <c r="B523" s="323"/>
      <c r="C523" s="323"/>
      <c r="D523" s="3"/>
      <c r="E523" s="324">
        <f t="shared" si="208"/>
        <v>0</v>
      </c>
      <c r="F523" s="325"/>
      <c r="G523" s="326">
        <f t="shared" si="209"/>
        <v>0</v>
      </c>
      <c r="H523" s="327">
        <f t="shared" si="210"/>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211"/>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12"/>
        <v>0</v>
      </c>
      <c r="AW523" s="7">
        <f t="shared" si="213"/>
        <v>0</v>
      </c>
      <c r="AX523" s="7">
        <f t="shared" si="214"/>
        <v>0</v>
      </c>
      <c r="AY523" s="331">
        <f t="shared" si="215"/>
        <v>0</v>
      </c>
      <c r="AZ523" s="324">
        <f t="shared" si="216"/>
        <v>0</v>
      </c>
      <c r="BA523" s="324">
        <f t="shared" si="217"/>
        <v>0</v>
      </c>
      <c r="BB523" s="324">
        <f t="shared" si="218"/>
        <v>0</v>
      </c>
      <c r="BC523" s="324">
        <f t="shared" si="219"/>
        <v>0</v>
      </c>
      <c r="BD523" s="324">
        <f t="shared" si="220"/>
        <v>0</v>
      </c>
      <c r="BE523" s="324">
        <f t="shared" si="221"/>
        <v>0</v>
      </c>
      <c r="BF523" s="324">
        <f t="shared" si="222"/>
        <v>0</v>
      </c>
      <c r="BG523" s="324">
        <f t="shared" si="223"/>
        <v>0</v>
      </c>
      <c r="BH523" s="324">
        <f t="shared" si="224"/>
        <v>0</v>
      </c>
      <c r="BI523" s="324">
        <f t="shared" si="225"/>
        <v>0</v>
      </c>
      <c r="BJ523" s="324">
        <f t="shared" si="226"/>
        <v>0</v>
      </c>
      <c r="BK523" s="324">
        <f t="shared" si="227"/>
        <v>0</v>
      </c>
      <c r="BL523" s="324">
        <f t="shared" si="228"/>
        <v>0</v>
      </c>
      <c r="BM523" s="324">
        <f t="shared" si="229"/>
        <v>0</v>
      </c>
      <c r="BN523" s="324">
        <f t="shared" si="230"/>
        <v>0</v>
      </c>
      <c r="BO523" s="324">
        <f t="shared" si="231"/>
        <v>0</v>
      </c>
      <c r="BP523" s="324">
        <f t="shared" si="232"/>
        <v>0</v>
      </c>
      <c r="BQ523" s="324">
        <f t="shared" si="233"/>
        <v>0</v>
      </c>
      <c r="BR523" s="324">
        <f t="shared" si="234"/>
        <v>0</v>
      </c>
      <c r="BS523" s="324">
        <f t="shared" si="235"/>
        <v>0</v>
      </c>
      <c r="BT523" s="332">
        <f t="shared" si="236"/>
        <v>0</v>
      </c>
    </row>
    <row r="524" spans="1:72" ht="14.25">
      <c r="A524" s="297"/>
      <c r="B524" s="323"/>
      <c r="C524" s="323"/>
      <c r="D524" s="3"/>
      <c r="E524" s="324">
        <f t="shared" si="208"/>
        <v>0</v>
      </c>
      <c r="F524" s="325"/>
      <c r="G524" s="326">
        <f t="shared" si="209"/>
        <v>0</v>
      </c>
      <c r="H524" s="327">
        <f t="shared" si="210"/>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211"/>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12"/>
        <v>0</v>
      </c>
      <c r="AW524" s="7">
        <f t="shared" si="213"/>
        <v>0</v>
      </c>
      <c r="AX524" s="7">
        <f t="shared" si="214"/>
        <v>0</v>
      </c>
      <c r="AY524" s="331">
        <f t="shared" si="215"/>
        <v>0</v>
      </c>
      <c r="AZ524" s="324">
        <f t="shared" si="216"/>
        <v>0</v>
      </c>
      <c r="BA524" s="324">
        <f t="shared" si="217"/>
        <v>0</v>
      </c>
      <c r="BB524" s="324">
        <f t="shared" si="218"/>
        <v>0</v>
      </c>
      <c r="BC524" s="324">
        <f t="shared" si="219"/>
        <v>0</v>
      </c>
      <c r="BD524" s="324">
        <f t="shared" si="220"/>
        <v>0</v>
      </c>
      <c r="BE524" s="324">
        <f t="shared" si="221"/>
        <v>0</v>
      </c>
      <c r="BF524" s="324">
        <f t="shared" si="222"/>
        <v>0</v>
      </c>
      <c r="BG524" s="324">
        <f t="shared" si="223"/>
        <v>0</v>
      </c>
      <c r="BH524" s="324">
        <f t="shared" si="224"/>
        <v>0</v>
      </c>
      <c r="BI524" s="324">
        <f t="shared" si="225"/>
        <v>0</v>
      </c>
      <c r="BJ524" s="324">
        <f t="shared" si="226"/>
        <v>0</v>
      </c>
      <c r="BK524" s="324">
        <f t="shared" si="227"/>
        <v>0</v>
      </c>
      <c r="BL524" s="324">
        <f t="shared" si="228"/>
        <v>0</v>
      </c>
      <c r="BM524" s="324">
        <f t="shared" si="229"/>
        <v>0</v>
      </c>
      <c r="BN524" s="324">
        <f t="shared" si="230"/>
        <v>0</v>
      </c>
      <c r="BO524" s="324">
        <f t="shared" si="231"/>
        <v>0</v>
      </c>
      <c r="BP524" s="324">
        <f t="shared" si="232"/>
        <v>0</v>
      </c>
      <c r="BQ524" s="324">
        <f t="shared" si="233"/>
        <v>0</v>
      </c>
      <c r="BR524" s="324">
        <f t="shared" si="234"/>
        <v>0</v>
      </c>
      <c r="BS524" s="324">
        <f t="shared" si="235"/>
        <v>0</v>
      </c>
      <c r="BT524" s="332">
        <f t="shared" si="236"/>
        <v>0</v>
      </c>
    </row>
    <row r="525" spans="1:72" ht="14.25">
      <c r="A525" s="297"/>
      <c r="B525" s="323"/>
      <c r="C525" s="323"/>
      <c r="D525" s="3"/>
      <c r="E525" s="324">
        <f t="shared" ref="E525:E587" si="237">IF($C$3="是",ROUND($A$3*G525/$B$3,2),ROUND($A$3*(G525-AT525)/$B$3,2))</f>
        <v>0</v>
      </c>
      <c r="F525" s="325"/>
      <c r="G525" s="326">
        <f t="shared" ref="G525:G587" si="238">H525+AC525+AT525</f>
        <v>0</v>
      </c>
      <c r="H525" s="327">
        <f t="shared" ref="H525:H587" si="239">SUMIF(I$12:AB$12,"总值",I525:AB525)</f>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ref="AC525:AC587" si="240">SUMIF(AD$12:AS$12,"总值",AD525:AS525)</f>
        <v>0</v>
      </c>
      <c r="AD525" s="329"/>
      <c r="AE525" s="329"/>
      <c r="AF525" s="329"/>
      <c r="AG525" s="329"/>
      <c r="AH525" s="329"/>
      <c r="AI525" s="329"/>
      <c r="AJ525" s="329"/>
      <c r="AK525" s="329"/>
      <c r="AL525" s="329"/>
      <c r="AM525" s="329"/>
      <c r="AN525" s="329"/>
      <c r="AO525" s="329"/>
      <c r="AP525" s="329"/>
      <c r="AQ525" s="329"/>
      <c r="AR525" s="329"/>
      <c r="AS525" s="329"/>
      <c r="AT525" s="330"/>
      <c r="AU525" s="8"/>
      <c r="AV525" s="7">
        <f t="shared" ref="AV525:AV587" si="241">A525</f>
        <v>0</v>
      </c>
      <c r="AW525" s="7">
        <f t="shared" ref="AW525:AW587" si="242">B525</f>
        <v>0</v>
      </c>
      <c r="AX525" s="7">
        <f t="shared" ref="AX525:AX587" si="243">C525</f>
        <v>0</v>
      </c>
      <c r="AY525" s="331">
        <f t="shared" ref="AY525:AY587" si="244">ROUND($AY$6*AZ525/$AZ$5,2)</f>
        <v>0</v>
      </c>
      <c r="AZ525" s="324">
        <f t="shared" ref="AZ525:AZ587" si="245">BA525+BL525</f>
        <v>0</v>
      </c>
      <c r="BA525" s="324">
        <f t="shared" ref="BA525:BA587" si="246">SUM(BB525:BK525)</f>
        <v>0</v>
      </c>
      <c r="BB525" s="324">
        <f t="shared" ref="BB525:BB587" si="247">IF($D525="是",I525-J525,0)</f>
        <v>0</v>
      </c>
      <c r="BC525" s="324">
        <f t="shared" ref="BC525:BC587" si="248">IF($D525="是",K525-L525,0)</f>
        <v>0</v>
      </c>
      <c r="BD525" s="324">
        <f t="shared" ref="BD525:BD587" si="249">IF($D525="是",M525-N525,0)</f>
        <v>0</v>
      </c>
      <c r="BE525" s="324">
        <f t="shared" ref="BE525:BE587" si="250">IF($D525="是",O525-P525,0)</f>
        <v>0</v>
      </c>
      <c r="BF525" s="324">
        <f t="shared" ref="BF525:BF587" si="251">IF($D525="是",Q525-R525,0)</f>
        <v>0</v>
      </c>
      <c r="BG525" s="324">
        <f t="shared" ref="BG525:BG587" si="252">IF($D525="是",S525-T525,0)</f>
        <v>0</v>
      </c>
      <c r="BH525" s="324">
        <f t="shared" ref="BH525:BH587" si="253">IF($D525="是",U525-V525,0)</f>
        <v>0</v>
      </c>
      <c r="BI525" s="324">
        <f t="shared" ref="BI525:BI587" si="254">IF($D525="是",W525-X525,0)</f>
        <v>0</v>
      </c>
      <c r="BJ525" s="324">
        <f t="shared" ref="BJ525:BJ587" si="255">IF($D525="是",Y525-Z525,0)</f>
        <v>0</v>
      </c>
      <c r="BK525" s="324">
        <f t="shared" ref="BK525:BK587" si="256">IF($D525="是",AA525-AB525,0)</f>
        <v>0</v>
      </c>
      <c r="BL525" s="324">
        <f t="shared" ref="BL525:BL587" si="257">SUM(BM525:BT525)</f>
        <v>0</v>
      </c>
      <c r="BM525" s="324">
        <f t="shared" ref="BM525:BM587" si="258">IF($D525="是",AD525-AE525,0)</f>
        <v>0</v>
      </c>
      <c r="BN525" s="324">
        <f t="shared" ref="BN525:BN587" si="259">IF($D525="是",AF525-AG525,0)</f>
        <v>0</v>
      </c>
      <c r="BO525" s="324">
        <f t="shared" ref="BO525:BO587" si="260">IF($D525="是",AH525-AI525,0)</f>
        <v>0</v>
      </c>
      <c r="BP525" s="324">
        <f t="shared" ref="BP525:BP587" si="261">IF($D525="是",AJ525-AK525,0)</f>
        <v>0</v>
      </c>
      <c r="BQ525" s="324">
        <f t="shared" ref="BQ525:BQ587" si="262">IF($D525="是",AL525-AM525,0)</f>
        <v>0</v>
      </c>
      <c r="BR525" s="324">
        <f t="shared" ref="BR525:BR587" si="263">IF($D525="是",AN525-AO525,0)</f>
        <v>0</v>
      </c>
      <c r="BS525" s="324">
        <f t="shared" ref="BS525:BS587" si="264">IF($D525="是",AP525-AQ525,0)</f>
        <v>0</v>
      </c>
      <c r="BT525" s="332">
        <f t="shared" ref="BT525:BT587" si="265">IF($D525="是",AR525-AS525,0)</f>
        <v>0</v>
      </c>
    </row>
    <row r="526" spans="1:72" ht="14.25">
      <c r="A526" s="297"/>
      <c r="B526" s="323"/>
      <c r="C526" s="323"/>
      <c r="D526" s="3"/>
      <c r="E526" s="324">
        <f t="shared" si="237"/>
        <v>0</v>
      </c>
      <c r="F526" s="325"/>
      <c r="G526" s="326">
        <f t="shared" si="238"/>
        <v>0</v>
      </c>
      <c r="H526" s="327">
        <f t="shared" si="239"/>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240"/>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41"/>
        <v>0</v>
      </c>
      <c r="AW526" s="7">
        <f t="shared" si="242"/>
        <v>0</v>
      </c>
      <c r="AX526" s="7">
        <f t="shared" si="243"/>
        <v>0</v>
      </c>
      <c r="AY526" s="331">
        <f t="shared" si="244"/>
        <v>0</v>
      </c>
      <c r="AZ526" s="324">
        <f t="shared" si="245"/>
        <v>0</v>
      </c>
      <c r="BA526" s="324">
        <f t="shared" si="246"/>
        <v>0</v>
      </c>
      <c r="BB526" s="324">
        <f t="shared" si="247"/>
        <v>0</v>
      </c>
      <c r="BC526" s="324">
        <f t="shared" si="248"/>
        <v>0</v>
      </c>
      <c r="BD526" s="324">
        <f t="shared" si="249"/>
        <v>0</v>
      </c>
      <c r="BE526" s="324">
        <f t="shared" si="250"/>
        <v>0</v>
      </c>
      <c r="BF526" s="324">
        <f t="shared" si="251"/>
        <v>0</v>
      </c>
      <c r="BG526" s="324">
        <f t="shared" si="252"/>
        <v>0</v>
      </c>
      <c r="BH526" s="324">
        <f t="shared" si="253"/>
        <v>0</v>
      </c>
      <c r="BI526" s="324">
        <f t="shared" si="254"/>
        <v>0</v>
      </c>
      <c r="BJ526" s="324">
        <f t="shared" si="255"/>
        <v>0</v>
      </c>
      <c r="BK526" s="324">
        <f t="shared" si="256"/>
        <v>0</v>
      </c>
      <c r="BL526" s="324">
        <f t="shared" si="257"/>
        <v>0</v>
      </c>
      <c r="BM526" s="324">
        <f t="shared" si="258"/>
        <v>0</v>
      </c>
      <c r="BN526" s="324">
        <f t="shared" si="259"/>
        <v>0</v>
      </c>
      <c r="BO526" s="324">
        <f t="shared" si="260"/>
        <v>0</v>
      </c>
      <c r="BP526" s="324">
        <f t="shared" si="261"/>
        <v>0</v>
      </c>
      <c r="BQ526" s="324">
        <f t="shared" si="262"/>
        <v>0</v>
      </c>
      <c r="BR526" s="324">
        <f t="shared" si="263"/>
        <v>0</v>
      </c>
      <c r="BS526" s="324">
        <f t="shared" si="264"/>
        <v>0</v>
      </c>
      <c r="BT526" s="332">
        <f t="shared" si="265"/>
        <v>0</v>
      </c>
    </row>
    <row r="527" spans="1:72" ht="14.25">
      <c r="A527" s="297"/>
      <c r="B527" s="323"/>
      <c r="C527" s="323"/>
      <c r="D527" s="3"/>
      <c r="E527" s="324">
        <f t="shared" si="237"/>
        <v>0</v>
      </c>
      <c r="F527" s="325"/>
      <c r="G527" s="326">
        <f t="shared" si="238"/>
        <v>0</v>
      </c>
      <c r="H527" s="327">
        <f t="shared" si="239"/>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240"/>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41"/>
        <v>0</v>
      </c>
      <c r="AW527" s="7">
        <f t="shared" si="242"/>
        <v>0</v>
      </c>
      <c r="AX527" s="7">
        <f t="shared" si="243"/>
        <v>0</v>
      </c>
      <c r="AY527" s="331">
        <f t="shared" si="244"/>
        <v>0</v>
      </c>
      <c r="AZ527" s="324">
        <f t="shared" si="245"/>
        <v>0</v>
      </c>
      <c r="BA527" s="324">
        <f t="shared" si="246"/>
        <v>0</v>
      </c>
      <c r="BB527" s="324">
        <f t="shared" si="247"/>
        <v>0</v>
      </c>
      <c r="BC527" s="324">
        <f t="shared" si="248"/>
        <v>0</v>
      </c>
      <c r="BD527" s="324">
        <f t="shared" si="249"/>
        <v>0</v>
      </c>
      <c r="BE527" s="324">
        <f t="shared" si="250"/>
        <v>0</v>
      </c>
      <c r="BF527" s="324">
        <f t="shared" si="251"/>
        <v>0</v>
      </c>
      <c r="BG527" s="324">
        <f t="shared" si="252"/>
        <v>0</v>
      </c>
      <c r="BH527" s="324">
        <f t="shared" si="253"/>
        <v>0</v>
      </c>
      <c r="BI527" s="324">
        <f t="shared" si="254"/>
        <v>0</v>
      </c>
      <c r="BJ527" s="324">
        <f t="shared" si="255"/>
        <v>0</v>
      </c>
      <c r="BK527" s="324">
        <f t="shared" si="256"/>
        <v>0</v>
      </c>
      <c r="BL527" s="324">
        <f t="shared" si="257"/>
        <v>0</v>
      </c>
      <c r="BM527" s="324">
        <f t="shared" si="258"/>
        <v>0</v>
      </c>
      <c r="BN527" s="324">
        <f t="shared" si="259"/>
        <v>0</v>
      </c>
      <c r="BO527" s="324">
        <f t="shared" si="260"/>
        <v>0</v>
      </c>
      <c r="BP527" s="324">
        <f t="shared" si="261"/>
        <v>0</v>
      </c>
      <c r="BQ527" s="324">
        <f t="shared" si="262"/>
        <v>0</v>
      </c>
      <c r="BR527" s="324">
        <f t="shared" si="263"/>
        <v>0</v>
      </c>
      <c r="BS527" s="324">
        <f t="shared" si="264"/>
        <v>0</v>
      </c>
      <c r="BT527" s="332">
        <f t="shared" si="265"/>
        <v>0</v>
      </c>
    </row>
    <row r="528" spans="1:72" ht="14.25">
      <c r="A528" s="297"/>
      <c r="B528" s="323"/>
      <c r="C528" s="323"/>
      <c r="D528" s="3"/>
      <c r="E528" s="324">
        <f t="shared" si="237"/>
        <v>0</v>
      </c>
      <c r="F528" s="325"/>
      <c r="G528" s="326">
        <f t="shared" si="238"/>
        <v>0</v>
      </c>
      <c r="H528" s="327">
        <f t="shared" si="239"/>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240"/>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41"/>
        <v>0</v>
      </c>
      <c r="AW528" s="7">
        <f t="shared" si="242"/>
        <v>0</v>
      </c>
      <c r="AX528" s="7">
        <f t="shared" si="243"/>
        <v>0</v>
      </c>
      <c r="AY528" s="331">
        <f t="shared" si="244"/>
        <v>0</v>
      </c>
      <c r="AZ528" s="324">
        <f t="shared" si="245"/>
        <v>0</v>
      </c>
      <c r="BA528" s="324">
        <f t="shared" si="246"/>
        <v>0</v>
      </c>
      <c r="BB528" s="324">
        <f t="shared" si="247"/>
        <v>0</v>
      </c>
      <c r="BC528" s="324">
        <f t="shared" si="248"/>
        <v>0</v>
      </c>
      <c r="BD528" s="324">
        <f t="shared" si="249"/>
        <v>0</v>
      </c>
      <c r="BE528" s="324">
        <f t="shared" si="250"/>
        <v>0</v>
      </c>
      <c r="BF528" s="324">
        <f t="shared" si="251"/>
        <v>0</v>
      </c>
      <c r="BG528" s="324">
        <f t="shared" si="252"/>
        <v>0</v>
      </c>
      <c r="BH528" s="324">
        <f t="shared" si="253"/>
        <v>0</v>
      </c>
      <c r="BI528" s="324">
        <f t="shared" si="254"/>
        <v>0</v>
      </c>
      <c r="BJ528" s="324">
        <f t="shared" si="255"/>
        <v>0</v>
      </c>
      <c r="BK528" s="324">
        <f t="shared" si="256"/>
        <v>0</v>
      </c>
      <c r="BL528" s="324">
        <f t="shared" si="257"/>
        <v>0</v>
      </c>
      <c r="BM528" s="324">
        <f t="shared" si="258"/>
        <v>0</v>
      </c>
      <c r="BN528" s="324">
        <f t="shared" si="259"/>
        <v>0</v>
      </c>
      <c r="BO528" s="324">
        <f t="shared" si="260"/>
        <v>0</v>
      </c>
      <c r="BP528" s="324">
        <f t="shared" si="261"/>
        <v>0</v>
      </c>
      <c r="BQ528" s="324">
        <f t="shared" si="262"/>
        <v>0</v>
      </c>
      <c r="BR528" s="324">
        <f t="shared" si="263"/>
        <v>0</v>
      </c>
      <c r="BS528" s="324">
        <f t="shared" si="264"/>
        <v>0</v>
      </c>
      <c r="BT528" s="332">
        <f t="shared" si="265"/>
        <v>0</v>
      </c>
    </row>
    <row r="529" spans="1:72" ht="14.25">
      <c r="A529" s="297"/>
      <c r="B529" s="323"/>
      <c r="C529" s="323"/>
      <c r="D529" s="3"/>
      <c r="E529" s="324">
        <f t="shared" si="237"/>
        <v>0</v>
      </c>
      <c r="F529" s="325"/>
      <c r="G529" s="326">
        <f t="shared" si="238"/>
        <v>0</v>
      </c>
      <c r="H529" s="327">
        <f t="shared" si="239"/>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240"/>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41"/>
        <v>0</v>
      </c>
      <c r="AW529" s="7">
        <f t="shared" si="242"/>
        <v>0</v>
      </c>
      <c r="AX529" s="7">
        <f t="shared" si="243"/>
        <v>0</v>
      </c>
      <c r="AY529" s="331">
        <f t="shared" si="244"/>
        <v>0</v>
      </c>
      <c r="AZ529" s="324">
        <f t="shared" si="245"/>
        <v>0</v>
      </c>
      <c r="BA529" s="324">
        <f t="shared" si="246"/>
        <v>0</v>
      </c>
      <c r="BB529" s="324">
        <f t="shared" si="247"/>
        <v>0</v>
      </c>
      <c r="BC529" s="324">
        <f t="shared" si="248"/>
        <v>0</v>
      </c>
      <c r="BD529" s="324">
        <f t="shared" si="249"/>
        <v>0</v>
      </c>
      <c r="BE529" s="324">
        <f t="shared" si="250"/>
        <v>0</v>
      </c>
      <c r="BF529" s="324">
        <f t="shared" si="251"/>
        <v>0</v>
      </c>
      <c r="BG529" s="324">
        <f t="shared" si="252"/>
        <v>0</v>
      </c>
      <c r="BH529" s="324">
        <f t="shared" si="253"/>
        <v>0</v>
      </c>
      <c r="BI529" s="324">
        <f t="shared" si="254"/>
        <v>0</v>
      </c>
      <c r="BJ529" s="324">
        <f t="shared" si="255"/>
        <v>0</v>
      </c>
      <c r="BK529" s="324">
        <f t="shared" si="256"/>
        <v>0</v>
      </c>
      <c r="BL529" s="324">
        <f t="shared" si="257"/>
        <v>0</v>
      </c>
      <c r="BM529" s="324">
        <f t="shared" si="258"/>
        <v>0</v>
      </c>
      <c r="BN529" s="324">
        <f t="shared" si="259"/>
        <v>0</v>
      </c>
      <c r="BO529" s="324">
        <f t="shared" si="260"/>
        <v>0</v>
      </c>
      <c r="BP529" s="324">
        <f t="shared" si="261"/>
        <v>0</v>
      </c>
      <c r="BQ529" s="324">
        <f t="shared" si="262"/>
        <v>0</v>
      </c>
      <c r="BR529" s="324">
        <f t="shared" si="263"/>
        <v>0</v>
      </c>
      <c r="BS529" s="324">
        <f t="shared" si="264"/>
        <v>0</v>
      </c>
      <c r="BT529" s="332">
        <f t="shared" si="265"/>
        <v>0</v>
      </c>
    </row>
    <row r="530" spans="1:72" ht="14.25">
      <c r="A530" s="297"/>
      <c r="B530" s="323"/>
      <c r="C530" s="323"/>
      <c r="D530" s="3"/>
      <c r="E530" s="324">
        <f t="shared" si="237"/>
        <v>0</v>
      </c>
      <c r="F530" s="325"/>
      <c r="G530" s="326">
        <f t="shared" si="238"/>
        <v>0</v>
      </c>
      <c r="H530" s="327">
        <f t="shared" si="239"/>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240"/>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41"/>
        <v>0</v>
      </c>
      <c r="AW530" s="7">
        <f t="shared" si="242"/>
        <v>0</v>
      </c>
      <c r="AX530" s="7">
        <f t="shared" si="243"/>
        <v>0</v>
      </c>
      <c r="AY530" s="331">
        <f t="shared" si="244"/>
        <v>0</v>
      </c>
      <c r="AZ530" s="324">
        <f t="shared" si="245"/>
        <v>0</v>
      </c>
      <c r="BA530" s="324">
        <f t="shared" si="246"/>
        <v>0</v>
      </c>
      <c r="BB530" s="324">
        <f t="shared" si="247"/>
        <v>0</v>
      </c>
      <c r="BC530" s="324">
        <f t="shared" si="248"/>
        <v>0</v>
      </c>
      <c r="BD530" s="324">
        <f t="shared" si="249"/>
        <v>0</v>
      </c>
      <c r="BE530" s="324">
        <f t="shared" si="250"/>
        <v>0</v>
      </c>
      <c r="BF530" s="324">
        <f t="shared" si="251"/>
        <v>0</v>
      </c>
      <c r="BG530" s="324">
        <f t="shared" si="252"/>
        <v>0</v>
      </c>
      <c r="BH530" s="324">
        <f t="shared" si="253"/>
        <v>0</v>
      </c>
      <c r="BI530" s="324">
        <f t="shared" si="254"/>
        <v>0</v>
      </c>
      <c r="BJ530" s="324">
        <f t="shared" si="255"/>
        <v>0</v>
      </c>
      <c r="BK530" s="324">
        <f t="shared" si="256"/>
        <v>0</v>
      </c>
      <c r="BL530" s="324">
        <f t="shared" si="257"/>
        <v>0</v>
      </c>
      <c r="BM530" s="324">
        <f t="shared" si="258"/>
        <v>0</v>
      </c>
      <c r="BN530" s="324">
        <f t="shared" si="259"/>
        <v>0</v>
      </c>
      <c r="BO530" s="324">
        <f t="shared" si="260"/>
        <v>0</v>
      </c>
      <c r="BP530" s="324">
        <f t="shared" si="261"/>
        <v>0</v>
      </c>
      <c r="BQ530" s="324">
        <f t="shared" si="262"/>
        <v>0</v>
      </c>
      <c r="BR530" s="324">
        <f t="shared" si="263"/>
        <v>0</v>
      </c>
      <c r="BS530" s="324">
        <f t="shared" si="264"/>
        <v>0</v>
      </c>
      <c r="BT530" s="332">
        <f t="shared" si="265"/>
        <v>0</v>
      </c>
    </row>
    <row r="531" spans="1:72" ht="14.25">
      <c r="A531" s="297"/>
      <c r="B531" s="323"/>
      <c r="C531" s="323"/>
      <c r="D531" s="3"/>
      <c r="E531" s="324">
        <f t="shared" si="237"/>
        <v>0</v>
      </c>
      <c r="F531" s="325"/>
      <c r="G531" s="326">
        <f t="shared" si="238"/>
        <v>0</v>
      </c>
      <c r="H531" s="327">
        <f t="shared" si="239"/>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240"/>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41"/>
        <v>0</v>
      </c>
      <c r="AW531" s="7">
        <f t="shared" si="242"/>
        <v>0</v>
      </c>
      <c r="AX531" s="7">
        <f t="shared" si="243"/>
        <v>0</v>
      </c>
      <c r="AY531" s="331">
        <f t="shared" si="244"/>
        <v>0</v>
      </c>
      <c r="AZ531" s="324">
        <f t="shared" si="245"/>
        <v>0</v>
      </c>
      <c r="BA531" s="324">
        <f t="shared" si="246"/>
        <v>0</v>
      </c>
      <c r="BB531" s="324">
        <f t="shared" si="247"/>
        <v>0</v>
      </c>
      <c r="BC531" s="324">
        <f t="shared" si="248"/>
        <v>0</v>
      </c>
      <c r="BD531" s="324">
        <f t="shared" si="249"/>
        <v>0</v>
      </c>
      <c r="BE531" s="324">
        <f t="shared" si="250"/>
        <v>0</v>
      </c>
      <c r="BF531" s="324">
        <f t="shared" si="251"/>
        <v>0</v>
      </c>
      <c r="BG531" s="324">
        <f t="shared" si="252"/>
        <v>0</v>
      </c>
      <c r="BH531" s="324">
        <f t="shared" si="253"/>
        <v>0</v>
      </c>
      <c r="BI531" s="324">
        <f t="shared" si="254"/>
        <v>0</v>
      </c>
      <c r="BJ531" s="324">
        <f t="shared" si="255"/>
        <v>0</v>
      </c>
      <c r="BK531" s="324">
        <f t="shared" si="256"/>
        <v>0</v>
      </c>
      <c r="BL531" s="324">
        <f t="shared" si="257"/>
        <v>0</v>
      </c>
      <c r="BM531" s="324">
        <f t="shared" si="258"/>
        <v>0</v>
      </c>
      <c r="BN531" s="324">
        <f t="shared" si="259"/>
        <v>0</v>
      </c>
      <c r="BO531" s="324">
        <f t="shared" si="260"/>
        <v>0</v>
      </c>
      <c r="BP531" s="324">
        <f t="shared" si="261"/>
        <v>0</v>
      </c>
      <c r="BQ531" s="324">
        <f t="shared" si="262"/>
        <v>0</v>
      </c>
      <c r="BR531" s="324">
        <f t="shared" si="263"/>
        <v>0</v>
      </c>
      <c r="BS531" s="324">
        <f t="shared" si="264"/>
        <v>0</v>
      </c>
      <c r="BT531" s="332">
        <f t="shared" si="265"/>
        <v>0</v>
      </c>
    </row>
    <row r="532" spans="1:72" ht="14.25">
      <c r="A532" s="297"/>
      <c r="B532" s="323"/>
      <c r="C532" s="323"/>
      <c r="D532" s="3"/>
      <c r="E532" s="324">
        <f t="shared" si="237"/>
        <v>0</v>
      </c>
      <c r="F532" s="325"/>
      <c r="G532" s="326">
        <f t="shared" si="238"/>
        <v>0</v>
      </c>
      <c r="H532" s="327">
        <f t="shared" si="239"/>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240"/>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41"/>
        <v>0</v>
      </c>
      <c r="AW532" s="7">
        <f t="shared" si="242"/>
        <v>0</v>
      </c>
      <c r="AX532" s="7">
        <f t="shared" si="243"/>
        <v>0</v>
      </c>
      <c r="AY532" s="331">
        <f t="shared" si="244"/>
        <v>0</v>
      </c>
      <c r="AZ532" s="324">
        <f t="shared" si="245"/>
        <v>0</v>
      </c>
      <c r="BA532" s="324">
        <f t="shared" si="246"/>
        <v>0</v>
      </c>
      <c r="BB532" s="324">
        <f t="shared" si="247"/>
        <v>0</v>
      </c>
      <c r="BC532" s="324">
        <f t="shared" si="248"/>
        <v>0</v>
      </c>
      <c r="BD532" s="324">
        <f t="shared" si="249"/>
        <v>0</v>
      </c>
      <c r="BE532" s="324">
        <f t="shared" si="250"/>
        <v>0</v>
      </c>
      <c r="BF532" s="324">
        <f t="shared" si="251"/>
        <v>0</v>
      </c>
      <c r="BG532" s="324">
        <f t="shared" si="252"/>
        <v>0</v>
      </c>
      <c r="BH532" s="324">
        <f t="shared" si="253"/>
        <v>0</v>
      </c>
      <c r="BI532" s="324">
        <f t="shared" si="254"/>
        <v>0</v>
      </c>
      <c r="BJ532" s="324">
        <f t="shared" si="255"/>
        <v>0</v>
      </c>
      <c r="BK532" s="324">
        <f t="shared" si="256"/>
        <v>0</v>
      </c>
      <c r="BL532" s="324">
        <f t="shared" si="257"/>
        <v>0</v>
      </c>
      <c r="BM532" s="324">
        <f t="shared" si="258"/>
        <v>0</v>
      </c>
      <c r="BN532" s="324">
        <f t="shared" si="259"/>
        <v>0</v>
      </c>
      <c r="BO532" s="324">
        <f t="shared" si="260"/>
        <v>0</v>
      </c>
      <c r="BP532" s="324">
        <f t="shared" si="261"/>
        <v>0</v>
      </c>
      <c r="BQ532" s="324">
        <f t="shared" si="262"/>
        <v>0</v>
      </c>
      <c r="BR532" s="324">
        <f t="shared" si="263"/>
        <v>0</v>
      </c>
      <c r="BS532" s="324">
        <f t="shared" si="264"/>
        <v>0</v>
      </c>
      <c r="BT532" s="332">
        <f t="shared" si="265"/>
        <v>0</v>
      </c>
    </row>
    <row r="533" spans="1:72" ht="14.25">
      <c r="A533" s="297"/>
      <c r="B533" s="323"/>
      <c r="C533" s="323"/>
      <c r="D533" s="3"/>
      <c r="E533" s="324">
        <f t="shared" si="237"/>
        <v>0</v>
      </c>
      <c r="F533" s="325"/>
      <c r="G533" s="326">
        <f t="shared" si="238"/>
        <v>0</v>
      </c>
      <c r="H533" s="327">
        <f t="shared" si="239"/>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240"/>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41"/>
        <v>0</v>
      </c>
      <c r="AW533" s="7">
        <f t="shared" si="242"/>
        <v>0</v>
      </c>
      <c r="AX533" s="7">
        <f t="shared" si="243"/>
        <v>0</v>
      </c>
      <c r="AY533" s="331">
        <f t="shared" si="244"/>
        <v>0</v>
      </c>
      <c r="AZ533" s="324">
        <f t="shared" si="245"/>
        <v>0</v>
      </c>
      <c r="BA533" s="324">
        <f t="shared" si="246"/>
        <v>0</v>
      </c>
      <c r="BB533" s="324">
        <f t="shared" si="247"/>
        <v>0</v>
      </c>
      <c r="BC533" s="324">
        <f t="shared" si="248"/>
        <v>0</v>
      </c>
      <c r="BD533" s="324">
        <f t="shared" si="249"/>
        <v>0</v>
      </c>
      <c r="BE533" s="324">
        <f t="shared" si="250"/>
        <v>0</v>
      </c>
      <c r="BF533" s="324">
        <f t="shared" si="251"/>
        <v>0</v>
      </c>
      <c r="BG533" s="324">
        <f t="shared" si="252"/>
        <v>0</v>
      </c>
      <c r="BH533" s="324">
        <f t="shared" si="253"/>
        <v>0</v>
      </c>
      <c r="BI533" s="324">
        <f t="shared" si="254"/>
        <v>0</v>
      </c>
      <c r="BJ533" s="324">
        <f t="shared" si="255"/>
        <v>0</v>
      </c>
      <c r="BK533" s="324">
        <f t="shared" si="256"/>
        <v>0</v>
      </c>
      <c r="BL533" s="324">
        <f t="shared" si="257"/>
        <v>0</v>
      </c>
      <c r="BM533" s="324">
        <f t="shared" si="258"/>
        <v>0</v>
      </c>
      <c r="BN533" s="324">
        <f t="shared" si="259"/>
        <v>0</v>
      </c>
      <c r="BO533" s="324">
        <f t="shared" si="260"/>
        <v>0</v>
      </c>
      <c r="BP533" s="324">
        <f t="shared" si="261"/>
        <v>0</v>
      </c>
      <c r="BQ533" s="324">
        <f t="shared" si="262"/>
        <v>0</v>
      </c>
      <c r="BR533" s="324">
        <f t="shared" si="263"/>
        <v>0</v>
      </c>
      <c r="BS533" s="324">
        <f t="shared" si="264"/>
        <v>0</v>
      </c>
      <c r="BT533" s="332">
        <f t="shared" si="265"/>
        <v>0</v>
      </c>
    </row>
    <row r="534" spans="1:72" ht="14.25">
      <c r="A534" s="297"/>
      <c r="B534" s="323"/>
      <c r="C534" s="323"/>
      <c r="D534" s="3"/>
      <c r="E534" s="324">
        <f t="shared" si="237"/>
        <v>0</v>
      </c>
      <c r="F534" s="325"/>
      <c r="G534" s="326">
        <f t="shared" si="238"/>
        <v>0</v>
      </c>
      <c r="H534" s="327">
        <f t="shared" si="239"/>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240"/>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41"/>
        <v>0</v>
      </c>
      <c r="AW534" s="7">
        <f t="shared" si="242"/>
        <v>0</v>
      </c>
      <c r="AX534" s="7">
        <f t="shared" si="243"/>
        <v>0</v>
      </c>
      <c r="AY534" s="331">
        <f t="shared" si="244"/>
        <v>0</v>
      </c>
      <c r="AZ534" s="324">
        <f t="shared" si="245"/>
        <v>0</v>
      </c>
      <c r="BA534" s="324">
        <f t="shared" si="246"/>
        <v>0</v>
      </c>
      <c r="BB534" s="324">
        <f t="shared" si="247"/>
        <v>0</v>
      </c>
      <c r="BC534" s="324">
        <f t="shared" si="248"/>
        <v>0</v>
      </c>
      <c r="BD534" s="324">
        <f t="shared" si="249"/>
        <v>0</v>
      </c>
      <c r="BE534" s="324">
        <f t="shared" si="250"/>
        <v>0</v>
      </c>
      <c r="BF534" s="324">
        <f t="shared" si="251"/>
        <v>0</v>
      </c>
      <c r="BG534" s="324">
        <f t="shared" si="252"/>
        <v>0</v>
      </c>
      <c r="BH534" s="324">
        <f t="shared" si="253"/>
        <v>0</v>
      </c>
      <c r="BI534" s="324">
        <f t="shared" si="254"/>
        <v>0</v>
      </c>
      <c r="BJ534" s="324">
        <f t="shared" si="255"/>
        <v>0</v>
      </c>
      <c r="BK534" s="324">
        <f t="shared" si="256"/>
        <v>0</v>
      </c>
      <c r="BL534" s="324">
        <f t="shared" si="257"/>
        <v>0</v>
      </c>
      <c r="BM534" s="324">
        <f t="shared" si="258"/>
        <v>0</v>
      </c>
      <c r="BN534" s="324">
        <f t="shared" si="259"/>
        <v>0</v>
      </c>
      <c r="BO534" s="324">
        <f t="shared" si="260"/>
        <v>0</v>
      </c>
      <c r="BP534" s="324">
        <f t="shared" si="261"/>
        <v>0</v>
      </c>
      <c r="BQ534" s="324">
        <f t="shared" si="262"/>
        <v>0</v>
      </c>
      <c r="BR534" s="324">
        <f t="shared" si="263"/>
        <v>0</v>
      </c>
      <c r="BS534" s="324">
        <f t="shared" si="264"/>
        <v>0</v>
      </c>
      <c r="BT534" s="332">
        <f t="shared" si="265"/>
        <v>0</v>
      </c>
    </row>
    <row r="535" spans="1:72" ht="14.25">
      <c r="A535" s="297"/>
      <c r="B535" s="323"/>
      <c r="C535" s="323"/>
      <c r="D535" s="3"/>
      <c r="E535" s="324">
        <f t="shared" si="237"/>
        <v>0</v>
      </c>
      <c r="F535" s="325"/>
      <c r="G535" s="326">
        <f t="shared" si="238"/>
        <v>0</v>
      </c>
      <c r="H535" s="327">
        <f t="shared" si="239"/>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240"/>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41"/>
        <v>0</v>
      </c>
      <c r="AW535" s="7">
        <f t="shared" si="242"/>
        <v>0</v>
      </c>
      <c r="AX535" s="7">
        <f t="shared" si="243"/>
        <v>0</v>
      </c>
      <c r="AY535" s="331">
        <f t="shared" si="244"/>
        <v>0</v>
      </c>
      <c r="AZ535" s="324">
        <f t="shared" si="245"/>
        <v>0</v>
      </c>
      <c r="BA535" s="324">
        <f t="shared" si="246"/>
        <v>0</v>
      </c>
      <c r="BB535" s="324">
        <f t="shared" si="247"/>
        <v>0</v>
      </c>
      <c r="BC535" s="324">
        <f t="shared" si="248"/>
        <v>0</v>
      </c>
      <c r="BD535" s="324">
        <f t="shared" si="249"/>
        <v>0</v>
      </c>
      <c r="BE535" s="324">
        <f t="shared" si="250"/>
        <v>0</v>
      </c>
      <c r="BF535" s="324">
        <f t="shared" si="251"/>
        <v>0</v>
      </c>
      <c r="BG535" s="324">
        <f t="shared" si="252"/>
        <v>0</v>
      </c>
      <c r="BH535" s="324">
        <f t="shared" si="253"/>
        <v>0</v>
      </c>
      <c r="BI535" s="324">
        <f t="shared" si="254"/>
        <v>0</v>
      </c>
      <c r="BJ535" s="324">
        <f t="shared" si="255"/>
        <v>0</v>
      </c>
      <c r="BK535" s="324">
        <f t="shared" si="256"/>
        <v>0</v>
      </c>
      <c r="BL535" s="324">
        <f t="shared" si="257"/>
        <v>0</v>
      </c>
      <c r="BM535" s="324">
        <f t="shared" si="258"/>
        <v>0</v>
      </c>
      <c r="BN535" s="324">
        <f t="shared" si="259"/>
        <v>0</v>
      </c>
      <c r="BO535" s="324">
        <f t="shared" si="260"/>
        <v>0</v>
      </c>
      <c r="BP535" s="324">
        <f t="shared" si="261"/>
        <v>0</v>
      </c>
      <c r="BQ535" s="324">
        <f t="shared" si="262"/>
        <v>0</v>
      </c>
      <c r="BR535" s="324">
        <f t="shared" si="263"/>
        <v>0</v>
      </c>
      <c r="BS535" s="324">
        <f t="shared" si="264"/>
        <v>0</v>
      </c>
      <c r="BT535" s="332">
        <f t="shared" si="265"/>
        <v>0</v>
      </c>
    </row>
    <row r="536" spans="1:72" ht="14.25">
      <c r="A536" s="297"/>
      <c r="B536" s="323"/>
      <c r="C536" s="323"/>
      <c r="D536" s="3"/>
      <c r="E536" s="324">
        <f t="shared" si="237"/>
        <v>0</v>
      </c>
      <c r="F536" s="325"/>
      <c r="G536" s="326">
        <f t="shared" si="238"/>
        <v>0</v>
      </c>
      <c r="H536" s="327">
        <f t="shared" si="239"/>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240"/>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41"/>
        <v>0</v>
      </c>
      <c r="AW536" s="7">
        <f t="shared" si="242"/>
        <v>0</v>
      </c>
      <c r="AX536" s="7">
        <f t="shared" si="243"/>
        <v>0</v>
      </c>
      <c r="AY536" s="331">
        <f t="shared" si="244"/>
        <v>0</v>
      </c>
      <c r="AZ536" s="324">
        <f t="shared" si="245"/>
        <v>0</v>
      </c>
      <c r="BA536" s="324">
        <f t="shared" si="246"/>
        <v>0</v>
      </c>
      <c r="BB536" s="324">
        <f t="shared" si="247"/>
        <v>0</v>
      </c>
      <c r="BC536" s="324">
        <f t="shared" si="248"/>
        <v>0</v>
      </c>
      <c r="BD536" s="324">
        <f t="shared" si="249"/>
        <v>0</v>
      </c>
      <c r="BE536" s="324">
        <f t="shared" si="250"/>
        <v>0</v>
      </c>
      <c r="BF536" s="324">
        <f t="shared" si="251"/>
        <v>0</v>
      </c>
      <c r="BG536" s="324">
        <f t="shared" si="252"/>
        <v>0</v>
      </c>
      <c r="BH536" s="324">
        <f t="shared" si="253"/>
        <v>0</v>
      </c>
      <c r="BI536" s="324">
        <f t="shared" si="254"/>
        <v>0</v>
      </c>
      <c r="BJ536" s="324">
        <f t="shared" si="255"/>
        <v>0</v>
      </c>
      <c r="BK536" s="324">
        <f t="shared" si="256"/>
        <v>0</v>
      </c>
      <c r="BL536" s="324">
        <f t="shared" si="257"/>
        <v>0</v>
      </c>
      <c r="BM536" s="324">
        <f t="shared" si="258"/>
        <v>0</v>
      </c>
      <c r="BN536" s="324">
        <f t="shared" si="259"/>
        <v>0</v>
      </c>
      <c r="BO536" s="324">
        <f t="shared" si="260"/>
        <v>0</v>
      </c>
      <c r="BP536" s="324">
        <f t="shared" si="261"/>
        <v>0</v>
      </c>
      <c r="BQ536" s="324">
        <f t="shared" si="262"/>
        <v>0</v>
      </c>
      <c r="BR536" s="324">
        <f t="shared" si="263"/>
        <v>0</v>
      </c>
      <c r="BS536" s="324">
        <f t="shared" si="264"/>
        <v>0</v>
      </c>
      <c r="BT536" s="332">
        <f t="shared" si="265"/>
        <v>0</v>
      </c>
    </row>
    <row r="537" spans="1:72" ht="14.25">
      <c r="A537" s="297"/>
      <c r="B537" s="323"/>
      <c r="C537" s="323"/>
      <c r="D537" s="3"/>
      <c r="E537" s="324">
        <f t="shared" si="237"/>
        <v>0</v>
      </c>
      <c r="F537" s="325"/>
      <c r="G537" s="326">
        <f t="shared" si="238"/>
        <v>0</v>
      </c>
      <c r="H537" s="327">
        <f t="shared" si="239"/>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240"/>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41"/>
        <v>0</v>
      </c>
      <c r="AW537" s="7">
        <f t="shared" si="242"/>
        <v>0</v>
      </c>
      <c r="AX537" s="7">
        <f t="shared" si="243"/>
        <v>0</v>
      </c>
      <c r="AY537" s="331">
        <f t="shared" si="244"/>
        <v>0</v>
      </c>
      <c r="AZ537" s="324">
        <f t="shared" si="245"/>
        <v>0</v>
      </c>
      <c r="BA537" s="324">
        <f t="shared" si="246"/>
        <v>0</v>
      </c>
      <c r="BB537" s="324">
        <f t="shared" si="247"/>
        <v>0</v>
      </c>
      <c r="BC537" s="324">
        <f t="shared" si="248"/>
        <v>0</v>
      </c>
      <c r="BD537" s="324">
        <f t="shared" si="249"/>
        <v>0</v>
      </c>
      <c r="BE537" s="324">
        <f t="shared" si="250"/>
        <v>0</v>
      </c>
      <c r="BF537" s="324">
        <f t="shared" si="251"/>
        <v>0</v>
      </c>
      <c r="BG537" s="324">
        <f t="shared" si="252"/>
        <v>0</v>
      </c>
      <c r="BH537" s="324">
        <f t="shared" si="253"/>
        <v>0</v>
      </c>
      <c r="BI537" s="324">
        <f t="shared" si="254"/>
        <v>0</v>
      </c>
      <c r="BJ537" s="324">
        <f t="shared" si="255"/>
        <v>0</v>
      </c>
      <c r="BK537" s="324">
        <f t="shared" si="256"/>
        <v>0</v>
      </c>
      <c r="BL537" s="324">
        <f t="shared" si="257"/>
        <v>0</v>
      </c>
      <c r="BM537" s="324">
        <f t="shared" si="258"/>
        <v>0</v>
      </c>
      <c r="BN537" s="324">
        <f t="shared" si="259"/>
        <v>0</v>
      </c>
      <c r="BO537" s="324">
        <f t="shared" si="260"/>
        <v>0</v>
      </c>
      <c r="BP537" s="324">
        <f t="shared" si="261"/>
        <v>0</v>
      </c>
      <c r="BQ537" s="324">
        <f t="shared" si="262"/>
        <v>0</v>
      </c>
      <c r="BR537" s="324">
        <f t="shared" si="263"/>
        <v>0</v>
      </c>
      <c r="BS537" s="324">
        <f t="shared" si="264"/>
        <v>0</v>
      </c>
      <c r="BT537" s="332">
        <f t="shared" si="265"/>
        <v>0</v>
      </c>
    </row>
    <row r="538" spans="1:72" ht="14.25">
      <c r="A538" s="297"/>
      <c r="B538" s="323"/>
      <c r="C538" s="323"/>
      <c r="D538" s="3"/>
      <c r="E538" s="324">
        <f t="shared" si="237"/>
        <v>0</v>
      </c>
      <c r="F538" s="325"/>
      <c r="G538" s="326">
        <f t="shared" si="238"/>
        <v>0</v>
      </c>
      <c r="H538" s="327">
        <f t="shared" si="239"/>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240"/>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41"/>
        <v>0</v>
      </c>
      <c r="AW538" s="7">
        <f t="shared" si="242"/>
        <v>0</v>
      </c>
      <c r="AX538" s="7">
        <f t="shared" si="243"/>
        <v>0</v>
      </c>
      <c r="AY538" s="331">
        <f t="shared" si="244"/>
        <v>0</v>
      </c>
      <c r="AZ538" s="324">
        <f t="shared" si="245"/>
        <v>0</v>
      </c>
      <c r="BA538" s="324">
        <f t="shared" si="246"/>
        <v>0</v>
      </c>
      <c r="BB538" s="324">
        <f t="shared" si="247"/>
        <v>0</v>
      </c>
      <c r="BC538" s="324">
        <f t="shared" si="248"/>
        <v>0</v>
      </c>
      <c r="BD538" s="324">
        <f t="shared" si="249"/>
        <v>0</v>
      </c>
      <c r="BE538" s="324">
        <f t="shared" si="250"/>
        <v>0</v>
      </c>
      <c r="BF538" s="324">
        <f t="shared" si="251"/>
        <v>0</v>
      </c>
      <c r="BG538" s="324">
        <f t="shared" si="252"/>
        <v>0</v>
      </c>
      <c r="BH538" s="324">
        <f t="shared" si="253"/>
        <v>0</v>
      </c>
      <c r="BI538" s="324">
        <f t="shared" si="254"/>
        <v>0</v>
      </c>
      <c r="BJ538" s="324">
        <f t="shared" si="255"/>
        <v>0</v>
      </c>
      <c r="BK538" s="324">
        <f t="shared" si="256"/>
        <v>0</v>
      </c>
      <c r="BL538" s="324">
        <f t="shared" si="257"/>
        <v>0</v>
      </c>
      <c r="BM538" s="324">
        <f t="shared" si="258"/>
        <v>0</v>
      </c>
      <c r="BN538" s="324">
        <f t="shared" si="259"/>
        <v>0</v>
      </c>
      <c r="BO538" s="324">
        <f t="shared" si="260"/>
        <v>0</v>
      </c>
      <c r="BP538" s="324">
        <f t="shared" si="261"/>
        <v>0</v>
      </c>
      <c r="BQ538" s="324">
        <f t="shared" si="262"/>
        <v>0</v>
      </c>
      <c r="BR538" s="324">
        <f t="shared" si="263"/>
        <v>0</v>
      </c>
      <c r="BS538" s="324">
        <f t="shared" si="264"/>
        <v>0</v>
      </c>
      <c r="BT538" s="332">
        <f t="shared" si="265"/>
        <v>0</v>
      </c>
    </row>
    <row r="539" spans="1:72" ht="14.25">
      <c r="A539" s="297"/>
      <c r="B539" s="323"/>
      <c r="C539" s="323"/>
      <c r="D539" s="3"/>
      <c r="E539" s="324">
        <f t="shared" si="237"/>
        <v>0</v>
      </c>
      <c r="F539" s="325"/>
      <c r="G539" s="326">
        <f t="shared" si="238"/>
        <v>0</v>
      </c>
      <c r="H539" s="327">
        <f t="shared" si="239"/>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240"/>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41"/>
        <v>0</v>
      </c>
      <c r="AW539" s="7">
        <f t="shared" si="242"/>
        <v>0</v>
      </c>
      <c r="AX539" s="7">
        <f t="shared" si="243"/>
        <v>0</v>
      </c>
      <c r="AY539" s="331">
        <f t="shared" si="244"/>
        <v>0</v>
      </c>
      <c r="AZ539" s="324">
        <f t="shared" si="245"/>
        <v>0</v>
      </c>
      <c r="BA539" s="324">
        <f t="shared" si="246"/>
        <v>0</v>
      </c>
      <c r="BB539" s="324">
        <f t="shared" si="247"/>
        <v>0</v>
      </c>
      <c r="BC539" s="324">
        <f t="shared" si="248"/>
        <v>0</v>
      </c>
      <c r="BD539" s="324">
        <f t="shared" si="249"/>
        <v>0</v>
      </c>
      <c r="BE539" s="324">
        <f t="shared" si="250"/>
        <v>0</v>
      </c>
      <c r="BF539" s="324">
        <f t="shared" si="251"/>
        <v>0</v>
      </c>
      <c r="BG539" s="324">
        <f t="shared" si="252"/>
        <v>0</v>
      </c>
      <c r="BH539" s="324">
        <f t="shared" si="253"/>
        <v>0</v>
      </c>
      <c r="BI539" s="324">
        <f t="shared" si="254"/>
        <v>0</v>
      </c>
      <c r="BJ539" s="324">
        <f t="shared" si="255"/>
        <v>0</v>
      </c>
      <c r="BK539" s="324">
        <f t="shared" si="256"/>
        <v>0</v>
      </c>
      <c r="BL539" s="324">
        <f t="shared" si="257"/>
        <v>0</v>
      </c>
      <c r="BM539" s="324">
        <f t="shared" si="258"/>
        <v>0</v>
      </c>
      <c r="BN539" s="324">
        <f t="shared" si="259"/>
        <v>0</v>
      </c>
      <c r="BO539" s="324">
        <f t="shared" si="260"/>
        <v>0</v>
      </c>
      <c r="BP539" s="324">
        <f t="shared" si="261"/>
        <v>0</v>
      </c>
      <c r="BQ539" s="324">
        <f t="shared" si="262"/>
        <v>0</v>
      </c>
      <c r="BR539" s="324">
        <f t="shared" si="263"/>
        <v>0</v>
      </c>
      <c r="BS539" s="324">
        <f t="shared" si="264"/>
        <v>0</v>
      </c>
      <c r="BT539" s="332">
        <f t="shared" si="265"/>
        <v>0</v>
      </c>
    </row>
    <row r="540" spans="1:72" ht="14.25">
      <c r="A540" s="297"/>
      <c r="B540" s="323"/>
      <c r="C540" s="323"/>
      <c r="D540" s="3"/>
      <c r="E540" s="324">
        <f t="shared" si="237"/>
        <v>0</v>
      </c>
      <c r="F540" s="325"/>
      <c r="G540" s="326">
        <f t="shared" si="238"/>
        <v>0</v>
      </c>
      <c r="H540" s="327">
        <f t="shared" si="239"/>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240"/>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41"/>
        <v>0</v>
      </c>
      <c r="AW540" s="7">
        <f t="shared" si="242"/>
        <v>0</v>
      </c>
      <c r="AX540" s="7">
        <f t="shared" si="243"/>
        <v>0</v>
      </c>
      <c r="AY540" s="331">
        <f t="shared" si="244"/>
        <v>0</v>
      </c>
      <c r="AZ540" s="324">
        <f t="shared" si="245"/>
        <v>0</v>
      </c>
      <c r="BA540" s="324">
        <f t="shared" si="246"/>
        <v>0</v>
      </c>
      <c r="BB540" s="324">
        <f t="shared" si="247"/>
        <v>0</v>
      </c>
      <c r="BC540" s="324">
        <f t="shared" si="248"/>
        <v>0</v>
      </c>
      <c r="BD540" s="324">
        <f t="shared" si="249"/>
        <v>0</v>
      </c>
      <c r="BE540" s="324">
        <f t="shared" si="250"/>
        <v>0</v>
      </c>
      <c r="BF540" s="324">
        <f t="shared" si="251"/>
        <v>0</v>
      </c>
      <c r="BG540" s="324">
        <f t="shared" si="252"/>
        <v>0</v>
      </c>
      <c r="BH540" s="324">
        <f t="shared" si="253"/>
        <v>0</v>
      </c>
      <c r="BI540" s="324">
        <f t="shared" si="254"/>
        <v>0</v>
      </c>
      <c r="BJ540" s="324">
        <f t="shared" si="255"/>
        <v>0</v>
      </c>
      <c r="BK540" s="324">
        <f t="shared" si="256"/>
        <v>0</v>
      </c>
      <c r="BL540" s="324">
        <f t="shared" si="257"/>
        <v>0</v>
      </c>
      <c r="BM540" s="324">
        <f t="shared" si="258"/>
        <v>0</v>
      </c>
      <c r="BN540" s="324">
        <f t="shared" si="259"/>
        <v>0</v>
      </c>
      <c r="BO540" s="324">
        <f t="shared" si="260"/>
        <v>0</v>
      </c>
      <c r="BP540" s="324">
        <f t="shared" si="261"/>
        <v>0</v>
      </c>
      <c r="BQ540" s="324">
        <f t="shared" si="262"/>
        <v>0</v>
      </c>
      <c r="BR540" s="324">
        <f t="shared" si="263"/>
        <v>0</v>
      </c>
      <c r="BS540" s="324">
        <f t="shared" si="264"/>
        <v>0</v>
      </c>
      <c r="BT540" s="332">
        <f t="shared" si="265"/>
        <v>0</v>
      </c>
    </row>
    <row r="541" spans="1:72" ht="14.25">
      <c r="A541" s="297"/>
      <c r="B541" s="323"/>
      <c r="C541" s="323"/>
      <c r="D541" s="3"/>
      <c r="E541" s="324">
        <f t="shared" si="237"/>
        <v>0</v>
      </c>
      <c r="F541" s="325"/>
      <c r="G541" s="326">
        <f t="shared" si="238"/>
        <v>0</v>
      </c>
      <c r="H541" s="327">
        <f t="shared" si="239"/>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240"/>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41"/>
        <v>0</v>
      </c>
      <c r="AW541" s="7">
        <f t="shared" si="242"/>
        <v>0</v>
      </c>
      <c r="AX541" s="7">
        <f t="shared" si="243"/>
        <v>0</v>
      </c>
      <c r="AY541" s="331">
        <f t="shared" si="244"/>
        <v>0</v>
      </c>
      <c r="AZ541" s="324">
        <f t="shared" si="245"/>
        <v>0</v>
      </c>
      <c r="BA541" s="324">
        <f t="shared" si="246"/>
        <v>0</v>
      </c>
      <c r="BB541" s="324">
        <f t="shared" si="247"/>
        <v>0</v>
      </c>
      <c r="BC541" s="324">
        <f t="shared" si="248"/>
        <v>0</v>
      </c>
      <c r="BD541" s="324">
        <f t="shared" si="249"/>
        <v>0</v>
      </c>
      <c r="BE541" s="324">
        <f t="shared" si="250"/>
        <v>0</v>
      </c>
      <c r="BF541" s="324">
        <f t="shared" si="251"/>
        <v>0</v>
      </c>
      <c r="BG541" s="324">
        <f t="shared" si="252"/>
        <v>0</v>
      </c>
      <c r="BH541" s="324">
        <f t="shared" si="253"/>
        <v>0</v>
      </c>
      <c r="BI541" s="324">
        <f t="shared" si="254"/>
        <v>0</v>
      </c>
      <c r="BJ541" s="324">
        <f t="shared" si="255"/>
        <v>0</v>
      </c>
      <c r="BK541" s="324">
        <f t="shared" si="256"/>
        <v>0</v>
      </c>
      <c r="BL541" s="324">
        <f t="shared" si="257"/>
        <v>0</v>
      </c>
      <c r="BM541" s="324">
        <f t="shared" si="258"/>
        <v>0</v>
      </c>
      <c r="BN541" s="324">
        <f t="shared" si="259"/>
        <v>0</v>
      </c>
      <c r="BO541" s="324">
        <f t="shared" si="260"/>
        <v>0</v>
      </c>
      <c r="BP541" s="324">
        <f t="shared" si="261"/>
        <v>0</v>
      </c>
      <c r="BQ541" s="324">
        <f t="shared" si="262"/>
        <v>0</v>
      </c>
      <c r="BR541" s="324">
        <f t="shared" si="263"/>
        <v>0</v>
      </c>
      <c r="BS541" s="324">
        <f t="shared" si="264"/>
        <v>0</v>
      </c>
      <c r="BT541" s="332">
        <f t="shared" si="265"/>
        <v>0</v>
      </c>
    </row>
    <row r="542" spans="1:72" ht="14.25">
      <c r="A542" s="297"/>
      <c r="B542" s="323"/>
      <c r="C542" s="323"/>
      <c r="D542" s="3"/>
      <c r="E542" s="324">
        <f t="shared" si="237"/>
        <v>0</v>
      </c>
      <c r="F542" s="325"/>
      <c r="G542" s="326">
        <f t="shared" si="238"/>
        <v>0</v>
      </c>
      <c r="H542" s="327">
        <f t="shared" si="239"/>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240"/>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41"/>
        <v>0</v>
      </c>
      <c r="AW542" s="7">
        <f t="shared" si="242"/>
        <v>0</v>
      </c>
      <c r="AX542" s="7">
        <f t="shared" si="243"/>
        <v>0</v>
      </c>
      <c r="AY542" s="331">
        <f t="shared" si="244"/>
        <v>0</v>
      </c>
      <c r="AZ542" s="324">
        <f t="shared" si="245"/>
        <v>0</v>
      </c>
      <c r="BA542" s="324">
        <f t="shared" si="246"/>
        <v>0</v>
      </c>
      <c r="BB542" s="324">
        <f t="shared" si="247"/>
        <v>0</v>
      </c>
      <c r="BC542" s="324">
        <f t="shared" si="248"/>
        <v>0</v>
      </c>
      <c r="BD542" s="324">
        <f t="shared" si="249"/>
        <v>0</v>
      </c>
      <c r="BE542" s="324">
        <f t="shared" si="250"/>
        <v>0</v>
      </c>
      <c r="BF542" s="324">
        <f t="shared" si="251"/>
        <v>0</v>
      </c>
      <c r="BG542" s="324">
        <f t="shared" si="252"/>
        <v>0</v>
      </c>
      <c r="BH542" s="324">
        <f t="shared" si="253"/>
        <v>0</v>
      </c>
      <c r="BI542" s="324">
        <f t="shared" si="254"/>
        <v>0</v>
      </c>
      <c r="BJ542" s="324">
        <f t="shared" si="255"/>
        <v>0</v>
      </c>
      <c r="BK542" s="324">
        <f t="shared" si="256"/>
        <v>0</v>
      </c>
      <c r="BL542" s="324">
        <f t="shared" si="257"/>
        <v>0</v>
      </c>
      <c r="BM542" s="324">
        <f t="shared" si="258"/>
        <v>0</v>
      </c>
      <c r="BN542" s="324">
        <f t="shared" si="259"/>
        <v>0</v>
      </c>
      <c r="BO542" s="324">
        <f t="shared" si="260"/>
        <v>0</v>
      </c>
      <c r="BP542" s="324">
        <f t="shared" si="261"/>
        <v>0</v>
      </c>
      <c r="BQ542" s="324">
        <f t="shared" si="262"/>
        <v>0</v>
      </c>
      <c r="BR542" s="324">
        <f t="shared" si="263"/>
        <v>0</v>
      </c>
      <c r="BS542" s="324">
        <f t="shared" si="264"/>
        <v>0</v>
      </c>
      <c r="BT542" s="332">
        <f t="shared" si="265"/>
        <v>0</v>
      </c>
    </row>
    <row r="543" spans="1:72" ht="14.25">
      <c r="A543" s="297"/>
      <c r="B543" s="323"/>
      <c r="C543" s="323"/>
      <c r="D543" s="3"/>
      <c r="E543" s="324">
        <f t="shared" si="237"/>
        <v>0</v>
      </c>
      <c r="F543" s="325"/>
      <c r="G543" s="326">
        <f t="shared" si="238"/>
        <v>0</v>
      </c>
      <c r="H543" s="327">
        <f t="shared" si="239"/>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240"/>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41"/>
        <v>0</v>
      </c>
      <c r="AW543" s="7">
        <f t="shared" si="242"/>
        <v>0</v>
      </c>
      <c r="AX543" s="7">
        <f t="shared" si="243"/>
        <v>0</v>
      </c>
      <c r="AY543" s="331">
        <f t="shared" si="244"/>
        <v>0</v>
      </c>
      <c r="AZ543" s="324">
        <f t="shared" si="245"/>
        <v>0</v>
      </c>
      <c r="BA543" s="324">
        <f t="shared" si="246"/>
        <v>0</v>
      </c>
      <c r="BB543" s="324">
        <f t="shared" si="247"/>
        <v>0</v>
      </c>
      <c r="BC543" s="324">
        <f t="shared" si="248"/>
        <v>0</v>
      </c>
      <c r="BD543" s="324">
        <f t="shared" si="249"/>
        <v>0</v>
      </c>
      <c r="BE543" s="324">
        <f t="shared" si="250"/>
        <v>0</v>
      </c>
      <c r="BF543" s="324">
        <f t="shared" si="251"/>
        <v>0</v>
      </c>
      <c r="BG543" s="324">
        <f t="shared" si="252"/>
        <v>0</v>
      </c>
      <c r="BH543" s="324">
        <f t="shared" si="253"/>
        <v>0</v>
      </c>
      <c r="BI543" s="324">
        <f t="shared" si="254"/>
        <v>0</v>
      </c>
      <c r="BJ543" s="324">
        <f t="shared" si="255"/>
        <v>0</v>
      </c>
      <c r="BK543" s="324">
        <f t="shared" si="256"/>
        <v>0</v>
      </c>
      <c r="BL543" s="324">
        <f t="shared" si="257"/>
        <v>0</v>
      </c>
      <c r="BM543" s="324">
        <f t="shared" si="258"/>
        <v>0</v>
      </c>
      <c r="BN543" s="324">
        <f t="shared" si="259"/>
        <v>0</v>
      </c>
      <c r="BO543" s="324">
        <f t="shared" si="260"/>
        <v>0</v>
      </c>
      <c r="BP543" s="324">
        <f t="shared" si="261"/>
        <v>0</v>
      </c>
      <c r="BQ543" s="324">
        <f t="shared" si="262"/>
        <v>0</v>
      </c>
      <c r="BR543" s="324">
        <f t="shared" si="263"/>
        <v>0</v>
      </c>
      <c r="BS543" s="324">
        <f t="shared" si="264"/>
        <v>0</v>
      </c>
      <c r="BT543" s="332">
        <f t="shared" si="265"/>
        <v>0</v>
      </c>
    </row>
    <row r="544" spans="1:72" ht="14.25">
      <c r="A544" s="297"/>
      <c r="B544" s="323"/>
      <c r="C544" s="323"/>
      <c r="D544" s="3"/>
      <c r="E544" s="324">
        <f t="shared" si="237"/>
        <v>0</v>
      </c>
      <c r="F544" s="325"/>
      <c r="G544" s="326">
        <f t="shared" si="238"/>
        <v>0</v>
      </c>
      <c r="H544" s="327">
        <f t="shared" si="239"/>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240"/>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41"/>
        <v>0</v>
      </c>
      <c r="AW544" s="7">
        <f t="shared" si="242"/>
        <v>0</v>
      </c>
      <c r="AX544" s="7">
        <f t="shared" si="243"/>
        <v>0</v>
      </c>
      <c r="AY544" s="331">
        <f t="shared" si="244"/>
        <v>0</v>
      </c>
      <c r="AZ544" s="324">
        <f t="shared" si="245"/>
        <v>0</v>
      </c>
      <c r="BA544" s="324">
        <f t="shared" si="246"/>
        <v>0</v>
      </c>
      <c r="BB544" s="324">
        <f t="shared" si="247"/>
        <v>0</v>
      </c>
      <c r="BC544" s="324">
        <f t="shared" si="248"/>
        <v>0</v>
      </c>
      <c r="BD544" s="324">
        <f t="shared" si="249"/>
        <v>0</v>
      </c>
      <c r="BE544" s="324">
        <f t="shared" si="250"/>
        <v>0</v>
      </c>
      <c r="BF544" s="324">
        <f t="shared" si="251"/>
        <v>0</v>
      </c>
      <c r="BG544" s="324">
        <f t="shared" si="252"/>
        <v>0</v>
      </c>
      <c r="BH544" s="324">
        <f t="shared" si="253"/>
        <v>0</v>
      </c>
      <c r="BI544" s="324">
        <f t="shared" si="254"/>
        <v>0</v>
      </c>
      <c r="BJ544" s="324">
        <f t="shared" si="255"/>
        <v>0</v>
      </c>
      <c r="BK544" s="324">
        <f t="shared" si="256"/>
        <v>0</v>
      </c>
      <c r="BL544" s="324">
        <f t="shared" si="257"/>
        <v>0</v>
      </c>
      <c r="BM544" s="324">
        <f t="shared" si="258"/>
        <v>0</v>
      </c>
      <c r="BN544" s="324">
        <f t="shared" si="259"/>
        <v>0</v>
      </c>
      <c r="BO544" s="324">
        <f t="shared" si="260"/>
        <v>0</v>
      </c>
      <c r="BP544" s="324">
        <f t="shared" si="261"/>
        <v>0</v>
      </c>
      <c r="BQ544" s="324">
        <f t="shared" si="262"/>
        <v>0</v>
      </c>
      <c r="BR544" s="324">
        <f t="shared" si="263"/>
        <v>0</v>
      </c>
      <c r="BS544" s="324">
        <f t="shared" si="264"/>
        <v>0</v>
      </c>
      <c r="BT544" s="332">
        <f t="shared" si="265"/>
        <v>0</v>
      </c>
    </row>
    <row r="545" spans="1:72" ht="14.25">
      <c r="A545" s="297"/>
      <c r="B545" s="323"/>
      <c r="C545" s="323"/>
      <c r="D545" s="3"/>
      <c r="E545" s="324">
        <f t="shared" si="237"/>
        <v>0</v>
      </c>
      <c r="F545" s="325"/>
      <c r="G545" s="326">
        <f t="shared" si="238"/>
        <v>0</v>
      </c>
      <c r="H545" s="327">
        <f t="shared" si="239"/>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240"/>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41"/>
        <v>0</v>
      </c>
      <c r="AW545" s="7">
        <f t="shared" si="242"/>
        <v>0</v>
      </c>
      <c r="AX545" s="7">
        <f t="shared" si="243"/>
        <v>0</v>
      </c>
      <c r="AY545" s="331">
        <f t="shared" si="244"/>
        <v>0</v>
      </c>
      <c r="AZ545" s="324">
        <f t="shared" si="245"/>
        <v>0</v>
      </c>
      <c r="BA545" s="324">
        <f t="shared" si="246"/>
        <v>0</v>
      </c>
      <c r="BB545" s="324">
        <f t="shared" si="247"/>
        <v>0</v>
      </c>
      <c r="BC545" s="324">
        <f t="shared" si="248"/>
        <v>0</v>
      </c>
      <c r="BD545" s="324">
        <f t="shared" si="249"/>
        <v>0</v>
      </c>
      <c r="BE545" s="324">
        <f t="shared" si="250"/>
        <v>0</v>
      </c>
      <c r="BF545" s="324">
        <f t="shared" si="251"/>
        <v>0</v>
      </c>
      <c r="BG545" s="324">
        <f t="shared" si="252"/>
        <v>0</v>
      </c>
      <c r="BH545" s="324">
        <f t="shared" si="253"/>
        <v>0</v>
      </c>
      <c r="BI545" s="324">
        <f t="shared" si="254"/>
        <v>0</v>
      </c>
      <c r="BJ545" s="324">
        <f t="shared" si="255"/>
        <v>0</v>
      </c>
      <c r="BK545" s="324">
        <f t="shared" si="256"/>
        <v>0</v>
      </c>
      <c r="BL545" s="324">
        <f t="shared" si="257"/>
        <v>0</v>
      </c>
      <c r="BM545" s="324">
        <f t="shared" si="258"/>
        <v>0</v>
      </c>
      <c r="BN545" s="324">
        <f t="shared" si="259"/>
        <v>0</v>
      </c>
      <c r="BO545" s="324">
        <f t="shared" si="260"/>
        <v>0</v>
      </c>
      <c r="BP545" s="324">
        <f t="shared" si="261"/>
        <v>0</v>
      </c>
      <c r="BQ545" s="324">
        <f t="shared" si="262"/>
        <v>0</v>
      </c>
      <c r="BR545" s="324">
        <f t="shared" si="263"/>
        <v>0</v>
      </c>
      <c r="BS545" s="324">
        <f t="shared" si="264"/>
        <v>0</v>
      </c>
      <c r="BT545" s="332">
        <f t="shared" si="265"/>
        <v>0</v>
      </c>
    </row>
    <row r="546" spans="1:72" ht="14.25">
      <c r="A546" s="297"/>
      <c r="B546" s="323"/>
      <c r="C546" s="323"/>
      <c r="D546" s="3"/>
      <c r="E546" s="324">
        <f t="shared" si="237"/>
        <v>0</v>
      </c>
      <c r="F546" s="325"/>
      <c r="G546" s="326">
        <f t="shared" si="238"/>
        <v>0</v>
      </c>
      <c r="H546" s="327">
        <f t="shared" si="239"/>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240"/>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41"/>
        <v>0</v>
      </c>
      <c r="AW546" s="7">
        <f t="shared" si="242"/>
        <v>0</v>
      </c>
      <c r="AX546" s="7">
        <f t="shared" si="243"/>
        <v>0</v>
      </c>
      <c r="AY546" s="331">
        <f t="shared" si="244"/>
        <v>0</v>
      </c>
      <c r="AZ546" s="324">
        <f t="shared" si="245"/>
        <v>0</v>
      </c>
      <c r="BA546" s="324">
        <f t="shared" si="246"/>
        <v>0</v>
      </c>
      <c r="BB546" s="324">
        <f t="shared" si="247"/>
        <v>0</v>
      </c>
      <c r="BC546" s="324">
        <f t="shared" si="248"/>
        <v>0</v>
      </c>
      <c r="BD546" s="324">
        <f t="shared" si="249"/>
        <v>0</v>
      </c>
      <c r="BE546" s="324">
        <f t="shared" si="250"/>
        <v>0</v>
      </c>
      <c r="BF546" s="324">
        <f t="shared" si="251"/>
        <v>0</v>
      </c>
      <c r="BG546" s="324">
        <f t="shared" si="252"/>
        <v>0</v>
      </c>
      <c r="BH546" s="324">
        <f t="shared" si="253"/>
        <v>0</v>
      </c>
      <c r="BI546" s="324">
        <f t="shared" si="254"/>
        <v>0</v>
      </c>
      <c r="BJ546" s="324">
        <f t="shared" si="255"/>
        <v>0</v>
      </c>
      <c r="BK546" s="324">
        <f t="shared" si="256"/>
        <v>0</v>
      </c>
      <c r="BL546" s="324">
        <f t="shared" si="257"/>
        <v>0</v>
      </c>
      <c r="BM546" s="324">
        <f t="shared" si="258"/>
        <v>0</v>
      </c>
      <c r="BN546" s="324">
        <f t="shared" si="259"/>
        <v>0</v>
      </c>
      <c r="BO546" s="324">
        <f t="shared" si="260"/>
        <v>0</v>
      </c>
      <c r="BP546" s="324">
        <f t="shared" si="261"/>
        <v>0</v>
      </c>
      <c r="BQ546" s="324">
        <f t="shared" si="262"/>
        <v>0</v>
      </c>
      <c r="BR546" s="324">
        <f t="shared" si="263"/>
        <v>0</v>
      </c>
      <c r="BS546" s="324">
        <f t="shared" si="264"/>
        <v>0</v>
      </c>
      <c r="BT546" s="332">
        <f t="shared" si="265"/>
        <v>0</v>
      </c>
    </row>
    <row r="547" spans="1:72" ht="14.25">
      <c r="A547" s="297"/>
      <c r="B547" s="323"/>
      <c r="C547" s="323"/>
      <c r="D547" s="3"/>
      <c r="E547" s="324">
        <f t="shared" si="237"/>
        <v>0</v>
      </c>
      <c r="F547" s="325"/>
      <c r="G547" s="326">
        <f t="shared" si="238"/>
        <v>0</v>
      </c>
      <c r="H547" s="327">
        <f t="shared" si="239"/>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240"/>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41"/>
        <v>0</v>
      </c>
      <c r="AW547" s="7">
        <f t="shared" si="242"/>
        <v>0</v>
      </c>
      <c r="AX547" s="7">
        <f t="shared" si="243"/>
        <v>0</v>
      </c>
      <c r="AY547" s="331">
        <f t="shared" si="244"/>
        <v>0</v>
      </c>
      <c r="AZ547" s="324">
        <f t="shared" si="245"/>
        <v>0</v>
      </c>
      <c r="BA547" s="324">
        <f t="shared" si="246"/>
        <v>0</v>
      </c>
      <c r="BB547" s="324">
        <f t="shared" si="247"/>
        <v>0</v>
      </c>
      <c r="BC547" s="324">
        <f t="shared" si="248"/>
        <v>0</v>
      </c>
      <c r="BD547" s="324">
        <f t="shared" si="249"/>
        <v>0</v>
      </c>
      <c r="BE547" s="324">
        <f t="shared" si="250"/>
        <v>0</v>
      </c>
      <c r="BF547" s="324">
        <f t="shared" si="251"/>
        <v>0</v>
      </c>
      <c r="BG547" s="324">
        <f t="shared" si="252"/>
        <v>0</v>
      </c>
      <c r="BH547" s="324">
        <f t="shared" si="253"/>
        <v>0</v>
      </c>
      <c r="BI547" s="324">
        <f t="shared" si="254"/>
        <v>0</v>
      </c>
      <c r="BJ547" s="324">
        <f t="shared" si="255"/>
        <v>0</v>
      </c>
      <c r="BK547" s="324">
        <f t="shared" si="256"/>
        <v>0</v>
      </c>
      <c r="BL547" s="324">
        <f t="shared" si="257"/>
        <v>0</v>
      </c>
      <c r="BM547" s="324">
        <f t="shared" si="258"/>
        <v>0</v>
      </c>
      <c r="BN547" s="324">
        <f t="shared" si="259"/>
        <v>0</v>
      </c>
      <c r="BO547" s="324">
        <f t="shared" si="260"/>
        <v>0</v>
      </c>
      <c r="BP547" s="324">
        <f t="shared" si="261"/>
        <v>0</v>
      </c>
      <c r="BQ547" s="324">
        <f t="shared" si="262"/>
        <v>0</v>
      </c>
      <c r="BR547" s="324">
        <f t="shared" si="263"/>
        <v>0</v>
      </c>
      <c r="BS547" s="324">
        <f t="shared" si="264"/>
        <v>0</v>
      </c>
      <c r="BT547" s="332">
        <f t="shared" si="265"/>
        <v>0</v>
      </c>
    </row>
    <row r="548" spans="1:72" ht="14.25">
      <c r="A548" s="297"/>
      <c r="B548" s="323"/>
      <c r="C548" s="323"/>
      <c r="D548" s="3"/>
      <c r="E548" s="324">
        <f t="shared" si="237"/>
        <v>0</v>
      </c>
      <c r="F548" s="325"/>
      <c r="G548" s="326">
        <f t="shared" si="238"/>
        <v>0</v>
      </c>
      <c r="H548" s="327">
        <f t="shared" si="239"/>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240"/>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41"/>
        <v>0</v>
      </c>
      <c r="AW548" s="7">
        <f t="shared" si="242"/>
        <v>0</v>
      </c>
      <c r="AX548" s="7">
        <f t="shared" si="243"/>
        <v>0</v>
      </c>
      <c r="AY548" s="331">
        <f t="shared" si="244"/>
        <v>0</v>
      </c>
      <c r="AZ548" s="324">
        <f t="shared" si="245"/>
        <v>0</v>
      </c>
      <c r="BA548" s="324">
        <f t="shared" si="246"/>
        <v>0</v>
      </c>
      <c r="BB548" s="324">
        <f t="shared" si="247"/>
        <v>0</v>
      </c>
      <c r="BC548" s="324">
        <f t="shared" si="248"/>
        <v>0</v>
      </c>
      <c r="BD548" s="324">
        <f t="shared" si="249"/>
        <v>0</v>
      </c>
      <c r="BE548" s="324">
        <f t="shared" si="250"/>
        <v>0</v>
      </c>
      <c r="BF548" s="324">
        <f t="shared" si="251"/>
        <v>0</v>
      </c>
      <c r="BG548" s="324">
        <f t="shared" si="252"/>
        <v>0</v>
      </c>
      <c r="BH548" s="324">
        <f t="shared" si="253"/>
        <v>0</v>
      </c>
      <c r="BI548" s="324">
        <f t="shared" si="254"/>
        <v>0</v>
      </c>
      <c r="BJ548" s="324">
        <f t="shared" si="255"/>
        <v>0</v>
      </c>
      <c r="BK548" s="324">
        <f t="shared" si="256"/>
        <v>0</v>
      </c>
      <c r="BL548" s="324">
        <f t="shared" si="257"/>
        <v>0</v>
      </c>
      <c r="BM548" s="324">
        <f t="shared" si="258"/>
        <v>0</v>
      </c>
      <c r="BN548" s="324">
        <f t="shared" si="259"/>
        <v>0</v>
      </c>
      <c r="BO548" s="324">
        <f t="shared" si="260"/>
        <v>0</v>
      </c>
      <c r="BP548" s="324">
        <f t="shared" si="261"/>
        <v>0</v>
      </c>
      <c r="BQ548" s="324">
        <f t="shared" si="262"/>
        <v>0</v>
      </c>
      <c r="BR548" s="324">
        <f t="shared" si="263"/>
        <v>0</v>
      </c>
      <c r="BS548" s="324">
        <f t="shared" si="264"/>
        <v>0</v>
      </c>
      <c r="BT548" s="332">
        <f t="shared" si="265"/>
        <v>0</v>
      </c>
    </row>
    <row r="549" spans="1:72" ht="14.25">
      <c r="A549" s="297"/>
      <c r="B549" s="323"/>
      <c r="C549" s="323"/>
      <c r="D549" s="3"/>
      <c r="E549" s="324">
        <f t="shared" si="237"/>
        <v>0</v>
      </c>
      <c r="F549" s="325"/>
      <c r="G549" s="326">
        <f t="shared" si="238"/>
        <v>0</v>
      </c>
      <c r="H549" s="327">
        <f t="shared" si="239"/>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240"/>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41"/>
        <v>0</v>
      </c>
      <c r="AW549" s="7">
        <f t="shared" si="242"/>
        <v>0</v>
      </c>
      <c r="AX549" s="7">
        <f t="shared" si="243"/>
        <v>0</v>
      </c>
      <c r="AY549" s="331">
        <f t="shared" si="244"/>
        <v>0</v>
      </c>
      <c r="AZ549" s="324">
        <f t="shared" si="245"/>
        <v>0</v>
      </c>
      <c r="BA549" s="324">
        <f t="shared" si="246"/>
        <v>0</v>
      </c>
      <c r="BB549" s="324">
        <f t="shared" si="247"/>
        <v>0</v>
      </c>
      <c r="BC549" s="324">
        <f t="shared" si="248"/>
        <v>0</v>
      </c>
      <c r="BD549" s="324">
        <f t="shared" si="249"/>
        <v>0</v>
      </c>
      <c r="BE549" s="324">
        <f t="shared" si="250"/>
        <v>0</v>
      </c>
      <c r="BF549" s="324">
        <f t="shared" si="251"/>
        <v>0</v>
      </c>
      <c r="BG549" s="324">
        <f t="shared" si="252"/>
        <v>0</v>
      </c>
      <c r="BH549" s="324">
        <f t="shared" si="253"/>
        <v>0</v>
      </c>
      <c r="BI549" s="324">
        <f t="shared" si="254"/>
        <v>0</v>
      </c>
      <c r="BJ549" s="324">
        <f t="shared" si="255"/>
        <v>0</v>
      </c>
      <c r="BK549" s="324">
        <f t="shared" si="256"/>
        <v>0</v>
      </c>
      <c r="BL549" s="324">
        <f t="shared" si="257"/>
        <v>0</v>
      </c>
      <c r="BM549" s="324">
        <f t="shared" si="258"/>
        <v>0</v>
      </c>
      <c r="BN549" s="324">
        <f t="shared" si="259"/>
        <v>0</v>
      </c>
      <c r="BO549" s="324">
        <f t="shared" si="260"/>
        <v>0</v>
      </c>
      <c r="BP549" s="324">
        <f t="shared" si="261"/>
        <v>0</v>
      </c>
      <c r="BQ549" s="324">
        <f t="shared" si="262"/>
        <v>0</v>
      </c>
      <c r="BR549" s="324">
        <f t="shared" si="263"/>
        <v>0</v>
      </c>
      <c r="BS549" s="324">
        <f t="shared" si="264"/>
        <v>0</v>
      </c>
      <c r="BT549" s="332">
        <f t="shared" si="265"/>
        <v>0</v>
      </c>
    </row>
    <row r="550" spans="1:72" ht="14.25">
      <c r="A550" s="297"/>
      <c r="B550" s="323"/>
      <c r="C550" s="323"/>
      <c r="D550" s="3"/>
      <c r="E550" s="324">
        <f t="shared" si="237"/>
        <v>0</v>
      </c>
      <c r="F550" s="325"/>
      <c r="G550" s="326">
        <f t="shared" si="238"/>
        <v>0</v>
      </c>
      <c r="H550" s="327">
        <f t="shared" si="239"/>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240"/>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41"/>
        <v>0</v>
      </c>
      <c r="AW550" s="7">
        <f t="shared" si="242"/>
        <v>0</v>
      </c>
      <c r="AX550" s="7">
        <f t="shared" si="243"/>
        <v>0</v>
      </c>
      <c r="AY550" s="331">
        <f t="shared" si="244"/>
        <v>0</v>
      </c>
      <c r="AZ550" s="324">
        <f t="shared" si="245"/>
        <v>0</v>
      </c>
      <c r="BA550" s="324">
        <f t="shared" si="246"/>
        <v>0</v>
      </c>
      <c r="BB550" s="324">
        <f t="shared" si="247"/>
        <v>0</v>
      </c>
      <c r="BC550" s="324">
        <f t="shared" si="248"/>
        <v>0</v>
      </c>
      <c r="BD550" s="324">
        <f t="shared" si="249"/>
        <v>0</v>
      </c>
      <c r="BE550" s="324">
        <f t="shared" si="250"/>
        <v>0</v>
      </c>
      <c r="BF550" s="324">
        <f t="shared" si="251"/>
        <v>0</v>
      </c>
      <c r="BG550" s="324">
        <f t="shared" si="252"/>
        <v>0</v>
      </c>
      <c r="BH550" s="324">
        <f t="shared" si="253"/>
        <v>0</v>
      </c>
      <c r="BI550" s="324">
        <f t="shared" si="254"/>
        <v>0</v>
      </c>
      <c r="BJ550" s="324">
        <f t="shared" si="255"/>
        <v>0</v>
      </c>
      <c r="BK550" s="324">
        <f t="shared" si="256"/>
        <v>0</v>
      </c>
      <c r="BL550" s="324">
        <f t="shared" si="257"/>
        <v>0</v>
      </c>
      <c r="BM550" s="324">
        <f t="shared" si="258"/>
        <v>0</v>
      </c>
      <c r="BN550" s="324">
        <f t="shared" si="259"/>
        <v>0</v>
      </c>
      <c r="BO550" s="324">
        <f t="shared" si="260"/>
        <v>0</v>
      </c>
      <c r="BP550" s="324">
        <f t="shared" si="261"/>
        <v>0</v>
      </c>
      <c r="BQ550" s="324">
        <f t="shared" si="262"/>
        <v>0</v>
      </c>
      <c r="BR550" s="324">
        <f t="shared" si="263"/>
        <v>0</v>
      </c>
      <c r="BS550" s="324">
        <f t="shared" si="264"/>
        <v>0</v>
      </c>
      <c r="BT550" s="332">
        <f t="shared" si="265"/>
        <v>0</v>
      </c>
    </row>
    <row r="551" spans="1:72" ht="14.25">
      <c r="A551" s="297"/>
      <c r="B551" s="323"/>
      <c r="C551" s="323"/>
      <c r="D551" s="3"/>
      <c r="E551" s="324">
        <f t="shared" si="237"/>
        <v>0</v>
      </c>
      <c r="F551" s="325"/>
      <c r="G551" s="326">
        <f t="shared" si="238"/>
        <v>0</v>
      </c>
      <c r="H551" s="327">
        <f t="shared" si="239"/>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240"/>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41"/>
        <v>0</v>
      </c>
      <c r="AW551" s="7">
        <f t="shared" si="242"/>
        <v>0</v>
      </c>
      <c r="AX551" s="7">
        <f t="shared" si="243"/>
        <v>0</v>
      </c>
      <c r="AY551" s="331">
        <f t="shared" si="244"/>
        <v>0</v>
      </c>
      <c r="AZ551" s="324">
        <f t="shared" si="245"/>
        <v>0</v>
      </c>
      <c r="BA551" s="324">
        <f t="shared" si="246"/>
        <v>0</v>
      </c>
      <c r="BB551" s="324">
        <f t="shared" si="247"/>
        <v>0</v>
      </c>
      <c r="BC551" s="324">
        <f t="shared" si="248"/>
        <v>0</v>
      </c>
      <c r="BD551" s="324">
        <f t="shared" si="249"/>
        <v>0</v>
      </c>
      <c r="BE551" s="324">
        <f t="shared" si="250"/>
        <v>0</v>
      </c>
      <c r="BF551" s="324">
        <f t="shared" si="251"/>
        <v>0</v>
      </c>
      <c r="BG551" s="324">
        <f t="shared" si="252"/>
        <v>0</v>
      </c>
      <c r="BH551" s="324">
        <f t="shared" si="253"/>
        <v>0</v>
      </c>
      <c r="BI551" s="324">
        <f t="shared" si="254"/>
        <v>0</v>
      </c>
      <c r="BJ551" s="324">
        <f t="shared" si="255"/>
        <v>0</v>
      </c>
      <c r="BK551" s="324">
        <f t="shared" si="256"/>
        <v>0</v>
      </c>
      <c r="BL551" s="324">
        <f t="shared" si="257"/>
        <v>0</v>
      </c>
      <c r="BM551" s="324">
        <f t="shared" si="258"/>
        <v>0</v>
      </c>
      <c r="BN551" s="324">
        <f t="shared" si="259"/>
        <v>0</v>
      </c>
      <c r="BO551" s="324">
        <f t="shared" si="260"/>
        <v>0</v>
      </c>
      <c r="BP551" s="324">
        <f t="shared" si="261"/>
        <v>0</v>
      </c>
      <c r="BQ551" s="324">
        <f t="shared" si="262"/>
        <v>0</v>
      </c>
      <c r="BR551" s="324">
        <f t="shared" si="263"/>
        <v>0</v>
      </c>
      <c r="BS551" s="324">
        <f t="shared" si="264"/>
        <v>0</v>
      </c>
      <c r="BT551" s="332">
        <f t="shared" si="265"/>
        <v>0</v>
      </c>
    </row>
    <row r="552" spans="1:72" ht="14.25">
      <c r="A552" s="297"/>
      <c r="B552" s="323"/>
      <c r="C552" s="323"/>
      <c r="D552" s="3"/>
      <c r="E552" s="324">
        <f t="shared" si="237"/>
        <v>0</v>
      </c>
      <c r="F552" s="325"/>
      <c r="G552" s="326">
        <f t="shared" si="238"/>
        <v>0</v>
      </c>
      <c r="H552" s="327">
        <f t="shared" si="239"/>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240"/>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41"/>
        <v>0</v>
      </c>
      <c r="AW552" s="7">
        <f t="shared" si="242"/>
        <v>0</v>
      </c>
      <c r="AX552" s="7">
        <f t="shared" si="243"/>
        <v>0</v>
      </c>
      <c r="AY552" s="331">
        <f t="shared" si="244"/>
        <v>0</v>
      </c>
      <c r="AZ552" s="324">
        <f t="shared" si="245"/>
        <v>0</v>
      </c>
      <c r="BA552" s="324">
        <f t="shared" si="246"/>
        <v>0</v>
      </c>
      <c r="BB552" s="324">
        <f t="shared" si="247"/>
        <v>0</v>
      </c>
      <c r="BC552" s="324">
        <f t="shared" si="248"/>
        <v>0</v>
      </c>
      <c r="BD552" s="324">
        <f t="shared" si="249"/>
        <v>0</v>
      </c>
      <c r="BE552" s="324">
        <f t="shared" si="250"/>
        <v>0</v>
      </c>
      <c r="BF552" s="324">
        <f t="shared" si="251"/>
        <v>0</v>
      </c>
      <c r="BG552" s="324">
        <f t="shared" si="252"/>
        <v>0</v>
      </c>
      <c r="BH552" s="324">
        <f t="shared" si="253"/>
        <v>0</v>
      </c>
      <c r="BI552" s="324">
        <f t="shared" si="254"/>
        <v>0</v>
      </c>
      <c r="BJ552" s="324">
        <f t="shared" si="255"/>
        <v>0</v>
      </c>
      <c r="BK552" s="324">
        <f t="shared" si="256"/>
        <v>0</v>
      </c>
      <c r="BL552" s="324">
        <f t="shared" si="257"/>
        <v>0</v>
      </c>
      <c r="BM552" s="324">
        <f t="shared" si="258"/>
        <v>0</v>
      </c>
      <c r="BN552" s="324">
        <f t="shared" si="259"/>
        <v>0</v>
      </c>
      <c r="BO552" s="324">
        <f t="shared" si="260"/>
        <v>0</v>
      </c>
      <c r="BP552" s="324">
        <f t="shared" si="261"/>
        <v>0</v>
      </c>
      <c r="BQ552" s="324">
        <f t="shared" si="262"/>
        <v>0</v>
      </c>
      <c r="BR552" s="324">
        <f t="shared" si="263"/>
        <v>0</v>
      </c>
      <c r="BS552" s="324">
        <f t="shared" si="264"/>
        <v>0</v>
      </c>
      <c r="BT552" s="332">
        <f t="shared" si="265"/>
        <v>0</v>
      </c>
    </row>
    <row r="553" spans="1:72" ht="14.25">
      <c r="A553" s="297"/>
      <c r="B553" s="323"/>
      <c r="C553" s="323"/>
      <c r="D553" s="3"/>
      <c r="E553" s="324">
        <f t="shared" si="237"/>
        <v>0</v>
      </c>
      <c r="F553" s="325"/>
      <c r="G553" s="326">
        <f t="shared" si="238"/>
        <v>0</v>
      </c>
      <c r="H553" s="327">
        <f t="shared" si="239"/>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si="240"/>
        <v>0</v>
      </c>
      <c r="AD553" s="329"/>
      <c r="AE553" s="329"/>
      <c r="AF553" s="329"/>
      <c r="AG553" s="329"/>
      <c r="AH553" s="329"/>
      <c r="AI553" s="329"/>
      <c r="AJ553" s="329"/>
      <c r="AK553" s="329"/>
      <c r="AL553" s="329"/>
      <c r="AM553" s="329"/>
      <c r="AN553" s="329"/>
      <c r="AO553" s="329"/>
      <c r="AP553" s="329"/>
      <c r="AQ553" s="329"/>
      <c r="AR553" s="329"/>
      <c r="AS553" s="329"/>
      <c r="AT553" s="330"/>
      <c r="AU553" s="8"/>
      <c r="AV553" s="7">
        <f t="shared" si="241"/>
        <v>0</v>
      </c>
      <c r="AW553" s="7">
        <f t="shared" si="242"/>
        <v>0</v>
      </c>
      <c r="AX553" s="7">
        <f t="shared" si="243"/>
        <v>0</v>
      </c>
      <c r="AY553" s="331">
        <f t="shared" si="244"/>
        <v>0</v>
      </c>
      <c r="AZ553" s="324">
        <f t="shared" si="245"/>
        <v>0</v>
      </c>
      <c r="BA553" s="324">
        <f t="shared" si="246"/>
        <v>0</v>
      </c>
      <c r="BB553" s="324">
        <f t="shared" si="247"/>
        <v>0</v>
      </c>
      <c r="BC553" s="324">
        <f t="shared" si="248"/>
        <v>0</v>
      </c>
      <c r="BD553" s="324">
        <f t="shared" si="249"/>
        <v>0</v>
      </c>
      <c r="BE553" s="324">
        <f t="shared" si="250"/>
        <v>0</v>
      </c>
      <c r="BF553" s="324">
        <f t="shared" si="251"/>
        <v>0</v>
      </c>
      <c r="BG553" s="324">
        <f t="shared" si="252"/>
        <v>0</v>
      </c>
      <c r="BH553" s="324">
        <f t="shared" si="253"/>
        <v>0</v>
      </c>
      <c r="BI553" s="324">
        <f t="shared" si="254"/>
        <v>0</v>
      </c>
      <c r="BJ553" s="324">
        <f t="shared" si="255"/>
        <v>0</v>
      </c>
      <c r="BK553" s="324">
        <f t="shared" si="256"/>
        <v>0</v>
      </c>
      <c r="BL553" s="324">
        <f t="shared" si="257"/>
        <v>0</v>
      </c>
      <c r="BM553" s="324">
        <f t="shared" si="258"/>
        <v>0</v>
      </c>
      <c r="BN553" s="324">
        <f t="shared" si="259"/>
        <v>0</v>
      </c>
      <c r="BO553" s="324">
        <f t="shared" si="260"/>
        <v>0</v>
      </c>
      <c r="BP553" s="324">
        <f t="shared" si="261"/>
        <v>0</v>
      </c>
      <c r="BQ553" s="324">
        <f t="shared" si="262"/>
        <v>0</v>
      </c>
      <c r="BR553" s="324">
        <f t="shared" si="263"/>
        <v>0</v>
      </c>
      <c r="BS553" s="324">
        <f t="shared" si="264"/>
        <v>0</v>
      </c>
      <c r="BT553" s="332">
        <f t="shared" si="265"/>
        <v>0</v>
      </c>
    </row>
    <row r="554" spans="1:72" ht="14.25">
      <c r="A554" s="297"/>
      <c r="B554" s="323"/>
      <c r="C554" s="323"/>
      <c r="D554" s="3"/>
      <c r="E554" s="324">
        <f t="shared" si="237"/>
        <v>0</v>
      </c>
      <c r="F554" s="325"/>
      <c r="G554" s="326">
        <f t="shared" si="238"/>
        <v>0</v>
      </c>
      <c r="H554" s="327">
        <f t="shared" si="239"/>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240"/>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241"/>
        <v>0</v>
      </c>
      <c r="AW554" s="7">
        <f t="shared" si="242"/>
        <v>0</v>
      </c>
      <c r="AX554" s="7">
        <f t="shared" si="243"/>
        <v>0</v>
      </c>
      <c r="AY554" s="331">
        <f t="shared" si="244"/>
        <v>0</v>
      </c>
      <c r="AZ554" s="324">
        <f t="shared" si="245"/>
        <v>0</v>
      </c>
      <c r="BA554" s="324">
        <f t="shared" si="246"/>
        <v>0</v>
      </c>
      <c r="BB554" s="324">
        <f t="shared" si="247"/>
        <v>0</v>
      </c>
      <c r="BC554" s="324">
        <f t="shared" si="248"/>
        <v>0</v>
      </c>
      <c r="BD554" s="324">
        <f t="shared" si="249"/>
        <v>0</v>
      </c>
      <c r="BE554" s="324">
        <f t="shared" si="250"/>
        <v>0</v>
      </c>
      <c r="BF554" s="324">
        <f t="shared" si="251"/>
        <v>0</v>
      </c>
      <c r="BG554" s="324">
        <f t="shared" si="252"/>
        <v>0</v>
      </c>
      <c r="BH554" s="324">
        <f t="shared" si="253"/>
        <v>0</v>
      </c>
      <c r="BI554" s="324">
        <f t="shared" si="254"/>
        <v>0</v>
      </c>
      <c r="BJ554" s="324">
        <f t="shared" si="255"/>
        <v>0</v>
      </c>
      <c r="BK554" s="324">
        <f t="shared" si="256"/>
        <v>0</v>
      </c>
      <c r="BL554" s="324">
        <f t="shared" si="257"/>
        <v>0</v>
      </c>
      <c r="BM554" s="324">
        <f t="shared" si="258"/>
        <v>0</v>
      </c>
      <c r="BN554" s="324">
        <f t="shared" si="259"/>
        <v>0</v>
      </c>
      <c r="BO554" s="324">
        <f t="shared" si="260"/>
        <v>0</v>
      </c>
      <c r="BP554" s="324">
        <f t="shared" si="261"/>
        <v>0</v>
      </c>
      <c r="BQ554" s="324">
        <f t="shared" si="262"/>
        <v>0</v>
      </c>
      <c r="BR554" s="324">
        <f t="shared" si="263"/>
        <v>0</v>
      </c>
      <c r="BS554" s="324">
        <f t="shared" si="264"/>
        <v>0</v>
      </c>
      <c r="BT554" s="332">
        <f t="shared" si="265"/>
        <v>0</v>
      </c>
    </row>
    <row r="555" spans="1:72" ht="14.25">
      <c r="A555" s="297"/>
      <c r="B555" s="323"/>
      <c r="C555" s="323"/>
      <c r="D555" s="3"/>
      <c r="E555" s="324">
        <f t="shared" si="237"/>
        <v>0</v>
      </c>
      <c r="F555" s="325"/>
      <c r="G555" s="326">
        <f t="shared" si="238"/>
        <v>0</v>
      </c>
      <c r="H555" s="327">
        <f t="shared" si="239"/>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240"/>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241"/>
        <v>0</v>
      </c>
      <c r="AW555" s="7">
        <f t="shared" si="242"/>
        <v>0</v>
      </c>
      <c r="AX555" s="7">
        <f t="shared" si="243"/>
        <v>0</v>
      </c>
      <c r="AY555" s="331">
        <f t="shared" si="244"/>
        <v>0</v>
      </c>
      <c r="AZ555" s="324">
        <f t="shared" si="245"/>
        <v>0</v>
      </c>
      <c r="BA555" s="324">
        <f t="shared" si="246"/>
        <v>0</v>
      </c>
      <c r="BB555" s="324">
        <f t="shared" si="247"/>
        <v>0</v>
      </c>
      <c r="BC555" s="324">
        <f t="shared" si="248"/>
        <v>0</v>
      </c>
      <c r="BD555" s="324">
        <f t="shared" si="249"/>
        <v>0</v>
      </c>
      <c r="BE555" s="324">
        <f t="shared" si="250"/>
        <v>0</v>
      </c>
      <c r="BF555" s="324">
        <f t="shared" si="251"/>
        <v>0</v>
      </c>
      <c r="BG555" s="324">
        <f t="shared" si="252"/>
        <v>0</v>
      </c>
      <c r="BH555" s="324">
        <f t="shared" si="253"/>
        <v>0</v>
      </c>
      <c r="BI555" s="324">
        <f t="shared" si="254"/>
        <v>0</v>
      </c>
      <c r="BJ555" s="324">
        <f t="shared" si="255"/>
        <v>0</v>
      </c>
      <c r="BK555" s="324">
        <f t="shared" si="256"/>
        <v>0</v>
      </c>
      <c r="BL555" s="324">
        <f t="shared" si="257"/>
        <v>0</v>
      </c>
      <c r="BM555" s="324">
        <f t="shared" si="258"/>
        <v>0</v>
      </c>
      <c r="BN555" s="324">
        <f t="shared" si="259"/>
        <v>0</v>
      </c>
      <c r="BO555" s="324">
        <f t="shared" si="260"/>
        <v>0</v>
      </c>
      <c r="BP555" s="324">
        <f t="shared" si="261"/>
        <v>0</v>
      </c>
      <c r="BQ555" s="324">
        <f t="shared" si="262"/>
        <v>0</v>
      </c>
      <c r="BR555" s="324">
        <f t="shared" si="263"/>
        <v>0</v>
      </c>
      <c r="BS555" s="324">
        <f t="shared" si="264"/>
        <v>0</v>
      </c>
      <c r="BT555" s="332">
        <f t="shared" si="265"/>
        <v>0</v>
      </c>
    </row>
    <row r="556" spans="1:72" ht="14.25">
      <c r="A556" s="297"/>
      <c r="B556" s="323"/>
      <c r="C556" s="323"/>
      <c r="D556" s="3"/>
      <c r="E556" s="324">
        <f t="shared" si="237"/>
        <v>0</v>
      </c>
      <c r="F556" s="325"/>
      <c r="G556" s="326">
        <f t="shared" si="238"/>
        <v>0</v>
      </c>
      <c r="H556" s="327">
        <f t="shared" si="239"/>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240"/>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241"/>
        <v>0</v>
      </c>
      <c r="AW556" s="7">
        <f t="shared" si="242"/>
        <v>0</v>
      </c>
      <c r="AX556" s="7">
        <f t="shared" si="243"/>
        <v>0</v>
      </c>
      <c r="AY556" s="331">
        <f t="shared" si="244"/>
        <v>0</v>
      </c>
      <c r="AZ556" s="324">
        <f t="shared" si="245"/>
        <v>0</v>
      </c>
      <c r="BA556" s="324">
        <f t="shared" si="246"/>
        <v>0</v>
      </c>
      <c r="BB556" s="324">
        <f t="shared" si="247"/>
        <v>0</v>
      </c>
      <c r="BC556" s="324">
        <f t="shared" si="248"/>
        <v>0</v>
      </c>
      <c r="BD556" s="324">
        <f t="shared" si="249"/>
        <v>0</v>
      </c>
      <c r="BE556" s="324">
        <f t="shared" si="250"/>
        <v>0</v>
      </c>
      <c r="BF556" s="324">
        <f t="shared" si="251"/>
        <v>0</v>
      </c>
      <c r="BG556" s="324">
        <f t="shared" si="252"/>
        <v>0</v>
      </c>
      <c r="BH556" s="324">
        <f t="shared" si="253"/>
        <v>0</v>
      </c>
      <c r="BI556" s="324">
        <f t="shared" si="254"/>
        <v>0</v>
      </c>
      <c r="BJ556" s="324">
        <f t="shared" si="255"/>
        <v>0</v>
      </c>
      <c r="BK556" s="324">
        <f t="shared" si="256"/>
        <v>0</v>
      </c>
      <c r="BL556" s="324">
        <f t="shared" si="257"/>
        <v>0</v>
      </c>
      <c r="BM556" s="324">
        <f t="shared" si="258"/>
        <v>0</v>
      </c>
      <c r="BN556" s="324">
        <f t="shared" si="259"/>
        <v>0</v>
      </c>
      <c r="BO556" s="324">
        <f t="shared" si="260"/>
        <v>0</v>
      </c>
      <c r="BP556" s="324">
        <f t="shared" si="261"/>
        <v>0</v>
      </c>
      <c r="BQ556" s="324">
        <f t="shared" si="262"/>
        <v>0</v>
      </c>
      <c r="BR556" s="324">
        <f t="shared" si="263"/>
        <v>0</v>
      </c>
      <c r="BS556" s="324">
        <f t="shared" si="264"/>
        <v>0</v>
      </c>
      <c r="BT556" s="332">
        <f t="shared" si="265"/>
        <v>0</v>
      </c>
    </row>
    <row r="557" spans="1:72" ht="14.25">
      <c r="A557" s="297"/>
      <c r="B557" s="323"/>
      <c r="C557" s="323"/>
      <c r="D557" s="3"/>
      <c r="E557" s="324">
        <f t="shared" si="237"/>
        <v>0</v>
      </c>
      <c r="F557" s="325"/>
      <c r="G557" s="326">
        <f t="shared" si="238"/>
        <v>0</v>
      </c>
      <c r="H557" s="327">
        <f t="shared" si="239"/>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240"/>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241"/>
        <v>0</v>
      </c>
      <c r="AW557" s="7">
        <f t="shared" si="242"/>
        <v>0</v>
      </c>
      <c r="AX557" s="7">
        <f t="shared" si="243"/>
        <v>0</v>
      </c>
      <c r="AY557" s="331">
        <f t="shared" si="244"/>
        <v>0</v>
      </c>
      <c r="AZ557" s="324">
        <f t="shared" si="245"/>
        <v>0</v>
      </c>
      <c r="BA557" s="324">
        <f t="shared" si="246"/>
        <v>0</v>
      </c>
      <c r="BB557" s="324">
        <f t="shared" si="247"/>
        <v>0</v>
      </c>
      <c r="BC557" s="324">
        <f t="shared" si="248"/>
        <v>0</v>
      </c>
      <c r="BD557" s="324">
        <f t="shared" si="249"/>
        <v>0</v>
      </c>
      <c r="BE557" s="324">
        <f t="shared" si="250"/>
        <v>0</v>
      </c>
      <c r="BF557" s="324">
        <f t="shared" si="251"/>
        <v>0</v>
      </c>
      <c r="BG557" s="324">
        <f t="shared" si="252"/>
        <v>0</v>
      </c>
      <c r="BH557" s="324">
        <f t="shared" si="253"/>
        <v>0</v>
      </c>
      <c r="BI557" s="324">
        <f t="shared" si="254"/>
        <v>0</v>
      </c>
      <c r="BJ557" s="324">
        <f t="shared" si="255"/>
        <v>0</v>
      </c>
      <c r="BK557" s="324">
        <f t="shared" si="256"/>
        <v>0</v>
      </c>
      <c r="BL557" s="324">
        <f t="shared" si="257"/>
        <v>0</v>
      </c>
      <c r="BM557" s="324">
        <f t="shared" si="258"/>
        <v>0</v>
      </c>
      <c r="BN557" s="324">
        <f t="shared" si="259"/>
        <v>0</v>
      </c>
      <c r="BO557" s="324">
        <f t="shared" si="260"/>
        <v>0</v>
      </c>
      <c r="BP557" s="324">
        <f t="shared" si="261"/>
        <v>0</v>
      </c>
      <c r="BQ557" s="324">
        <f t="shared" si="262"/>
        <v>0</v>
      </c>
      <c r="BR557" s="324">
        <f t="shared" si="263"/>
        <v>0</v>
      </c>
      <c r="BS557" s="324">
        <f t="shared" si="264"/>
        <v>0</v>
      </c>
      <c r="BT557" s="332">
        <f t="shared" si="265"/>
        <v>0</v>
      </c>
    </row>
    <row r="558" spans="1:72" ht="14.25">
      <c r="A558" s="297"/>
      <c r="B558" s="323"/>
      <c r="C558" s="323"/>
      <c r="D558" s="3"/>
      <c r="E558" s="324">
        <f t="shared" si="237"/>
        <v>0</v>
      </c>
      <c r="F558" s="325"/>
      <c r="G558" s="326">
        <f t="shared" si="238"/>
        <v>0</v>
      </c>
      <c r="H558" s="327">
        <f t="shared" si="239"/>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240"/>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241"/>
        <v>0</v>
      </c>
      <c r="AW558" s="7">
        <f t="shared" si="242"/>
        <v>0</v>
      </c>
      <c r="AX558" s="7">
        <f t="shared" si="243"/>
        <v>0</v>
      </c>
      <c r="AY558" s="331">
        <f t="shared" si="244"/>
        <v>0</v>
      </c>
      <c r="AZ558" s="324">
        <f t="shared" si="245"/>
        <v>0</v>
      </c>
      <c r="BA558" s="324">
        <f t="shared" si="246"/>
        <v>0</v>
      </c>
      <c r="BB558" s="324">
        <f t="shared" si="247"/>
        <v>0</v>
      </c>
      <c r="BC558" s="324">
        <f t="shared" si="248"/>
        <v>0</v>
      </c>
      <c r="BD558" s="324">
        <f t="shared" si="249"/>
        <v>0</v>
      </c>
      <c r="BE558" s="324">
        <f t="shared" si="250"/>
        <v>0</v>
      </c>
      <c r="BF558" s="324">
        <f t="shared" si="251"/>
        <v>0</v>
      </c>
      <c r="BG558" s="324">
        <f t="shared" si="252"/>
        <v>0</v>
      </c>
      <c r="BH558" s="324">
        <f t="shared" si="253"/>
        <v>0</v>
      </c>
      <c r="BI558" s="324">
        <f t="shared" si="254"/>
        <v>0</v>
      </c>
      <c r="BJ558" s="324">
        <f t="shared" si="255"/>
        <v>0</v>
      </c>
      <c r="BK558" s="324">
        <f t="shared" si="256"/>
        <v>0</v>
      </c>
      <c r="BL558" s="324">
        <f t="shared" si="257"/>
        <v>0</v>
      </c>
      <c r="BM558" s="324">
        <f t="shared" si="258"/>
        <v>0</v>
      </c>
      <c r="BN558" s="324">
        <f t="shared" si="259"/>
        <v>0</v>
      </c>
      <c r="BO558" s="324">
        <f t="shared" si="260"/>
        <v>0</v>
      </c>
      <c r="BP558" s="324">
        <f t="shared" si="261"/>
        <v>0</v>
      </c>
      <c r="BQ558" s="324">
        <f t="shared" si="262"/>
        <v>0</v>
      </c>
      <c r="BR558" s="324">
        <f t="shared" si="263"/>
        <v>0</v>
      </c>
      <c r="BS558" s="324">
        <f t="shared" si="264"/>
        <v>0</v>
      </c>
      <c r="BT558" s="332">
        <f t="shared" si="265"/>
        <v>0</v>
      </c>
    </row>
    <row r="559" spans="1:72" ht="14.25">
      <c r="A559" s="297"/>
      <c r="B559" s="323"/>
      <c r="C559" s="323"/>
      <c r="D559" s="3"/>
      <c r="E559" s="324">
        <f t="shared" si="237"/>
        <v>0</v>
      </c>
      <c r="F559" s="325"/>
      <c r="G559" s="326">
        <f t="shared" si="238"/>
        <v>0</v>
      </c>
      <c r="H559" s="327">
        <f t="shared" si="239"/>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240"/>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241"/>
        <v>0</v>
      </c>
      <c r="AW559" s="7">
        <f t="shared" si="242"/>
        <v>0</v>
      </c>
      <c r="AX559" s="7">
        <f t="shared" si="243"/>
        <v>0</v>
      </c>
      <c r="AY559" s="331">
        <f t="shared" si="244"/>
        <v>0</v>
      </c>
      <c r="AZ559" s="324">
        <f t="shared" si="245"/>
        <v>0</v>
      </c>
      <c r="BA559" s="324">
        <f t="shared" si="246"/>
        <v>0</v>
      </c>
      <c r="BB559" s="324">
        <f t="shared" si="247"/>
        <v>0</v>
      </c>
      <c r="BC559" s="324">
        <f t="shared" si="248"/>
        <v>0</v>
      </c>
      <c r="BD559" s="324">
        <f t="shared" si="249"/>
        <v>0</v>
      </c>
      <c r="BE559" s="324">
        <f t="shared" si="250"/>
        <v>0</v>
      </c>
      <c r="BF559" s="324">
        <f t="shared" si="251"/>
        <v>0</v>
      </c>
      <c r="BG559" s="324">
        <f t="shared" si="252"/>
        <v>0</v>
      </c>
      <c r="BH559" s="324">
        <f t="shared" si="253"/>
        <v>0</v>
      </c>
      <c r="BI559" s="324">
        <f t="shared" si="254"/>
        <v>0</v>
      </c>
      <c r="BJ559" s="324">
        <f t="shared" si="255"/>
        <v>0</v>
      </c>
      <c r="BK559" s="324">
        <f t="shared" si="256"/>
        <v>0</v>
      </c>
      <c r="BL559" s="324">
        <f t="shared" si="257"/>
        <v>0</v>
      </c>
      <c r="BM559" s="324">
        <f t="shared" si="258"/>
        <v>0</v>
      </c>
      <c r="BN559" s="324">
        <f t="shared" si="259"/>
        <v>0</v>
      </c>
      <c r="BO559" s="324">
        <f t="shared" si="260"/>
        <v>0</v>
      </c>
      <c r="BP559" s="324">
        <f t="shared" si="261"/>
        <v>0</v>
      </c>
      <c r="BQ559" s="324">
        <f t="shared" si="262"/>
        <v>0</v>
      </c>
      <c r="BR559" s="324">
        <f t="shared" si="263"/>
        <v>0</v>
      </c>
      <c r="BS559" s="324">
        <f t="shared" si="264"/>
        <v>0</v>
      </c>
      <c r="BT559" s="332">
        <f t="shared" si="265"/>
        <v>0</v>
      </c>
    </row>
    <row r="560" spans="1:72" ht="14.25">
      <c r="A560" s="297"/>
      <c r="B560" s="323"/>
      <c r="C560" s="323"/>
      <c r="D560" s="3"/>
      <c r="E560" s="324">
        <f t="shared" si="237"/>
        <v>0</v>
      </c>
      <c r="F560" s="325"/>
      <c r="G560" s="326">
        <f t="shared" si="238"/>
        <v>0</v>
      </c>
      <c r="H560" s="327">
        <f t="shared" si="239"/>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240"/>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241"/>
        <v>0</v>
      </c>
      <c r="AW560" s="7">
        <f t="shared" si="242"/>
        <v>0</v>
      </c>
      <c r="AX560" s="7">
        <f t="shared" si="243"/>
        <v>0</v>
      </c>
      <c r="AY560" s="331">
        <f t="shared" si="244"/>
        <v>0</v>
      </c>
      <c r="AZ560" s="324">
        <f t="shared" si="245"/>
        <v>0</v>
      </c>
      <c r="BA560" s="324">
        <f t="shared" si="246"/>
        <v>0</v>
      </c>
      <c r="BB560" s="324">
        <f t="shared" si="247"/>
        <v>0</v>
      </c>
      <c r="BC560" s="324">
        <f t="shared" si="248"/>
        <v>0</v>
      </c>
      <c r="BD560" s="324">
        <f t="shared" si="249"/>
        <v>0</v>
      </c>
      <c r="BE560" s="324">
        <f t="shared" si="250"/>
        <v>0</v>
      </c>
      <c r="BF560" s="324">
        <f t="shared" si="251"/>
        <v>0</v>
      </c>
      <c r="BG560" s="324">
        <f t="shared" si="252"/>
        <v>0</v>
      </c>
      <c r="BH560" s="324">
        <f t="shared" si="253"/>
        <v>0</v>
      </c>
      <c r="BI560" s="324">
        <f t="shared" si="254"/>
        <v>0</v>
      </c>
      <c r="BJ560" s="324">
        <f t="shared" si="255"/>
        <v>0</v>
      </c>
      <c r="BK560" s="324">
        <f t="shared" si="256"/>
        <v>0</v>
      </c>
      <c r="BL560" s="324">
        <f t="shared" si="257"/>
        <v>0</v>
      </c>
      <c r="BM560" s="324">
        <f t="shared" si="258"/>
        <v>0</v>
      </c>
      <c r="BN560" s="324">
        <f t="shared" si="259"/>
        <v>0</v>
      </c>
      <c r="BO560" s="324">
        <f t="shared" si="260"/>
        <v>0</v>
      </c>
      <c r="BP560" s="324">
        <f t="shared" si="261"/>
        <v>0</v>
      </c>
      <c r="BQ560" s="324">
        <f t="shared" si="262"/>
        <v>0</v>
      </c>
      <c r="BR560" s="324">
        <f t="shared" si="263"/>
        <v>0</v>
      </c>
      <c r="BS560" s="324">
        <f t="shared" si="264"/>
        <v>0</v>
      </c>
      <c r="BT560" s="332">
        <f t="shared" si="265"/>
        <v>0</v>
      </c>
    </row>
    <row r="561" spans="1:72" ht="14.25">
      <c r="A561" s="297"/>
      <c r="B561" s="323"/>
      <c r="C561" s="323"/>
      <c r="D561" s="3"/>
      <c r="E561" s="324">
        <f t="shared" si="237"/>
        <v>0</v>
      </c>
      <c r="F561" s="325"/>
      <c r="G561" s="326">
        <f t="shared" si="238"/>
        <v>0</v>
      </c>
      <c r="H561" s="327">
        <f t="shared" si="239"/>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240"/>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241"/>
        <v>0</v>
      </c>
      <c r="AW561" s="7">
        <f t="shared" si="242"/>
        <v>0</v>
      </c>
      <c r="AX561" s="7">
        <f t="shared" si="243"/>
        <v>0</v>
      </c>
      <c r="AY561" s="331">
        <f t="shared" si="244"/>
        <v>0</v>
      </c>
      <c r="AZ561" s="324">
        <f t="shared" si="245"/>
        <v>0</v>
      </c>
      <c r="BA561" s="324">
        <f t="shared" si="246"/>
        <v>0</v>
      </c>
      <c r="BB561" s="324">
        <f t="shared" si="247"/>
        <v>0</v>
      </c>
      <c r="BC561" s="324">
        <f t="shared" si="248"/>
        <v>0</v>
      </c>
      <c r="BD561" s="324">
        <f t="shared" si="249"/>
        <v>0</v>
      </c>
      <c r="BE561" s="324">
        <f t="shared" si="250"/>
        <v>0</v>
      </c>
      <c r="BF561" s="324">
        <f t="shared" si="251"/>
        <v>0</v>
      </c>
      <c r="BG561" s="324">
        <f t="shared" si="252"/>
        <v>0</v>
      </c>
      <c r="BH561" s="324">
        <f t="shared" si="253"/>
        <v>0</v>
      </c>
      <c r="BI561" s="324">
        <f t="shared" si="254"/>
        <v>0</v>
      </c>
      <c r="BJ561" s="324">
        <f t="shared" si="255"/>
        <v>0</v>
      </c>
      <c r="BK561" s="324">
        <f t="shared" si="256"/>
        <v>0</v>
      </c>
      <c r="BL561" s="324">
        <f t="shared" si="257"/>
        <v>0</v>
      </c>
      <c r="BM561" s="324">
        <f t="shared" si="258"/>
        <v>0</v>
      </c>
      <c r="BN561" s="324">
        <f t="shared" si="259"/>
        <v>0</v>
      </c>
      <c r="BO561" s="324">
        <f t="shared" si="260"/>
        <v>0</v>
      </c>
      <c r="BP561" s="324">
        <f t="shared" si="261"/>
        <v>0</v>
      </c>
      <c r="BQ561" s="324">
        <f t="shared" si="262"/>
        <v>0</v>
      </c>
      <c r="BR561" s="324">
        <f t="shared" si="263"/>
        <v>0</v>
      </c>
      <c r="BS561" s="324">
        <f t="shared" si="264"/>
        <v>0</v>
      </c>
      <c r="BT561" s="332">
        <f t="shared" si="265"/>
        <v>0</v>
      </c>
    </row>
    <row r="562" spans="1:72" ht="14.25">
      <c r="A562" s="297"/>
      <c r="B562" s="323"/>
      <c r="C562" s="323"/>
      <c r="D562" s="3"/>
      <c r="E562" s="324">
        <f t="shared" si="237"/>
        <v>0</v>
      </c>
      <c r="F562" s="325"/>
      <c r="G562" s="326">
        <f t="shared" si="238"/>
        <v>0</v>
      </c>
      <c r="H562" s="327">
        <f t="shared" si="239"/>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240"/>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241"/>
        <v>0</v>
      </c>
      <c r="AW562" s="7">
        <f t="shared" si="242"/>
        <v>0</v>
      </c>
      <c r="AX562" s="7">
        <f t="shared" si="243"/>
        <v>0</v>
      </c>
      <c r="AY562" s="331">
        <f t="shared" si="244"/>
        <v>0</v>
      </c>
      <c r="AZ562" s="324">
        <f t="shared" si="245"/>
        <v>0</v>
      </c>
      <c r="BA562" s="324">
        <f t="shared" si="246"/>
        <v>0</v>
      </c>
      <c r="BB562" s="324">
        <f t="shared" si="247"/>
        <v>0</v>
      </c>
      <c r="BC562" s="324">
        <f t="shared" si="248"/>
        <v>0</v>
      </c>
      <c r="BD562" s="324">
        <f t="shared" si="249"/>
        <v>0</v>
      </c>
      <c r="BE562" s="324">
        <f t="shared" si="250"/>
        <v>0</v>
      </c>
      <c r="BF562" s="324">
        <f t="shared" si="251"/>
        <v>0</v>
      </c>
      <c r="BG562" s="324">
        <f t="shared" si="252"/>
        <v>0</v>
      </c>
      <c r="BH562" s="324">
        <f t="shared" si="253"/>
        <v>0</v>
      </c>
      <c r="BI562" s="324">
        <f t="shared" si="254"/>
        <v>0</v>
      </c>
      <c r="BJ562" s="324">
        <f t="shared" si="255"/>
        <v>0</v>
      </c>
      <c r="BK562" s="324">
        <f t="shared" si="256"/>
        <v>0</v>
      </c>
      <c r="BL562" s="324">
        <f t="shared" si="257"/>
        <v>0</v>
      </c>
      <c r="BM562" s="324">
        <f t="shared" si="258"/>
        <v>0</v>
      </c>
      <c r="BN562" s="324">
        <f t="shared" si="259"/>
        <v>0</v>
      </c>
      <c r="BO562" s="324">
        <f t="shared" si="260"/>
        <v>0</v>
      </c>
      <c r="BP562" s="324">
        <f t="shared" si="261"/>
        <v>0</v>
      </c>
      <c r="BQ562" s="324">
        <f t="shared" si="262"/>
        <v>0</v>
      </c>
      <c r="BR562" s="324">
        <f t="shared" si="263"/>
        <v>0</v>
      </c>
      <c r="BS562" s="324">
        <f t="shared" si="264"/>
        <v>0</v>
      </c>
      <c r="BT562" s="332">
        <f t="shared" si="265"/>
        <v>0</v>
      </c>
    </row>
    <row r="563" spans="1:72" ht="14.25">
      <c r="A563" s="297"/>
      <c r="B563" s="323"/>
      <c r="C563" s="323"/>
      <c r="D563" s="3"/>
      <c r="E563" s="324">
        <f t="shared" si="237"/>
        <v>0</v>
      </c>
      <c r="F563" s="325"/>
      <c r="G563" s="326">
        <f t="shared" si="238"/>
        <v>0</v>
      </c>
      <c r="H563" s="327">
        <f t="shared" si="239"/>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240"/>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241"/>
        <v>0</v>
      </c>
      <c r="AW563" s="7">
        <f t="shared" si="242"/>
        <v>0</v>
      </c>
      <c r="AX563" s="7">
        <f t="shared" si="243"/>
        <v>0</v>
      </c>
      <c r="AY563" s="331">
        <f t="shared" si="244"/>
        <v>0</v>
      </c>
      <c r="AZ563" s="324">
        <f t="shared" si="245"/>
        <v>0</v>
      </c>
      <c r="BA563" s="324">
        <f t="shared" si="246"/>
        <v>0</v>
      </c>
      <c r="BB563" s="324">
        <f t="shared" si="247"/>
        <v>0</v>
      </c>
      <c r="BC563" s="324">
        <f t="shared" si="248"/>
        <v>0</v>
      </c>
      <c r="BD563" s="324">
        <f t="shared" si="249"/>
        <v>0</v>
      </c>
      <c r="BE563" s="324">
        <f t="shared" si="250"/>
        <v>0</v>
      </c>
      <c r="BF563" s="324">
        <f t="shared" si="251"/>
        <v>0</v>
      </c>
      <c r="BG563" s="324">
        <f t="shared" si="252"/>
        <v>0</v>
      </c>
      <c r="BH563" s="324">
        <f t="shared" si="253"/>
        <v>0</v>
      </c>
      <c r="BI563" s="324">
        <f t="shared" si="254"/>
        <v>0</v>
      </c>
      <c r="BJ563" s="324">
        <f t="shared" si="255"/>
        <v>0</v>
      </c>
      <c r="BK563" s="324">
        <f t="shared" si="256"/>
        <v>0</v>
      </c>
      <c r="BL563" s="324">
        <f t="shared" si="257"/>
        <v>0</v>
      </c>
      <c r="BM563" s="324">
        <f t="shared" si="258"/>
        <v>0</v>
      </c>
      <c r="BN563" s="324">
        <f t="shared" si="259"/>
        <v>0</v>
      </c>
      <c r="BO563" s="324">
        <f t="shared" si="260"/>
        <v>0</v>
      </c>
      <c r="BP563" s="324">
        <f t="shared" si="261"/>
        <v>0</v>
      </c>
      <c r="BQ563" s="324">
        <f t="shared" si="262"/>
        <v>0</v>
      </c>
      <c r="BR563" s="324">
        <f t="shared" si="263"/>
        <v>0</v>
      </c>
      <c r="BS563" s="324">
        <f t="shared" si="264"/>
        <v>0</v>
      </c>
      <c r="BT563" s="332">
        <f t="shared" si="265"/>
        <v>0</v>
      </c>
    </row>
    <row r="564" spans="1:72" ht="14.25">
      <c r="A564" s="297"/>
      <c r="B564" s="323"/>
      <c r="C564" s="323"/>
      <c r="D564" s="3"/>
      <c r="E564" s="324">
        <f t="shared" si="237"/>
        <v>0</v>
      </c>
      <c r="F564" s="325"/>
      <c r="G564" s="326">
        <f t="shared" si="238"/>
        <v>0</v>
      </c>
      <c r="H564" s="327">
        <f t="shared" si="239"/>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240"/>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241"/>
        <v>0</v>
      </c>
      <c r="AW564" s="7">
        <f t="shared" si="242"/>
        <v>0</v>
      </c>
      <c r="AX564" s="7">
        <f t="shared" si="243"/>
        <v>0</v>
      </c>
      <c r="AY564" s="331">
        <f t="shared" si="244"/>
        <v>0</v>
      </c>
      <c r="AZ564" s="324">
        <f t="shared" si="245"/>
        <v>0</v>
      </c>
      <c r="BA564" s="324">
        <f t="shared" si="246"/>
        <v>0</v>
      </c>
      <c r="BB564" s="324">
        <f t="shared" si="247"/>
        <v>0</v>
      </c>
      <c r="BC564" s="324">
        <f t="shared" si="248"/>
        <v>0</v>
      </c>
      <c r="BD564" s="324">
        <f t="shared" si="249"/>
        <v>0</v>
      </c>
      <c r="BE564" s="324">
        <f t="shared" si="250"/>
        <v>0</v>
      </c>
      <c r="BF564" s="324">
        <f t="shared" si="251"/>
        <v>0</v>
      </c>
      <c r="BG564" s="324">
        <f t="shared" si="252"/>
        <v>0</v>
      </c>
      <c r="BH564" s="324">
        <f t="shared" si="253"/>
        <v>0</v>
      </c>
      <c r="BI564" s="324">
        <f t="shared" si="254"/>
        <v>0</v>
      </c>
      <c r="BJ564" s="324">
        <f t="shared" si="255"/>
        <v>0</v>
      </c>
      <c r="BK564" s="324">
        <f t="shared" si="256"/>
        <v>0</v>
      </c>
      <c r="BL564" s="324">
        <f t="shared" si="257"/>
        <v>0</v>
      </c>
      <c r="BM564" s="324">
        <f t="shared" si="258"/>
        <v>0</v>
      </c>
      <c r="BN564" s="324">
        <f t="shared" si="259"/>
        <v>0</v>
      </c>
      <c r="BO564" s="324">
        <f t="shared" si="260"/>
        <v>0</v>
      </c>
      <c r="BP564" s="324">
        <f t="shared" si="261"/>
        <v>0</v>
      </c>
      <c r="BQ564" s="324">
        <f t="shared" si="262"/>
        <v>0</v>
      </c>
      <c r="BR564" s="324">
        <f t="shared" si="263"/>
        <v>0</v>
      </c>
      <c r="BS564" s="324">
        <f t="shared" si="264"/>
        <v>0</v>
      </c>
      <c r="BT564" s="332">
        <f t="shared" si="265"/>
        <v>0</v>
      </c>
    </row>
    <row r="565" spans="1:72" ht="14.25">
      <c r="A565" s="297"/>
      <c r="B565" s="323"/>
      <c r="C565" s="323"/>
      <c r="D565" s="3"/>
      <c r="E565" s="324">
        <f t="shared" si="237"/>
        <v>0</v>
      </c>
      <c r="F565" s="325"/>
      <c r="G565" s="326">
        <f t="shared" si="238"/>
        <v>0</v>
      </c>
      <c r="H565" s="327">
        <f t="shared" si="239"/>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240"/>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241"/>
        <v>0</v>
      </c>
      <c r="AW565" s="7">
        <f t="shared" si="242"/>
        <v>0</v>
      </c>
      <c r="AX565" s="7">
        <f t="shared" si="243"/>
        <v>0</v>
      </c>
      <c r="AY565" s="331">
        <f t="shared" si="244"/>
        <v>0</v>
      </c>
      <c r="AZ565" s="324">
        <f t="shared" si="245"/>
        <v>0</v>
      </c>
      <c r="BA565" s="324">
        <f t="shared" si="246"/>
        <v>0</v>
      </c>
      <c r="BB565" s="324">
        <f t="shared" si="247"/>
        <v>0</v>
      </c>
      <c r="BC565" s="324">
        <f t="shared" si="248"/>
        <v>0</v>
      </c>
      <c r="BD565" s="324">
        <f t="shared" si="249"/>
        <v>0</v>
      </c>
      <c r="BE565" s="324">
        <f t="shared" si="250"/>
        <v>0</v>
      </c>
      <c r="BF565" s="324">
        <f t="shared" si="251"/>
        <v>0</v>
      </c>
      <c r="BG565" s="324">
        <f t="shared" si="252"/>
        <v>0</v>
      </c>
      <c r="BH565" s="324">
        <f t="shared" si="253"/>
        <v>0</v>
      </c>
      <c r="BI565" s="324">
        <f t="shared" si="254"/>
        <v>0</v>
      </c>
      <c r="BJ565" s="324">
        <f t="shared" si="255"/>
        <v>0</v>
      </c>
      <c r="BK565" s="324">
        <f t="shared" si="256"/>
        <v>0</v>
      </c>
      <c r="BL565" s="324">
        <f t="shared" si="257"/>
        <v>0</v>
      </c>
      <c r="BM565" s="324">
        <f t="shared" si="258"/>
        <v>0</v>
      </c>
      <c r="BN565" s="324">
        <f t="shared" si="259"/>
        <v>0</v>
      </c>
      <c r="BO565" s="324">
        <f t="shared" si="260"/>
        <v>0</v>
      </c>
      <c r="BP565" s="324">
        <f t="shared" si="261"/>
        <v>0</v>
      </c>
      <c r="BQ565" s="324">
        <f t="shared" si="262"/>
        <v>0</v>
      </c>
      <c r="BR565" s="324">
        <f t="shared" si="263"/>
        <v>0</v>
      </c>
      <c r="BS565" s="324">
        <f t="shared" si="264"/>
        <v>0</v>
      </c>
      <c r="BT565" s="332">
        <f t="shared" si="265"/>
        <v>0</v>
      </c>
    </row>
    <row r="566" spans="1:72" ht="14.25">
      <c r="A566" s="297"/>
      <c r="B566" s="323"/>
      <c r="C566" s="323"/>
      <c r="D566" s="3"/>
      <c r="E566" s="324">
        <f t="shared" si="237"/>
        <v>0</v>
      </c>
      <c r="F566" s="325"/>
      <c r="G566" s="326">
        <f t="shared" si="238"/>
        <v>0</v>
      </c>
      <c r="H566" s="327">
        <f t="shared" si="239"/>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240"/>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241"/>
        <v>0</v>
      </c>
      <c r="AW566" s="7">
        <f t="shared" si="242"/>
        <v>0</v>
      </c>
      <c r="AX566" s="7">
        <f t="shared" si="243"/>
        <v>0</v>
      </c>
      <c r="AY566" s="331">
        <f t="shared" si="244"/>
        <v>0</v>
      </c>
      <c r="AZ566" s="324">
        <f t="shared" si="245"/>
        <v>0</v>
      </c>
      <c r="BA566" s="324">
        <f t="shared" si="246"/>
        <v>0</v>
      </c>
      <c r="BB566" s="324">
        <f t="shared" si="247"/>
        <v>0</v>
      </c>
      <c r="BC566" s="324">
        <f t="shared" si="248"/>
        <v>0</v>
      </c>
      <c r="BD566" s="324">
        <f t="shared" si="249"/>
        <v>0</v>
      </c>
      <c r="BE566" s="324">
        <f t="shared" si="250"/>
        <v>0</v>
      </c>
      <c r="BF566" s="324">
        <f t="shared" si="251"/>
        <v>0</v>
      </c>
      <c r="BG566" s="324">
        <f t="shared" si="252"/>
        <v>0</v>
      </c>
      <c r="BH566" s="324">
        <f t="shared" si="253"/>
        <v>0</v>
      </c>
      <c r="BI566" s="324">
        <f t="shared" si="254"/>
        <v>0</v>
      </c>
      <c r="BJ566" s="324">
        <f t="shared" si="255"/>
        <v>0</v>
      </c>
      <c r="BK566" s="324">
        <f t="shared" si="256"/>
        <v>0</v>
      </c>
      <c r="BL566" s="324">
        <f t="shared" si="257"/>
        <v>0</v>
      </c>
      <c r="BM566" s="324">
        <f t="shared" si="258"/>
        <v>0</v>
      </c>
      <c r="BN566" s="324">
        <f t="shared" si="259"/>
        <v>0</v>
      </c>
      <c r="BO566" s="324">
        <f t="shared" si="260"/>
        <v>0</v>
      </c>
      <c r="BP566" s="324">
        <f t="shared" si="261"/>
        <v>0</v>
      </c>
      <c r="BQ566" s="324">
        <f t="shared" si="262"/>
        <v>0</v>
      </c>
      <c r="BR566" s="324">
        <f t="shared" si="263"/>
        <v>0</v>
      </c>
      <c r="BS566" s="324">
        <f t="shared" si="264"/>
        <v>0</v>
      </c>
      <c r="BT566" s="332">
        <f t="shared" si="265"/>
        <v>0</v>
      </c>
    </row>
    <row r="567" spans="1:72" ht="14.25">
      <c r="A567" s="297"/>
      <c r="B567" s="323"/>
      <c r="C567" s="323"/>
      <c r="D567" s="3"/>
      <c r="E567" s="324">
        <f t="shared" si="237"/>
        <v>0</v>
      </c>
      <c r="F567" s="325"/>
      <c r="G567" s="326">
        <f t="shared" si="238"/>
        <v>0</v>
      </c>
      <c r="H567" s="327">
        <f t="shared" si="239"/>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240"/>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241"/>
        <v>0</v>
      </c>
      <c r="AW567" s="7">
        <f t="shared" si="242"/>
        <v>0</v>
      </c>
      <c r="AX567" s="7">
        <f t="shared" si="243"/>
        <v>0</v>
      </c>
      <c r="AY567" s="331">
        <f t="shared" si="244"/>
        <v>0</v>
      </c>
      <c r="AZ567" s="324">
        <f t="shared" si="245"/>
        <v>0</v>
      </c>
      <c r="BA567" s="324">
        <f t="shared" si="246"/>
        <v>0</v>
      </c>
      <c r="BB567" s="324">
        <f t="shared" si="247"/>
        <v>0</v>
      </c>
      <c r="BC567" s="324">
        <f t="shared" si="248"/>
        <v>0</v>
      </c>
      <c r="BD567" s="324">
        <f t="shared" si="249"/>
        <v>0</v>
      </c>
      <c r="BE567" s="324">
        <f t="shared" si="250"/>
        <v>0</v>
      </c>
      <c r="BF567" s="324">
        <f t="shared" si="251"/>
        <v>0</v>
      </c>
      <c r="BG567" s="324">
        <f t="shared" si="252"/>
        <v>0</v>
      </c>
      <c r="BH567" s="324">
        <f t="shared" si="253"/>
        <v>0</v>
      </c>
      <c r="BI567" s="324">
        <f t="shared" si="254"/>
        <v>0</v>
      </c>
      <c r="BJ567" s="324">
        <f t="shared" si="255"/>
        <v>0</v>
      </c>
      <c r="BK567" s="324">
        <f t="shared" si="256"/>
        <v>0</v>
      </c>
      <c r="BL567" s="324">
        <f t="shared" si="257"/>
        <v>0</v>
      </c>
      <c r="BM567" s="324">
        <f t="shared" si="258"/>
        <v>0</v>
      </c>
      <c r="BN567" s="324">
        <f t="shared" si="259"/>
        <v>0</v>
      </c>
      <c r="BO567" s="324">
        <f t="shared" si="260"/>
        <v>0</v>
      </c>
      <c r="BP567" s="324">
        <f t="shared" si="261"/>
        <v>0</v>
      </c>
      <c r="BQ567" s="324">
        <f t="shared" si="262"/>
        <v>0</v>
      </c>
      <c r="BR567" s="324">
        <f t="shared" si="263"/>
        <v>0</v>
      </c>
      <c r="BS567" s="324">
        <f t="shared" si="264"/>
        <v>0</v>
      </c>
      <c r="BT567" s="332">
        <f t="shared" si="265"/>
        <v>0</v>
      </c>
    </row>
    <row r="568" spans="1:72" ht="14.25">
      <c r="A568" s="297"/>
      <c r="B568" s="323"/>
      <c r="C568" s="323"/>
      <c r="D568" s="3"/>
      <c r="E568" s="324">
        <f t="shared" si="237"/>
        <v>0</v>
      </c>
      <c r="F568" s="325"/>
      <c r="G568" s="326">
        <f t="shared" si="238"/>
        <v>0</v>
      </c>
      <c r="H568" s="327">
        <f t="shared" si="239"/>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240"/>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241"/>
        <v>0</v>
      </c>
      <c r="AW568" s="7">
        <f t="shared" si="242"/>
        <v>0</v>
      </c>
      <c r="AX568" s="7">
        <f t="shared" si="243"/>
        <v>0</v>
      </c>
      <c r="AY568" s="331">
        <f t="shared" si="244"/>
        <v>0</v>
      </c>
      <c r="AZ568" s="324">
        <f t="shared" si="245"/>
        <v>0</v>
      </c>
      <c r="BA568" s="324">
        <f t="shared" si="246"/>
        <v>0</v>
      </c>
      <c r="BB568" s="324">
        <f t="shared" si="247"/>
        <v>0</v>
      </c>
      <c r="BC568" s="324">
        <f t="shared" si="248"/>
        <v>0</v>
      </c>
      <c r="BD568" s="324">
        <f t="shared" si="249"/>
        <v>0</v>
      </c>
      <c r="BE568" s="324">
        <f t="shared" si="250"/>
        <v>0</v>
      </c>
      <c r="BF568" s="324">
        <f t="shared" si="251"/>
        <v>0</v>
      </c>
      <c r="BG568" s="324">
        <f t="shared" si="252"/>
        <v>0</v>
      </c>
      <c r="BH568" s="324">
        <f t="shared" si="253"/>
        <v>0</v>
      </c>
      <c r="BI568" s="324">
        <f t="shared" si="254"/>
        <v>0</v>
      </c>
      <c r="BJ568" s="324">
        <f t="shared" si="255"/>
        <v>0</v>
      </c>
      <c r="BK568" s="324">
        <f t="shared" si="256"/>
        <v>0</v>
      </c>
      <c r="BL568" s="324">
        <f t="shared" si="257"/>
        <v>0</v>
      </c>
      <c r="BM568" s="324">
        <f t="shared" si="258"/>
        <v>0</v>
      </c>
      <c r="BN568" s="324">
        <f t="shared" si="259"/>
        <v>0</v>
      </c>
      <c r="BO568" s="324">
        <f t="shared" si="260"/>
        <v>0</v>
      </c>
      <c r="BP568" s="324">
        <f t="shared" si="261"/>
        <v>0</v>
      </c>
      <c r="BQ568" s="324">
        <f t="shared" si="262"/>
        <v>0</v>
      </c>
      <c r="BR568" s="324">
        <f t="shared" si="263"/>
        <v>0</v>
      </c>
      <c r="BS568" s="324">
        <f t="shared" si="264"/>
        <v>0</v>
      </c>
      <c r="BT568" s="332">
        <f t="shared" si="265"/>
        <v>0</v>
      </c>
    </row>
    <row r="569" spans="1:72" ht="14.25">
      <c r="A569" s="297"/>
      <c r="B569" s="323"/>
      <c r="C569" s="323"/>
      <c r="D569" s="3"/>
      <c r="E569" s="324">
        <f t="shared" si="237"/>
        <v>0</v>
      </c>
      <c r="F569" s="325"/>
      <c r="G569" s="326">
        <f t="shared" si="238"/>
        <v>0</v>
      </c>
      <c r="H569" s="327">
        <f t="shared" si="239"/>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240"/>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241"/>
        <v>0</v>
      </c>
      <c r="AW569" s="7">
        <f t="shared" si="242"/>
        <v>0</v>
      </c>
      <c r="AX569" s="7">
        <f t="shared" si="243"/>
        <v>0</v>
      </c>
      <c r="AY569" s="331">
        <f t="shared" si="244"/>
        <v>0</v>
      </c>
      <c r="AZ569" s="324">
        <f t="shared" si="245"/>
        <v>0</v>
      </c>
      <c r="BA569" s="324">
        <f t="shared" si="246"/>
        <v>0</v>
      </c>
      <c r="BB569" s="324">
        <f t="shared" si="247"/>
        <v>0</v>
      </c>
      <c r="BC569" s="324">
        <f t="shared" si="248"/>
        <v>0</v>
      </c>
      <c r="BD569" s="324">
        <f t="shared" si="249"/>
        <v>0</v>
      </c>
      <c r="BE569" s="324">
        <f t="shared" si="250"/>
        <v>0</v>
      </c>
      <c r="BF569" s="324">
        <f t="shared" si="251"/>
        <v>0</v>
      </c>
      <c r="BG569" s="324">
        <f t="shared" si="252"/>
        <v>0</v>
      </c>
      <c r="BH569" s="324">
        <f t="shared" si="253"/>
        <v>0</v>
      </c>
      <c r="BI569" s="324">
        <f t="shared" si="254"/>
        <v>0</v>
      </c>
      <c r="BJ569" s="324">
        <f t="shared" si="255"/>
        <v>0</v>
      </c>
      <c r="BK569" s="324">
        <f t="shared" si="256"/>
        <v>0</v>
      </c>
      <c r="BL569" s="324">
        <f t="shared" si="257"/>
        <v>0</v>
      </c>
      <c r="BM569" s="324">
        <f t="shared" si="258"/>
        <v>0</v>
      </c>
      <c r="BN569" s="324">
        <f t="shared" si="259"/>
        <v>0</v>
      </c>
      <c r="BO569" s="324">
        <f t="shared" si="260"/>
        <v>0</v>
      </c>
      <c r="BP569" s="324">
        <f t="shared" si="261"/>
        <v>0</v>
      </c>
      <c r="BQ569" s="324">
        <f t="shared" si="262"/>
        <v>0</v>
      </c>
      <c r="BR569" s="324">
        <f t="shared" si="263"/>
        <v>0</v>
      </c>
      <c r="BS569" s="324">
        <f t="shared" si="264"/>
        <v>0</v>
      </c>
      <c r="BT569" s="332">
        <f t="shared" si="265"/>
        <v>0</v>
      </c>
    </row>
    <row r="570" spans="1:72" ht="14.25">
      <c r="A570" s="297"/>
      <c r="B570" s="323"/>
      <c r="C570" s="323"/>
      <c r="D570" s="3"/>
      <c r="E570" s="324">
        <f t="shared" si="237"/>
        <v>0</v>
      </c>
      <c r="F570" s="325"/>
      <c r="G570" s="326">
        <f t="shared" si="238"/>
        <v>0</v>
      </c>
      <c r="H570" s="327">
        <f t="shared" si="239"/>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240"/>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241"/>
        <v>0</v>
      </c>
      <c r="AW570" s="7">
        <f t="shared" si="242"/>
        <v>0</v>
      </c>
      <c r="AX570" s="7">
        <f t="shared" si="243"/>
        <v>0</v>
      </c>
      <c r="AY570" s="331">
        <f t="shared" si="244"/>
        <v>0</v>
      </c>
      <c r="AZ570" s="324">
        <f t="shared" si="245"/>
        <v>0</v>
      </c>
      <c r="BA570" s="324">
        <f t="shared" si="246"/>
        <v>0</v>
      </c>
      <c r="BB570" s="324">
        <f t="shared" si="247"/>
        <v>0</v>
      </c>
      <c r="BC570" s="324">
        <f t="shared" si="248"/>
        <v>0</v>
      </c>
      <c r="BD570" s="324">
        <f t="shared" si="249"/>
        <v>0</v>
      </c>
      <c r="BE570" s="324">
        <f t="shared" si="250"/>
        <v>0</v>
      </c>
      <c r="BF570" s="324">
        <f t="shared" si="251"/>
        <v>0</v>
      </c>
      <c r="BG570" s="324">
        <f t="shared" si="252"/>
        <v>0</v>
      </c>
      <c r="BH570" s="324">
        <f t="shared" si="253"/>
        <v>0</v>
      </c>
      <c r="BI570" s="324">
        <f t="shared" si="254"/>
        <v>0</v>
      </c>
      <c r="BJ570" s="324">
        <f t="shared" si="255"/>
        <v>0</v>
      </c>
      <c r="BK570" s="324">
        <f t="shared" si="256"/>
        <v>0</v>
      </c>
      <c r="BL570" s="324">
        <f t="shared" si="257"/>
        <v>0</v>
      </c>
      <c r="BM570" s="324">
        <f t="shared" si="258"/>
        <v>0</v>
      </c>
      <c r="BN570" s="324">
        <f t="shared" si="259"/>
        <v>0</v>
      </c>
      <c r="BO570" s="324">
        <f t="shared" si="260"/>
        <v>0</v>
      </c>
      <c r="BP570" s="324">
        <f t="shared" si="261"/>
        <v>0</v>
      </c>
      <c r="BQ570" s="324">
        <f t="shared" si="262"/>
        <v>0</v>
      </c>
      <c r="BR570" s="324">
        <f t="shared" si="263"/>
        <v>0</v>
      </c>
      <c r="BS570" s="324">
        <f t="shared" si="264"/>
        <v>0</v>
      </c>
      <c r="BT570" s="332">
        <f t="shared" si="265"/>
        <v>0</v>
      </c>
    </row>
    <row r="571" spans="1:72" ht="14.25">
      <c r="A571" s="297"/>
      <c r="B571" s="323"/>
      <c r="C571" s="323"/>
      <c r="D571" s="3"/>
      <c r="E571" s="324">
        <f t="shared" si="237"/>
        <v>0</v>
      </c>
      <c r="F571" s="325"/>
      <c r="G571" s="326">
        <f t="shared" si="238"/>
        <v>0</v>
      </c>
      <c r="H571" s="327">
        <f t="shared" si="239"/>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240"/>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241"/>
        <v>0</v>
      </c>
      <c r="AW571" s="7">
        <f t="shared" si="242"/>
        <v>0</v>
      </c>
      <c r="AX571" s="7">
        <f t="shared" si="243"/>
        <v>0</v>
      </c>
      <c r="AY571" s="331">
        <f t="shared" si="244"/>
        <v>0</v>
      </c>
      <c r="AZ571" s="324">
        <f t="shared" si="245"/>
        <v>0</v>
      </c>
      <c r="BA571" s="324">
        <f t="shared" si="246"/>
        <v>0</v>
      </c>
      <c r="BB571" s="324">
        <f t="shared" si="247"/>
        <v>0</v>
      </c>
      <c r="BC571" s="324">
        <f t="shared" si="248"/>
        <v>0</v>
      </c>
      <c r="BD571" s="324">
        <f t="shared" si="249"/>
        <v>0</v>
      </c>
      <c r="BE571" s="324">
        <f t="shared" si="250"/>
        <v>0</v>
      </c>
      <c r="BF571" s="324">
        <f t="shared" si="251"/>
        <v>0</v>
      </c>
      <c r="BG571" s="324">
        <f t="shared" si="252"/>
        <v>0</v>
      </c>
      <c r="BH571" s="324">
        <f t="shared" si="253"/>
        <v>0</v>
      </c>
      <c r="BI571" s="324">
        <f t="shared" si="254"/>
        <v>0</v>
      </c>
      <c r="BJ571" s="324">
        <f t="shared" si="255"/>
        <v>0</v>
      </c>
      <c r="BK571" s="324">
        <f t="shared" si="256"/>
        <v>0</v>
      </c>
      <c r="BL571" s="324">
        <f t="shared" si="257"/>
        <v>0</v>
      </c>
      <c r="BM571" s="324">
        <f t="shared" si="258"/>
        <v>0</v>
      </c>
      <c r="BN571" s="324">
        <f t="shared" si="259"/>
        <v>0</v>
      </c>
      <c r="BO571" s="324">
        <f t="shared" si="260"/>
        <v>0</v>
      </c>
      <c r="BP571" s="324">
        <f t="shared" si="261"/>
        <v>0</v>
      </c>
      <c r="BQ571" s="324">
        <f t="shared" si="262"/>
        <v>0</v>
      </c>
      <c r="BR571" s="324">
        <f t="shared" si="263"/>
        <v>0</v>
      </c>
      <c r="BS571" s="324">
        <f t="shared" si="264"/>
        <v>0</v>
      </c>
      <c r="BT571" s="332">
        <f t="shared" si="265"/>
        <v>0</v>
      </c>
    </row>
    <row r="572" spans="1:72" ht="14.25">
      <c r="A572" s="297"/>
      <c r="B572" s="323"/>
      <c r="C572" s="323"/>
      <c r="D572" s="3"/>
      <c r="E572" s="324">
        <f t="shared" si="237"/>
        <v>0</v>
      </c>
      <c r="F572" s="325"/>
      <c r="G572" s="326">
        <f t="shared" si="238"/>
        <v>0</v>
      </c>
      <c r="H572" s="327">
        <f t="shared" si="239"/>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240"/>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241"/>
        <v>0</v>
      </c>
      <c r="AW572" s="7">
        <f t="shared" si="242"/>
        <v>0</v>
      </c>
      <c r="AX572" s="7">
        <f t="shared" si="243"/>
        <v>0</v>
      </c>
      <c r="AY572" s="331">
        <f t="shared" si="244"/>
        <v>0</v>
      </c>
      <c r="AZ572" s="324">
        <f t="shared" si="245"/>
        <v>0</v>
      </c>
      <c r="BA572" s="324">
        <f t="shared" si="246"/>
        <v>0</v>
      </c>
      <c r="BB572" s="324">
        <f t="shared" si="247"/>
        <v>0</v>
      </c>
      <c r="BC572" s="324">
        <f t="shared" si="248"/>
        <v>0</v>
      </c>
      <c r="BD572" s="324">
        <f t="shared" si="249"/>
        <v>0</v>
      </c>
      <c r="BE572" s="324">
        <f t="shared" si="250"/>
        <v>0</v>
      </c>
      <c r="BF572" s="324">
        <f t="shared" si="251"/>
        <v>0</v>
      </c>
      <c r="BG572" s="324">
        <f t="shared" si="252"/>
        <v>0</v>
      </c>
      <c r="BH572" s="324">
        <f t="shared" si="253"/>
        <v>0</v>
      </c>
      <c r="BI572" s="324">
        <f t="shared" si="254"/>
        <v>0</v>
      </c>
      <c r="BJ572" s="324">
        <f t="shared" si="255"/>
        <v>0</v>
      </c>
      <c r="BK572" s="324">
        <f t="shared" si="256"/>
        <v>0</v>
      </c>
      <c r="BL572" s="324">
        <f t="shared" si="257"/>
        <v>0</v>
      </c>
      <c r="BM572" s="324">
        <f t="shared" si="258"/>
        <v>0</v>
      </c>
      <c r="BN572" s="324">
        <f t="shared" si="259"/>
        <v>0</v>
      </c>
      <c r="BO572" s="324">
        <f t="shared" si="260"/>
        <v>0</v>
      </c>
      <c r="BP572" s="324">
        <f t="shared" si="261"/>
        <v>0</v>
      </c>
      <c r="BQ572" s="324">
        <f t="shared" si="262"/>
        <v>0</v>
      </c>
      <c r="BR572" s="324">
        <f t="shared" si="263"/>
        <v>0</v>
      </c>
      <c r="BS572" s="324">
        <f t="shared" si="264"/>
        <v>0</v>
      </c>
      <c r="BT572" s="332">
        <f t="shared" si="265"/>
        <v>0</v>
      </c>
    </row>
    <row r="573" spans="1:72" ht="14.25">
      <c r="A573" s="297"/>
      <c r="B573" s="323"/>
      <c r="C573" s="323"/>
      <c r="D573" s="3"/>
      <c r="E573" s="324">
        <f t="shared" si="237"/>
        <v>0</v>
      </c>
      <c r="F573" s="325"/>
      <c r="G573" s="326">
        <f t="shared" si="238"/>
        <v>0</v>
      </c>
      <c r="H573" s="327">
        <f t="shared" si="239"/>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240"/>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241"/>
        <v>0</v>
      </c>
      <c r="AW573" s="7">
        <f t="shared" si="242"/>
        <v>0</v>
      </c>
      <c r="AX573" s="7">
        <f t="shared" si="243"/>
        <v>0</v>
      </c>
      <c r="AY573" s="331">
        <f t="shared" si="244"/>
        <v>0</v>
      </c>
      <c r="AZ573" s="324">
        <f t="shared" si="245"/>
        <v>0</v>
      </c>
      <c r="BA573" s="324">
        <f t="shared" si="246"/>
        <v>0</v>
      </c>
      <c r="BB573" s="324">
        <f t="shared" si="247"/>
        <v>0</v>
      </c>
      <c r="BC573" s="324">
        <f t="shared" si="248"/>
        <v>0</v>
      </c>
      <c r="BD573" s="324">
        <f t="shared" si="249"/>
        <v>0</v>
      </c>
      <c r="BE573" s="324">
        <f t="shared" si="250"/>
        <v>0</v>
      </c>
      <c r="BF573" s="324">
        <f t="shared" si="251"/>
        <v>0</v>
      </c>
      <c r="BG573" s="324">
        <f t="shared" si="252"/>
        <v>0</v>
      </c>
      <c r="BH573" s="324">
        <f t="shared" si="253"/>
        <v>0</v>
      </c>
      <c r="BI573" s="324">
        <f t="shared" si="254"/>
        <v>0</v>
      </c>
      <c r="BJ573" s="324">
        <f t="shared" si="255"/>
        <v>0</v>
      </c>
      <c r="BK573" s="324">
        <f t="shared" si="256"/>
        <v>0</v>
      </c>
      <c r="BL573" s="324">
        <f t="shared" si="257"/>
        <v>0</v>
      </c>
      <c r="BM573" s="324">
        <f t="shared" si="258"/>
        <v>0</v>
      </c>
      <c r="BN573" s="324">
        <f t="shared" si="259"/>
        <v>0</v>
      </c>
      <c r="BO573" s="324">
        <f t="shared" si="260"/>
        <v>0</v>
      </c>
      <c r="BP573" s="324">
        <f t="shared" si="261"/>
        <v>0</v>
      </c>
      <c r="BQ573" s="324">
        <f t="shared" si="262"/>
        <v>0</v>
      </c>
      <c r="BR573" s="324">
        <f t="shared" si="263"/>
        <v>0</v>
      </c>
      <c r="BS573" s="324">
        <f t="shared" si="264"/>
        <v>0</v>
      </c>
      <c r="BT573" s="332">
        <f t="shared" si="265"/>
        <v>0</v>
      </c>
    </row>
    <row r="574" spans="1:72" ht="14.25">
      <c r="A574" s="297"/>
      <c r="B574" s="323"/>
      <c r="C574" s="323"/>
      <c r="D574" s="3"/>
      <c r="E574" s="324">
        <f t="shared" si="237"/>
        <v>0</v>
      </c>
      <c r="F574" s="325"/>
      <c r="G574" s="326">
        <f t="shared" si="238"/>
        <v>0</v>
      </c>
      <c r="H574" s="327">
        <f t="shared" si="239"/>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240"/>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241"/>
        <v>0</v>
      </c>
      <c r="AW574" s="7">
        <f t="shared" si="242"/>
        <v>0</v>
      </c>
      <c r="AX574" s="7">
        <f t="shared" si="243"/>
        <v>0</v>
      </c>
      <c r="AY574" s="331">
        <f t="shared" si="244"/>
        <v>0</v>
      </c>
      <c r="AZ574" s="324">
        <f t="shared" si="245"/>
        <v>0</v>
      </c>
      <c r="BA574" s="324">
        <f t="shared" si="246"/>
        <v>0</v>
      </c>
      <c r="BB574" s="324">
        <f t="shared" si="247"/>
        <v>0</v>
      </c>
      <c r="BC574" s="324">
        <f t="shared" si="248"/>
        <v>0</v>
      </c>
      <c r="BD574" s="324">
        <f t="shared" si="249"/>
        <v>0</v>
      </c>
      <c r="BE574" s="324">
        <f t="shared" si="250"/>
        <v>0</v>
      </c>
      <c r="BF574" s="324">
        <f t="shared" si="251"/>
        <v>0</v>
      </c>
      <c r="BG574" s="324">
        <f t="shared" si="252"/>
        <v>0</v>
      </c>
      <c r="BH574" s="324">
        <f t="shared" si="253"/>
        <v>0</v>
      </c>
      <c r="BI574" s="324">
        <f t="shared" si="254"/>
        <v>0</v>
      </c>
      <c r="BJ574" s="324">
        <f t="shared" si="255"/>
        <v>0</v>
      </c>
      <c r="BK574" s="324">
        <f t="shared" si="256"/>
        <v>0</v>
      </c>
      <c r="BL574" s="324">
        <f t="shared" si="257"/>
        <v>0</v>
      </c>
      <c r="BM574" s="324">
        <f t="shared" si="258"/>
        <v>0</v>
      </c>
      <c r="BN574" s="324">
        <f t="shared" si="259"/>
        <v>0</v>
      </c>
      <c r="BO574" s="324">
        <f t="shared" si="260"/>
        <v>0</v>
      </c>
      <c r="BP574" s="324">
        <f t="shared" si="261"/>
        <v>0</v>
      </c>
      <c r="BQ574" s="324">
        <f t="shared" si="262"/>
        <v>0</v>
      </c>
      <c r="BR574" s="324">
        <f t="shared" si="263"/>
        <v>0</v>
      </c>
      <c r="BS574" s="324">
        <f t="shared" si="264"/>
        <v>0</v>
      </c>
      <c r="BT574" s="332">
        <f t="shared" si="265"/>
        <v>0</v>
      </c>
    </row>
    <row r="575" spans="1:72" ht="14.25">
      <c r="A575" s="297"/>
      <c r="B575" s="323"/>
      <c r="C575" s="323"/>
      <c r="D575" s="3"/>
      <c r="E575" s="324">
        <f t="shared" si="237"/>
        <v>0</v>
      </c>
      <c r="F575" s="325"/>
      <c r="G575" s="326">
        <f t="shared" si="238"/>
        <v>0</v>
      </c>
      <c r="H575" s="327">
        <f t="shared" si="239"/>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240"/>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241"/>
        <v>0</v>
      </c>
      <c r="AW575" s="7">
        <f t="shared" si="242"/>
        <v>0</v>
      </c>
      <c r="AX575" s="7">
        <f t="shared" si="243"/>
        <v>0</v>
      </c>
      <c r="AY575" s="331">
        <f t="shared" si="244"/>
        <v>0</v>
      </c>
      <c r="AZ575" s="324">
        <f t="shared" si="245"/>
        <v>0</v>
      </c>
      <c r="BA575" s="324">
        <f t="shared" si="246"/>
        <v>0</v>
      </c>
      <c r="BB575" s="324">
        <f t="shared" si="247"/>
        <v>0</v>
      </c>
      <c r="BC575" s="324">
        <f t="shared" si="248"/>
        <v>0</v>
      </c>
      <c r="BD575" s="324">
        <f t="shared" si="249"/>
        <v>0</v>
      </c>
      <c r="BE575" s="324">
        <f t="shared" si="250"/>
        <v>0</v>
      </c>
      <c r="BF575" s="324">
        <f t="shared" si="251"/>
        <v>0</v>
      </c>
      <c r="BG575" s="324">
        <f t="shared" si="252"/>
        <v>0</v>
      </c>
      <c r="BH575" s="324">
        <f t="shared" si="253"/>
        <v>0</v>
      </c>
      <c r="BI575" s="324">
        <f t="shared" si="254"/>
        <v>0</v>
      </c>
      <c r="BJ575" s="324">
        <f t="shared" si="255"/>
        <v>0</v>
      </c>
      <c r="BK575" s="324">
        <f t="shared" si="256"/>
        <v>0</v>
      </c>
      <c r="BL575" s="324">
        <f t="shared" si="257"/>
        <v>0</v>
      </c>
      <c r="BM575" s="324">
        <f t="shared" si="258"/>
        <v>0</v>
      </c>
      <c r="BN575" s="324">
        <f t="shared" si="259"/>
        <v>0</v>
      </c>
      <c r="BO575" s="324">
        <f t="shared" si="260"/>
        <v>0</v>
      </c>
      <c r="BP575" s="324">
        <f t="shared" si="261"/>
        <v>0</v>
      </c>
      <c r="BQ575" s="324">
        <f t="shared" si="262"/>
        <v>0</v>
      </c>
      <c r="BR575" s="324">
        <f t="shared" si="263"/>
        <v>0</v>
      </c>
      <c r="BS575" s="324">
        <f t="shared" si="264"/>
        <v>0</v>
      </c>
      <c r="BT575" s="332">
        <f t="shared" si="265"/>
        <v>0</v>
      </c>
    </row>
    <row r="576" spans="1:72" ht="14.25">
      <c r="A576" s="297"/>
      <c r="B576" s="323"/>
      <c r="C576" s="323"/>
      <c r="D576" s="3"/>
      <c r="E576" s="324">
        <f t="shared" si="237"/>
        <v>0</v>
      </c>
      <c r="F576" s="325"/>
      <c r="G576" s="326">
        <f t="shared" si="238"/>
        <v>0</v>
      </c>
      <c r="H576" s="327">
        <f t="shared" si="239"/>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240"/>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241"/>
        <v>0</v>
      </c>
      <c r="AW576" s="7">
        <f t="shared" si="242"/>
        <v>0</v>
      </c>
      <c r="AX576" s="7">
        <f t="shared" si="243"/>
        <v>0</v>
      </c>
      <c r="AY576" s="331">
        <f t="shared" si="244"/>
        <v>0</v>
      </c>
      <c r="AZ576" s="324">
        <f t="shared" si="245"/>
        <v>0</v>
      </c>
      <c r="BA576" s="324">
        <f t="shared" si="246"/>
        <v>0</v>
      </c>
      <c r="BB576" s="324">
        <f t="shared" si="247"/>
        <v>0</v>
      </c>
      <c r="BC576" s="324">
        <f t="shared" si="248"/>
        <v>0</v>
      </c>
      <c r="BD576" s="324">
        <f t="shared" si="249"/>
        <v>0</v>
      </c>
      <c r="BE576" s="324">
        <f t="shared" si="250"/>
        <v>0</v>
      </c>
      <c r="BF576" s="324">
        <f t="shared" si="251"/>
        <v>0</v>
      </c>
      <c r="BG576" s="324">
        <f t="shared" si="252"/>
        <v>0</v>
      </c>
      <c r="BH576" s="324">
        <f t="shared" si="253"/>
        <v>0</v>
      </c>
      <c r="BI576" s="324">
        <f t="shared" si="254"/>
        <v>0</v>
      </c>
      <c r="BJ576" s="324">
        <f t="shared" si="255"/>
        <v>0</v>
      </c>
      <c r="BK576" s="324">
        <f t="shared" si="256"/>
        <v>0</v>
      </c>
      <c r="BL576" s="324">
        <f t="shared" si="257"/>
        <v>0</v>
      </c>
      <c r="BM576" s="324">
        <f t="shared" si="258"/>
        <v>0</v>
      </c>
      <c r="BN576" s="324">
        <f t="shared" si="259"/>
        <v>0</v>
      </c>
      <c r="BO576" s="324">
        <f t="shared" si="260"/>
        <v>0</v>
      </c>
      <c r="BP576" s="324">
        <f t="shared" si="261"/>
        <v>0</v>
      </c>
      <c r="BQ576" s="324">
        <f t="shared" si="262"/>
        <v>0</v>
      </c>
      <c r="BR576" s="324">
        <f t="shared" si="263"/>
        <v>0</v>
      </c>
      <c r="BS576" s="324">
        <f t="shared" si="264"/>
        <v>0</v>
      </c>
      <c r="BT576" s="332">
        <f t="shared" si="265"/>
        <v>0</v>
      </c>
    </row>
    <row r="577" spans="1:72" ht="14.25">
      <c r="A577" s="297"/>
      <c r="B577" s="323"/>
      <c r="C577" s="323"/>
      <c r="D577" s="3"/>
      <c r="E577" s="324">
        <f t="shared" si="237"/>
        <v>0</v>
      </c>
      <c r="F577" s="325"/>
      <c r="G577" s="326">
        <f t="shared" si="238"/>
        <v>0</v>
      </c>
      <c r="H577" s="327">
        <f t="shared" si="239"/>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240"/>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241"/>
        <v>0</v>
      </c>
      <c r="AW577" s="7">
        <f t="shared" si="242"/>
        <v>0</v>
      </c>
      <c r="AX577" s="7">
        <f t="shared" si="243"/>
        <v>0</v>
      </c>
      <c r="AY577" s="331">
        <f t="shared" si="244"/>
        <v>0</v>
      </c>
      <c r="AZ577" s="324">
        <f t="shared" si="245"/>
        <v>0</v>
      </c>
      <c r="BA577" s="324">
        <f t="shared" si="246"/>
        <v>0</v>
      </c>
      <c r="BB577" s="324">
        <f t="shared" si="247"/>
        <v>0</v>
      </c>
      <c r="BC577" s="324">
        <f t="shared" si="248"/>
        <v>0</v>
      </c>
      <c r="BD577" s="324">
        <f t="shared" si="249"/>
        <v>0</v>
      </c>
      <c r="BE577" s="324">
        <f t="shared" si="250"/>
        <v>0</v>
      </c>
      <c r="BF577" s="324">
        <f t="shared" si="251"/>
        <v>0</v>
      </c>
      <c r="BG577" s="324">
        <f t="shared" si="252"/>
        <v>0</v>
      </c>
      <c r="BH577" s="324">
        <f t="shared" si="253"/>
        <v>0</v>
      </c>
      <c r="BI577" s="324">
        <f t="shared" si="254"/>
        <v>0</v>
      </c>
      <c r="BJ577" s="324">
        <f t="shared" si="255"/>
        <v>0</v>
      </c>
      <c r="BK577" s="324">
        <f t="shared" si="256"/>
        <v>0</v>
      </c>
      <c r="BL577" s="324">
        <f t="shared" si="257"/>
        <v>0</v>
      </c>
      <c r="BM577" s="324">
        <f t="shared" si="258"/>
        <v>0</v>
      </c>
      <c r="BN577" s="324">
        <f t="shared" si="259"/>
        <v>0</v>
      </c>
      <c r="BO577" s="324">
        <f t="shared" si="260"/>
        <v>0</v>
      </c>
      <c r="BP577" s="324">
        <f t="shared" si="261"/>
        <v>0</v>
      </c>
      <c r="BQ577" s="324">
        <f t="shared" si="262"/>
        <v>0</v>
      </c>
      <c r="BR577" s="324">
        <f t="shared" si="263"/>
        <v>0</v>
      </c>
      <c r="BS577" s="324">
        <f t="shared" si="264"/>
        <v>0</v>
      </c>
      <c r="BT577" s="332">
        <f t="shared" si="265"/>
        <v>0</v>
      </c>
    </row>
    <row r="578" spans="1:72" ht="14.25">
      <c r="A578" s="297"/>
      <c r="B578" s="323"/>
      <c r="C578" s="323"/>
      <c r="D578" s="3"/>
      <c r="E578" s="324">
        <f t="shared" si="237"/>
        <v>0</v>
      </c>
      <c r="F578" s="325"/>
      <c r="G578" s="326">
        <f t="shared" si="238"/>
        <v>0</v>
      </c>
      <c r="H578" s="327">
        <f t="shared" si="239"/>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240"/>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241"/>
        <v>0</v>
      </c>
      <c r="AW578" s="7">
        <f t="shared" si="242"/>
        <v>0</v>
      </c>
      <c r="AX578" s="7">
        <f t="shared" si="243"/>
        <v>0</v>
      </c>
      <c r="AY578" s="331">
        <f t="shared" si="244"/>
        <v>0</v>
      </c>
      <c r="AZ578" s="324">
        <f t="shared" si="245"/>
        <v>0</v>
      </c>
      <c r="BA578" s="324">
        <f t="shared" si="246"/>
        <v>0</v>
      </c>
      <c r="BB578" s="324">
        <f t="shared" si="247"/>
        <v>0</v>
      </c>
      <c r="BC578" s="324">
        <f t="shared" si="248"/>
        <v>0</v>
      </c>
      <c r="BD578" s="324">
        <f t="shared" si="249"/>
        <v>0</v>
      </c>
      <c r="BE578" s="324">
        <f t="shared" si="250"/>
        <v>0</v>
      </c>
      <c r="BF578" s="324">
        <f t="shared" si="251"/>
        <v>0</v>
      </c>
      <c r="BG578" s="324">
        <f t="shared" si="252"/>
        <v>0</v>
      </c>
      <c r="BH578" s="324">
        <f t="shared" si="253"/>
        <v>0</v>
      </c>
      <c r="BI578" s="324">
        <f t="shared" si="254"/>
        <v>0</v>
      </c>
      <c r="BJ578" s="324">
        <f t="shared" si="255"/>
        <v>0</v>
      </c>
      <c r="BK578" s="324">
        <f t="shared" si="256"/>
        <v>0</v>
      </c>
      <c r="BL578" s="324">
        <f t="shared" si="257"/>
        <v>0</v>
      </c>
      <c r="BM578" s="324">
        <f t="shared" si="258"/>
        <v>0</v>
      </c>
      <c r="BN578" s="324">
        <f t="shared" si="259"/>
        <v>0</v>
      </c>
      <c r="BO578" s="324">
        <f t="shared" si="260"/>
        <v>0</v>
      </c>
      <c r="BP578" s="324">
        <f t="shared" si="261"/>
        <v>0</v>
      </c>
      <c r="BQ578" s="324">
        <f t="shared" si="262"/>
        <v>0</v>
      </c>
      <c r="BR578" s="324">
        <f t="shared" si="263"/>
        <v>0</v>
      </c>
      <c r="BS578" s="324">
        <f t="shared" si="264"/>
        <v>0</v>
      </c>
      <c r="BT578" s="332">
        <f t="shared" si="265"/>
        <v>0</v>
      </c>
    </row>
    <row r="579" spans="1:72" ht="14.25">
      <c r="A579" s="297"/>
      <c r="B579" s="323"/>
      <c r="C579" s="323"/>
      <c r="D579" s="3"/>
      <c r="E579" s="324">
        <f t="shared" si="237"/>
        <v>0</v>
      </c>
      <c r="F579" s="325"/>
      <c r="G579" s="326">
        <f t="shared" si="238"/>
        <v>0</v>
      </c>
      <c r="H579" s="327">
        <f t="shared" si="239"/>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240"/>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241"/>
        <v>0</v>
      </c>
      <c r="AW579" s="7">
        <f t="shared" si="242"/>
        <v>0</v>
      </c>
      <c r="AX579" s="7">
        <f t="shared" si="243"/>
        <v>0</v>
      </c>
      <c r="AY579" s="331">
        <f t="shared" si="244"/>
        <v>0</v>
      </c>
      <c r="AZ579" s="324">
        <f t="shared" si="245"/>
        <v>0</v>
      </c>
      <c r="BA579" s="324">
        <f t="shared" si="246"/>
        <v>0</v>
      </c>
      <c r="BB579" s="324">
        <f t="shared" si="247"/>
        <v>0</v>
      </c>
      <c r="BC579" s="324">
        <f t="shared" si="248"/>
        <v>0</v>
      </c>
      <c r="BD579" s="324">
        <f t="shared" si="249"/>
        <v>0</v>
      </c>
      <c r="BE579" s="324">
        <f t="shared" si="250"/>
        <v>0</v>
      </c>
      <c r="BF579" s="324">
        <f t="shared" si="251"/>
        <v>0</v>
      </c>
      <c r="BG579" s="324">
        <f t="shared" si="252"/>
        <v>0</v>
      </c>
      <c r="BH579" s="324">
        <f t="shared" si="253"/>
        <v>0</v>
      </c>
      <c r="BI579" s="324">
        <f t="shared" si="254"/>
        <v>0</v>
      </c>
      <c r="BJ579" s="324">
        <f t="shared" si="255"/>
        <v>0</v>
      </c>
      <c r="BK579" s="324">
        <f t="shared" si="256"/>
        <v>0</v>
      </c>
      <c r="BL579" s="324">
        <f t="shared" si="257"/>
        <v>0</v>
      </c>
      <c r="BM579" s="324">
        <f t="shared" si="258"/>
        <v>0</v>
      </c>
      <c r="BN579" s="324">
        <f t="shared" si="259"/>
        <v>0</v>
      </c>
      <c r="BO579" s="324">
        <f t="shared" si="260"/>
        <v>0</v>
      </c>
      <c r="BP579" s="324">
        <f t="shared" si="261"/>
        <v>0</v>
      </c>
      <c r="BQ579" s="324">
        <f t="shared" si="262"/>
        <v>0</v>
      </c>
      <c r="BR579" s="324">
        <f t="shared" si="263"/>
        <v>0</v>
      </c>
      <c r="BS579" s="324">
        <f t="shared" si="264"/>
        <v>0</v>
      </c>
      <c r="BT579" s="332">
        <f t="shared" si="265"/>
        <v>0</v>
      </c>
    </row>
    <row r="580" spans="1:72" ht="14.25">
      <c r="A580" s="297"/>
      <c r="B580" s="323"/>
      <c r="C580" s="323"/>
      <c r="D580" s="3"/>
      <c r="E580" s="324">
        <f t="shared" si="237"/>
        <v>0</v>
      </c>
      <c r="F580" s="325"/>
      <c r="G580" s="326">
        <f t="shared" si="238"/>
        <v>0</v>
      </c>
      <c r="H580" s="327">
        <f t="shared" si="239"/>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240"/>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241"/>
        <v>0</v>
      </c>
      <c r="AW580" s="7">
        <f t="shared" si="242"/>
        <v>0</v>
      </c>
      <c r="AX580" s="7">
        <f t="shared" si="243"/>
        <v>0</v>
      </c>
      <c r="AY580" s="331">
        <f t="shared" si="244"/>
        <v>0</v>
      </c>
      <c r="AZ580" s="324">
        <f t="shared" si="245"/>
        <v>0</v>
      </c>
      <c r="BA580" s="324">
        <f t="shared" si="246"/>
        <v>0</v>
      </c>
      <c r="BB580" s="324">
        <f t="shared" si="247"/>
        <v>0</v>
      </c>
      <c r="BC580" s="324">
        <f t="shared" si="248"/>
        <v>0</v>
      </c>
      <c r="BD580" s="324">
        <f t="shared" si="249"/>
        <v>0</v>
      </c>
      <c r="BE580" s="324">
        <f t="shared" si="250"/>
        <v>0</v>
      </c>
      <c r="BF580" s="324">
        <f t="shared" si="251"/>
        <v>0</v>
      </c>
      <c r="BG580" s="324">
        <f t="shared" si="252"/>
        <v>0</v>
      </c>
      <c r="BH580" s="324">
        <f t="shared" si="253"/>
        <v>0</v>
      </c>
      <c r="BI580" s="324">
        <f t="shared" si="254"/>
        <v>0</v>
      </c>
      <c r="BJ580" s="324">
        <f t="shared" si="255"/>
        <v>0</v>
      </c>
      <c r="BK580" s="324">
        <f t="shared" si="256"/>
        <v>0</v>
      </c>
      <c r="BL580" s="324">
        <f t="shared" si="257"/>
        <v>0</v>
      </c>
      <c r="BM580" s="324">
        <f t="shared" si="258"/>
        <v>0</v>
      </c>
      <c r="BN580" s="324">
        <f t="shared" si="259"/>
        <v>0</v>
      </c>
      <c r="BO580" s="324">
        <f t="shared" si="260"/>
        <v>0</v>
      </c>
      <c r="BP580" s="324">
        <f t="shared" si="261"/>
        <v>0</v>
      </c>
      <c r="BQ580" s="324">
        <f t="shared" si="262"/>
        <v>0</v>
      </c>
      <c r="BR580" s="324">
        <f t="shared" si="263"/>
        <v>0</v>
      </c>
      <c r="BS580" s="324">
        <f t="shared" si="264"/>
        <v>0</v>
      </c>
      <c r="BT580" s="332">
        <f t="shared" si="265"/>
        <v>0</v>
      </c>
    </row>
    <row r="581" spans="1:72" ht="14.25">
      <c r="A581" s="297"/>
      <c r="B581" s="323"/>
      <c r="C581" s="323"/>
      <c r="D581" s="3"/>
      <c r="E581" s="324">
        <f t="shared" si="237"/>
        <v>0</v>
      </c>
      <c r="F581" s="325"/>
      <c r="G581" s="326">
        <f t="shared" si="238"/>
        <v>0</v>
      </c>
      <c r="H581" s="327">
        <f t="shared" si="239"/>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240"/>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241"/>
        <v>0</v>
      </c>
      <c r="AW581" s="7">
        <f t="shared" si="242"/>
        <v>0</v>
      </c>
      <c r="AX581" s="7">
        <f t="shared" si="243"/>
        <v>0</v>
      </c>
      <c r="AY581" s="331">
        <f t="shared" si="244"/>
        <v>0</v>
      </c>
      <c r="AZ581" s="324">
        <f t="shared" si="245"/>
        <v>0</v>
      </c>
      <c r="BA581" s="324">
        <f t="shared" si="246"/>
        <v>0</v>
      </c>
      <c r="BB581" s="324">
        <f t="shared" si="247"/>
        <v>0</v>
      </c>
      <c r="BC581" s="324">
        <f t="shared" si="248"/>
        <v>0</v>
      </c>
      <c r="BD581" s="324">
        <f t="shared" si="249"/>
        <v>0</v>
      </c>
      <c r="BE581" s="324">
        <f t="shared" si="250"/>
        <v>0</v>
      </c>
      <c r="BF581" s="324">
        <f t="shared" si="251"/>
        <v>0</v>
      </c>
      <c r="BG581" s="324">
        <f t="shared" si="252"/>
        <v>0</v>
      </c>
      <c r="BH581" s="324">
        <f t="shared" si="253"/>
        <v>0</v>
      </c>
      <c r="BI581" s="324">
        <f t="shared" si="254"/>
        <v>0</v>
      </c>
      <c r="BJ581" s="324">
        <f t="shared" si="255"/>
        <v>0</v>
      </c>
      <c r="BK581" s="324">
        <f t="shared" si="256"/>
        <v>0</v>
      </c>
      <c r="BL581" s="324">
        <f t="shared" si="257"/>
        <v>0</v>
      </c>
      <c r="BM581" s="324">
        <f t="shared" si="258"/>
        <v>0</v>
      </c>
      <c r="BN581" s="324">
        <f t="shared" si="259"/>
        <v>0</v>
      </c>
      <c r="BO581" s="324">
        <f t="shared" si="260"/>
        <v>0</v>
      </c>
      <c r="BP581" s="324">
        <f t="shared" si="261"/>
        <v>0</v>
      </c>
      <c r="BQ581" s="324">
        <f t="shared" si="262"/>
        <v>0</v>
      </c>
      <c r="BR581" s="324">
        <f t="shared" si="263"/>
        <v>0</v>
      </c>
      <c r="BS581" s="324">
        <f t="shared" si="264"/>
        <v>0</v>
      </c>
      <c r="BT581" s="332">
        <f t="shared" si="265"/>
        <v>0</v>
      </c>
    </row>
    <row r="582" spans="1:72" ht="14.25">
      <c r="A582" s="297"/>
      <c r="B582" s="323"/>
      <c r="C582" s="323"/>
      <c r="D582" s="3"/>
      <c r="E582" s="324">
        <f t="shared" si="237"/>
        <v>0</v>
      </c>
      <c r="F582" s="325"/>
      <c r="G582" s="326">
        <f t="shared" si="238"/>
        <v>0</v>
      </c>
      <c r="H582" s="327">
        <f t="shared" si="239"/>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240"/>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241"/>
        <v>0</v>
      </c>
      <c r="AW582" s="7">
        <f t="shared" si="242"/>
        <v>0</v>
      </c>
      <c r="AX582" s="7">
        <f t="shared" si="243"/>
        <v>0</v>
      </c>
      <c r="AY582" s="331">
        <f t="shared" si="244"/>
        <v>0</v>
      </c>
      <c r="AZ582" s="324">
        <f t="shared" si="245"/>
        <v>0</v>
      </c>
      <c r="BA582" s="324">
        <f t="shared" si="246"/>
        <v>0</v>
      </c>
      <c r="BB582" s="324">
        <f t="shared" si="247"/>
        <v>0</v>
      </c>
      <c r="BC582" s="324">
        <f t="shared" si="248"/>
        <v>0</v>
      </c>
      <c r="BD582" s="324">
        <f t="shared" si="249"/>
        <v>0</v>
      </c>
      <c r="BE582" s="324">
        <f t="shared" si="250"/>
        <v>0</v>
      </c>
      <c r="BF582" s="324">
        <f t="shared" si="251"/>
        <v>0</v>
      </c>
      <c r="BG582" s="324">
        <f t="shared" si="252"/>
        <v>0</v>
      </c>
      <c r="BH582" s="324">
        <f t="shared" si="253"/>
        <v>0</v>
      </c>
      <c r="BI582" s="324">
        <f t="shared" si="254"/>
        <v>0</v>
      </c>
      <c r="BJ582" s="324">
        <f t="shared" si="255"/>
        <v>0</v>
      </c>
      <c r="BK582" s="324">
        <f t="shared" si="256"/>
        <v>0</v>
      </c>
      <c r="BL582" s="324">
        <f t="shared" si="257"/>
        <v>0</v>
      </c>
      <c r="BM582" s="324">
        <f t="shared" si="258"/>
        <v>0</v>
      </c>
      <c r="BN582" s="324">
        <f t="shared" si="259"/>
        <v>0</v>
      </c>
      <c r="BO582" s="324">
        <f t="shared" si="260"/>
        <v>0</v>
      </c>
      <c r="BP582" s="324">
        <f t="shared" si="261"/>
        <v>0</v>
      </c>
      <c r="BQ582" s="324">
        <f t="shared" si="262"/>
        <v>0</v>
      </c>
      <c r="BR582" s="324">
        <f t="shared" si="263"/>
        <v>0</v>
      </c>
      <c r="BS582" s="324">
        <f t="shared" si="264"/>
        <v>0</v>
      </c>
      <c r="BT582" s="332">
        <f t="shared" si="265"/>
        <v>0</v>
      </c>
    </row>
    <row r="583" spans="1:72" ht="14.25">
      <c r="A583" s="297"/>
      <c r="B583" s="323"/>
      <c r="C583" s="323"/>
      <c r="D583" s="3"/>
      <c r="E583" s="324">
        <f t="shared" si="237"/>
        <v>0</v>
      </c>
      <c r="F583" s="325"/>
      <c r="G583" s="326">
        <f t="shared" si="238"/>
        <v>0</v>
      </c>
      <c r="H583" s="327">
        <f t="shared" si="239"/>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240"/>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241"/>
        <v>0</v>
      </c>
      <c r="AW583" s="7">
        <f t="shared" si="242"/>
        <v>0</v>
      </c>
      <c r="AX583" s="7">
        <f t="shared" si="243"/>
        <v>0</v>
      </c>
      <c r="AY583" s="331">
        <f t="shared" si="244"/>
        <v>0</v>
      </c>
      <c r="AZ583" s="324">
        <f t="shared" si="245"/>
        <v>0</v>
      </c>
      <c r="BA583" s="324">
        <f t="shared" si="246"/>
        <v>0</v>
      </c>
      <c r="BB583" s="324">
        <f t="shared" si="247"/>
        <v>0</v>
      </c>
      <c r="BC583" s="324">
        <f t="shared" si="248"/>
        <v>0</v>
      </c>
      <c r="BD583" s="324">
        <f t="shared" si="249"/>
        <v>0</v>
      </c>
      <c r="BE583" s="324">
        <f t="shared" si="250"/>
        <v>0</v>
      </c>
      <c r="BF583" s="324">
        <f t="shared" si="251"/>
        <v>0</v>
      </c>
      <c r="BG583" s="324">
        <f t="shared" si="252"/>
        <v>0</v>
      </c>
      <c r="BH583" s="324">
        <f t="shared" si="253"/>
        <v>0</v>
      </c>
      <c r="BI583" s="324">
        <f t="shared" si="254"/>
        <v>0</v>
      </c>
      <c r="BJ583" s="324">
        <f t="shared" si="255"/>
        <v>0</v>
      </c>
      <c r="BK583" s="324">
        <f t="shared" si="256"/>
        <v>0</v>
      </c>
      <c r="BL583" s="324">
        <f t="shared" si="257"/>
        <v>0</v>
      </c>
      <c r="BM583" s="324">
        <f t="shared" si="258"/>
        <v>0</v>
      </c>
      <c r="BN583" s="324">
        <f t="shared" si="259"/>
        <v>0</v>
      </c>
      <c r="BO583" s="324">
        <f t="shared" si="260"/>
        <v>0</v>
      </c>
      <c r="BP583" s="324">
        <f t="shared" si="261"/>
        <v>0</v>
      </c>
      <c r="BQ583" s="324">
        <f t="shared" si="262"/>
        <v>0</v>
      </c>
      <c r="BR583" s="324">
        <f t="shared" si="263"/>
        <v>0</v>
      </c>
      <c r="BS583" s="324">
        <f t="shared" si="264"/>
        <v>0</v>
      </c>
      <c r="BT583" s="332">
        <f t="shared" si="265"/>
        <v>0</v>
      </c>
    </row>
    <row r="584" spans="1:72" ht="14.25">
      <c r="A584" s="297"/>
      <c r="B584" s="323"/>
      <c r="C584" s="323"/>
      <c r="D584" s="3"/>
      <c r="E584" s="324">
        <f t="shared" si="237"/>
        <v>0</v>
      </c>
      <c r="F584" s="325"/>
      <c r="G584" s="326">
        <f t="shared" si="238"/>
        <v>0</v>
      </c>
      <c r="H584" s="327">
        <f t="shared" si="239"/>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240"/>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241"/>
        <v>0</v>
      </c>
      <c r="AW584" s="7">
        <f t="shared" si="242"/>
        <v>0</v>
      </c>
      <c r="AX584" s="7">
        <f t="shared" si="243"/>
        <v>0</v>
      </c>
      <c r="AY584" s="331">
        <f t="shared" si="244"/>
        <v>0</v>
      </c>
      <c r="AZ584" s="324">
        <f t="shared" si="245"/>
        <v>0</v>
      </c>
      <c r="BA584" s="324">
        <f t="shared" si="246"/>
        <v>0</v>
      </c>
      <c r="BB584" s="324">
        <f t="shared" si="247"/>
        <v>0</v>
      </c>
      <c r="BC584" s="324">
        <f t="shared" si="248"/>
        <v>0</v>
      </c>
      <c r="BD584" s="324">
        <f t="shared" si="249"/>
        <v>0</v>
      </c>
      <c r="BE584" s="324">
        <f t="shared" si="250"/>
        <v>0</v>
      </c>
      <c r="BF584" s="324">
        <f t="shared" si="251"/>
        <v>0</v>
      </c>
      <c r="BG584" s="324">
        <f t="shared" si="252"/>
        <v>0</v>
      </c>
      <c r="BH584" s="324">
        <f t="shared" si="253"/>
        <v>0</v>
      </c>
      <c r="BI584" s="324">
        <f t="shared" si="254"/>
        <v>0</v>
      </c>
      <c r="BJ584" s="324">
        <f t="shared" si="255"/>
        <v>0</v>
      </c>
      <c r="BK584" s="324">
        <f t="shared" si="256"/>
        <v>0</v>
      </c>
      <c r="BL584" s="324">
        <f t="shared" si="257"/>
        <v>0</v>
      </c>
      <c r="BM584" s="324">
        <f t="shared" si="258"/>
        <v>0</v>
      </c>
      <c r="BN584" s="324">
        <f t="shared" si="259"/>
        <v>0</v>
      </c>
      <c r="BO584" s="324">
        <f t="shared" si="260"/>
        <v>0</v>
      </c>
      <c r="BP584" s="324">
        <f t="shared" si="261"/>
        <v>0</v>
      </c>
      <c r="BQ584" s="324">
        <f t="shared" si="262"/>
        <v>0</v>
      </c>
      <c r="BR584" s="324">
        <f t="shared" si="263"/>
        <v>0</v>
      </c>
      <c r="BS584" s="324">
        <f t="shared" si="264"/>
        <v>0</v>
      </c>
      <c r="BT584" s="332">
        <f t="shared" si="265"/>
        <v>0</v>
      </c>
    </row>
    <row r="585" spans="1:72" ht="14.25">
      <c r="A585" s="297"/>
      <c r="B585" s="297"/>
      <c r="C585" s="297"/>
      <c r="D585" s="3"/>
      <c r="E585" s="324">
        <f t="shared" si="237"/>
        <v>0</v>
      </c>
      <c r="F585" s="333"/>
      <c r="G585" s="326">
        <f t="shared" si="238"/>
        <v>0</v>
      </c>
      <c r="H585" s="327">
        <f t="shared" si="239"/>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 t="shared" si="240"/>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241"/>
        <v>0</v>
      </c>
      <c r="AW585" s="7">
        <f t="shared" si="242"/>
        <v>0</v>
      </c>
      <c r="AX585" s="7">
        <f t="shared" si="243"/>
        <v>0</v>
      </c>
      <c r="AY585" s="331">
        <f t="shared" si="244"/>
        <v>0</v>
      </c>
      <c r="AZ585" s="324">
        <f t="shared" si="245"/>
        <v>0</v>
      </c>
      <c r="BA585" s="324">
        <f t="shared" si="246"/>
        <v>0</v>
      </c>
      <c r="BB585" s="324">
        <f t="shared" si="247"/>
        <v>0</v>
      </c>
      <c r="BC585" s="324">
        <f t="shared" si="248"/>
        <v>0</v>
      </c>
      <c r="BD585" s="324">
        <f t="shared" si="249"/>
        <v>0</v>
      </c>
      <c r="BE585" s="324">
        <f t="shared" si="250"/>
        <v>0</v>
      </c>
      <c r="BF585" s="324">
        <f t="shared" si="251"/>
        <v>0</v>
      </c>
      <c r="BG585" s="324">
        <f t="shared" si="252"/>
        <v>0</v>
      </c>
      <c r="BH585" s="324">
        <f t="shared" si="253"/>
        <v>0</v>
      </c>
      <c r="BI585" s="324">
        <f t="shared" si="254"/>
        <v>0</v>
      </c>
      <c r="BJ585" s="324">
        <f t="shared" si="255"/>
        <v>0</v>
      </c>
      <c r="BK585" s="324">
        <f t="shared" si="256"/>
        <v>0</v>
      </c>
      <c r="BL585" s="324">
        <f t="shared" si="257"/>
        <v>0</v>
      </c>
      <c r="BM585" s="324">
        <f t="shared" si="258"/>
        <v>0</v>
      </c>
      <c r="BN585" s="324">
        <f t="shared" si="259"/>
        <v>0</v>
      </c>
      <c r="BO585" s="324">
        <f t="shared" si="260"/>
        <v>0</v>
      </c>
      <c r="BP585" s="324">
        <f t="shared" si="261"/>
        <v>0</v>
      </c>
      <c r="BQ585" s="324">
        <f t="shared" si="262"/>
        <v>0</v>
      </c>
      <c r="BR585" s="324">
        <f t="shared" si="263"/>
        <v>0</v>
      </c>
      <c r="BS585" s="324">
        <f t="shared" si="264"/>
        <v>0</v>
      </c>
      <c r="BT585" s="332">
        <f t="shared" si="265"/>
        <v>0</v>
      </c>
    </row>
    <row r="586" spans="1:72" ht="14.25">
      <c r="A586" s="297"/>
      <c r="B586" s="297"/>
      <c r="C586" s="297"/>
      <c r="D586" s="3"/>
      <c r="E586" s="324">
        <f t="shared" si="237"/>
        <v>0</v>
      </c>
      <c r="F586" s="333"/>
      <c r="G586" s="326">
        <f t="shared" si="238"/>
        <v>0</v>
      </c>
      <c r="H586" s="327">
        <f t="shared" si="239"/>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 t="shared" si="240"/>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241"/>
        <v>0</v>
      </c>
      <c r="AW586" s="7">
        <f t="shared" si="242"/>
        <v>0</v>
      </c>
      <c r="AX586" s="7">
        <f t="shared" si="243"/>
        <v>0</v>
      </c>
      <c r="AY586" s="331">
        <f t="shared" si="244"/>
        <v>0</v>
      </c>
      <c r="AZ586" s="324">
        <f t="shared" si="245"/>
        <v>0</v>
      </c>
      <c r="BA586" s="324">
        <f t="shared" si="246"/>
        <v>0</v>
      </c>
      <c r="BB586" s="324">
        <f t="shared" si="247"/>
        <v>0</v>
      </c>
      <c r="BC586" s="324">
        <f t="shared" si="248"/>
        <v>0</v>
      </c>
      <c r="BD586" s="324">
        <f t="shared" si="249"/>
        <v>0</v>
      </c>
      <c r="BE586" s="324">
        <f t="shared" si="250"/>
        <v>0</v>
      </c>
      <c r="BF586" s="324">
        <f t="shared" si="251"/>
        <v>0</v>
      </c>
      <c r="BG586" s="324">
        <f t="shared" si="252"/>
        <v>0</v>
      </c>
      <c r="BH586" s="324">
        <f t="shared" si="253"/>
        <v>0</v>
      </c>
      <c r="BI586" s="324">
        <f t="shared" si="254"/>
        <v>0</v>
      </c>
      <c r="BJ586" s="324">
        <f t="shared" si="255"/>
        <v>0</v>
      </c>
      <c r="BK586" s="324">
        <f t="shared" si="256"/>
        <v>0</v>
      </c>
      <c r="BL586" s="324">
        <f t="shared" si="257"/>
        <v>0</v>
      </c>
      <c r="BM586" s="324">
        <f t="shared" si="258"/>
        <v>0</v>
      </c>
      <c r="BN586" s="324">
        <f t="shared" si="259"/>
        <v>0</v>
      </c>
      <c r="BO586" s="324">
        <f t="shared" si="260"/>
        <v>0</v>
      </c>
      <c r="BP586" s="324">
        <f t="shared" si="261"/>
        <v>0</v>
      </c>
      <c r="BQ586" s="324">
        <f t="shared" si="262"/>
        <v>0</v>
      </c>
      <c r="BR586" s="324">
        <f t="shared" si="263"/>
        <v>0</v>
      </c>
      <c r="BS586" s="324">
        <f t="shared" si="264"/>
        <v>0</v>
      </c>
      <c r="BT586" s="332">
        <f t="shared" si="265"/>
        <v>0</v>
      </c>
    </row>
    <row r="587" spans="1:72" ht="14.25">
      <c r="A587" s="297"/>
      <c r="B587" s="297"/>
      <c r="C587" s="297"/>
      <c r="D587" s="3"/>
      <c r="E587" s="324">
        <f t="shared" si="237"/>
        <v>0</v>
      </c>
      <c r="F587" s="333"/>
      <c r="G587" s="326">
        <f t="shared" si="238"/>
        <v>0</v>
      </c>
      <c r="H587" s="327">
        <f t="shared" si="239"/>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 t="shared" si="240"/>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241"/>
        <v>0</v>
      </c>
      <c r="AW587" s="7">
        <f t="shared" si="242"/>
        <v>0</v>
      </c>
      <c r="AX587" s="7">
        <f t="shared" si="243"/>
        <v>0</v>
      </c>
      <c r="AY587" s="331">
        <f t="shared" si="244"/>
        <v>0</v>
      </c>
      <c r="AZ587" s="324">
        <f t="shared" si="245"/>
        <v>0</v>
      </c>
      <c r="BA587" s="324">
        <f t="shared" si="246"/>
        <v>0</v>
      </c>
      <c r="BB587" s="324">
        <f t="shared" si="247"/>
        <v>0</v>
      </c>
      <c r="BC587" s="324">
        <f t="shared" si="248"/>
        <v>0</v>
      </c>
      <c r="BD587" s="324">
        <f t="shared" si="249"/>
        <v>0</v>
      </c>
      <c r="BE587" s="324">
        <f t="shared" si="250"/>
        <v>0</v>
      </c>
      <c r="BF587" s="324">
        <f t="shared" si="251"/>
        <v>0</v>
      </c>
      <c r="BG587" s="324">
        <f t="shared" si="252"/>
        <v>0</v>
      </c>
      <c r="BH587" s="324">
        <f t="shared" si="253"/>
        <v>0</v>
      </c>
      <c r="BI587" s="324">
        <f t="shared" si="254"/>
        <v>0</v>
      </c>
      <c r="BJ587" s="324">
        <f t="shared" si="255"/>
        <v>0</v>
      </c>
      <c r="BK587" s="324">
        <f t="shared" si="256"/>
        <v>0</v>
      </c>
      <c r="BL587" s="324">
        <f t="shared" si="257"/>
        <v>0</v>
      </c>
      <c r="BM587" s="324">
        <f t="shared" si="258"/>
        <v>0</v>
      </c>
      <c r="BN587" s="324">
        <f t="shared" si="259"/>
        <v>0</v>
      </c>
      <c r="BO587" s="324">
        <f t="shared" si="260"/>
        <v>0</v>
      </c>
      <c r="BP587" s="324">
        <f t="shared" si="261"/>
        <v>0</v>
      </c>
      <c r="BQ587" s="324">
        <f t="shared" si="262"/>
        <v>0</v>
      </c>
      <c r="BR587" s="324">
        <f t="shared" si="263"/>
        <v>0</v>
      </c>
      <c r="BS587" s="324">
        <f t="shared" si="264"/>
        <v>0</v>
      </c>
      <c r="BT587" s="332">
        <f t="shared" si="265"/>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5" t="s">
        <v>2</v>
      </c>
      <c r="B1" s="3405" t="s">
        <v>37</v>
      </c>
      <c r="C1" s="3405" t="s">
        <v>38</v>
      </c>
      <c r="D1" s="3465" t="s">
        <v>200</v>
      </c>
      <c r="E1" s="3465" t="s">
        <v>201</v>
      </c>
      <c r="F1" s="3465"/>
      <c r="G1" s="3465"/>
      <c r="H1" s="3465"/>
      <c r="I1" s="3465"/>
      <c r="J1" s="3465"/>
      <c r="K1" s="3465"/>
      <c r="L1" s="3465"/>
      <c r="M1" s="3465"/>
    </row>
    <row r="2" spans="1:13" ht="27" customHeight="1">
      <c r="A2" s="3405"/>
      <c r="B2" s="3405"/>
      <c r="C2" s="3405"/>
      <c r="D2" s="3465"/>
      <c r="E2" s="3465" t="s">
        <v>184</v>
      </c>
      <c r="F2" s="3465" t="s">
        <v>185</v>
      </c>
      <c r="G2" s="3465"/>
      <c r="H2" s="3465"/>
      <c r="I2" s="3465"/>
      <c r="J2" s="3465" t="s">
        <v>186</v>
      </c>
      <c r="K2" s="3465"/>
      <c r="L2" s="3465"/>
      <c r="M2" s="3465"/>
    </row>
    <row r="3" spans="1:13" ht="28.5">
      <c r="A3" s="3405"/>
      <c r="B3" s="3405"/>
      <c r="C3" s="3405"/>
      <c r="D3" s="3465"/>
      <c r="E3" s="3465"/>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5" t="s">
        <v>202</v>
      </c>
      <c r="B9" s="3465"/>
      <c r="C9" s="346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75" t="s">
        <v>642</v>
      </c>
      <c r="B2" s="3475"/>
      <c r="C2" s="3475"/>
      <c r="D2" s="2208" t="s">
        <v>643</v>
      </c>
      <c r="E2" s="19" t="s">
        <v>644</v>
      </c>
      <c r="F2" s="2224"/>
      <c r="G2" s="1180"/>
      <c r="H2" s="1181"/>
      <c r="I2" s="2216" t="s">
        <v>645</v>
      </c>
      <c r="J2" s="2224"/>
      <c r="K2" s="2224"/>
      <c r="L2" s="2224"/>
      <c r="M2" s="2224"/>
      <c r="N2" s="2233"/>
      <c r="O2" s="2224"/>
      <c r="P2" s="2224"/>
    </row>
    <row r="3" spans="1:16" ht="15.75" thickBot="1">
      <c r="A3" s="3476" t="s">
        <v>646</v>
      </c>
      <c r="B3" s="3476"/>
      <c r="C3" s="3476"/>
      <c r="D3" s="3384">
        <f>'数据-基础表'!AY6</f>
        <v>215.3</v>
      </c>
      <c r="E3" s="335">
        <f>'数据-基础表'!AZ5</f>
        <v>2099.0100000000002</v>
      </c>
      <c r="F3" s="2224"/>
      <c r="G3" s="442"/>
      <c r="H3" s="440" t="s">
        <v>647</v>
      </c>
      <c r="I3" s="344">
        <f>ROUND('数据-基础表'!B3/'数据-基础表'!A3,2)</f>
        <v>9.75</v>
      </c>
      <c r="J3" s="2224"/>
      <c r="K3" s="2224"/>
      <c r="L3" s="2224"/>
      <c r="M3" s="2224"/>
      <c r="N3" s="2233"/>
      <c r="O3" s="2224"/>
      <c r="P3" s="2224"/>
    </row>
    <row r="4" spans="1:16" ht="14.25">
      <c r="A4" s="3477"/>
      <c r="B4" s="3478"/>
      <c r="C4" s="3479"/>
      <c r="D4" s="20" t="s">
        <v>643</v>
      </c>
      <c r="E4" s="21" t="s">
        <v>644</v>
      </c>
      <c r="F4" s="2224"/>
      <c r="G4" s="1182" t="s">
        <v>1790</v>
      </c>
      <c r="H4" s="440" t="s">
        <v>648</v>
      </c>
      <c r="I4" s="344">
        <f>ROUND(SUMIF('数据-基础表'!I9:AS9,"地上",'数据-基础表'!I5:AS5)/'数据-基础表'!A3,2)</f>
        <v>9.75</v>
      </c>
      <c r="J4" s="2224"/>
      <c r="K4" s="2224"/>
      <c r="L4" s="2224"/>
      <c r="M4" s="2224"/>
      <c r="N4" s="2233"/>
      <c r="O4" s="2224"/>
      <c r="P4" s="2224"/>
    </row>
    <row r="5" spans="1:16" ht="14.25">
      <c r="A5" s="22" t="s">
        <v>649</v>
      </c>
      <c r="B5" s="3480" t="s">
        <v>650</v>
      </c>
      <c r="C5" s="3480"/>
      <c r="D5" s="337">
        <f>ROUND($D$3*E5/$E$3,2)</f>
        <v>0</v>
      </c>
      <c r="E5" s="338">
        <f>SUMIF('数据-基础表'!$11:$11,"住宅",'数据-基础表'!$5:$5)</f>
        <v>0</v>
      </c>
      <c r="F5" s="2224"/>
      <c r="G5" s="442"/>
      <c r="H5" s="440" t="s">
        <v>647</v>
      </c>
      <c r="I5" s="344">
        <f>ROUND(E31/D31,2)</f>
        <v>9.75</v>
      </c>
      <c r="J5" s="2224"/>
      <c r="K5" s="2224"/>
      <c r="L5" s="2224"/>
      <c r="M5" s="2224"/>
      <c r="N5" s="2224"/>
      <c r="O5" s="2224"/>
      <c r="P5" s="2224"/>
    </row>
    <row r="6" spans="1:16" ht="15" thickBot="1">
      <c r="A6" s="24"/>
      <c r="B6" s="3480" t="s">
        <v>651</v>
      </c>
      <c r="C6" s="3480"/>
      <c r="D6" s="337">
        <f>ROUND($D$3*E6/$E$3,2)</f>
        <v>215.3</v>
      </c>
      <c r="E6" s="338">
        <f>E3-E5</f>
        <v>2099.0100000000002</v>
      </c>
      <c r="F6" s="2224"/>
      <c r="G6" s="1758" t="s">
        <v>1791</v>
      </c>
      <c r="H6" s="442" t="s">
        <v>648</v>
      </c>
      <c r="I6" s="1759">
        <f>ROUND(F31/D31,2)</f>
        <v>9.75</v>
      </c>
      <c r="J6" s="2224"/>
      <c r="K6" s="2224"/>
      <c r="L6" s="2224"/>
      <c r="M6" s="2224"/>
      <c r="N6" s="2224"/>
      <c r="O6" s="2224"/>
      <c r="P6" s="2224"/>
    </row>
    <row r="7" spans="1:16" ht="14.25">
      <c r="A7" s="3472"/>
      <c r="B7" s="3473"/>
      <c r="C7" s="3474"/>
      <c r="D7" s="20" t="s">
        <v>643</v>
      </c>
      <c r="E7" s="25" t="s">
        <v>644</v>
      </c>
      <c r="F7" s="2224"/>
      <c r="G7" s="1180" t="s">
        <v>1869</v>
      </c>
      <c r="H7" s="38"/>
      <c r="I7" s="763">
        <f>I6</f>
        <v>9.75</v>
      </c>
      <c r="J7" s="2224"/>
      <c r="K7" s="2224"/>
      <c r="L7" s="2224"/>
      <c r="M7" s="2224"/>
      <c r="N7" s="2224"/>
      <c r="O7" s="2224"/>
      <c r="P7" s="2224"/>
    </row>
    <row r="8" spans="1:16" ht="14.25">
      <c r="A8" s="22" t="s">
        <v>652</v>
      </c>
      <c r="B8" s="26" t="s">
        <v>653</v>
      </c>
      <c r="C8" s="23" t="s">
        <v>654</v>
      </c>
      <c r="D8" s="337">
        <f t="shared" ref="D8:D15" si="0">ROUND($D$3*E8/$E$3,2)</f>
        <v>215.3</v>
      </c>
      <c r="E8" s="340">
        <f>SUMIF('数据-基础表'!BB10:BK10,"地上",'数据-基础表'!BB5:BK5)</f>
        <v>2099.0100000000002</v>
      </c>
      <c r="F8" s="2224"/>
      <c r="G8" s="2225"/>
      <c r="H8" s="2225"/>
      <c r="I8" s="2224"/>
      <c r="J8" s="2224"/>
      <c r="K8" s="2224"/>
      <c r="L8" s="2224"/>
      <c r="M8" s="2224"/>
      <c r="N8" s="2224"/>
      <c r="O8" s="2224"/>
      <c r="P8" s="2224"/>
    </row>
    <row r="9" spans="1:16" ht="14.25">
      <c r="A9" s="27"/>
      <c r="B9" s="28"/>
      <c r="C9" s="23" t="s">
        <v>655</v>
      </c>
      <c r="D9" s="337">
        <f t="shared" si="0"/>
        <v>0</v>
      </c>
      <c r="E9" s="341">
        <v>0</v>
      </c>
      <c r="F9" s="2224"/>
      <c r="G9" s="2225"/>
      <c r="H9" s="2225"/>
      <c r="I9" s="2224"/>
      <c r="J9" s="2224"/>
      <c r="K9" s="2224"/>
      <c r="L9" s="2224"/>
      <c r="M9" s="2224"/>
      <c r="N9" s="2224"/>
      <c r="O9" s="2224"/>
      <c r="P9" s="2224"/>
    </row>
    <row r="10" spans="1:16" ht="14.25">
      <c r="A10" s="27"/>
      <c r="B10" s="28"/>
      <c r="C10" s="23" t="s">
        <v>656</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2397</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659</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9">
        <f>SUM(D8:D15)</f>
        <v>215.3</v>
      </c>
      <c r="E16" s="342">
        <f>SUM(E8:E15)</f>
        <v>2099.0100000000002</v>
      </c>
      <c r="F16" s="2224"/>
      <c r="G16" s="2225"/>
      <c r="H16" s="1179" t="s">
        <v>533</v>
      </c>
      <c r="I16" s="1183"/>
      <c r="J16" s="2224"/>
      <c r="K16" s="3469" t="s">
        <v>533</v>
      </c>
      <c r="L16" s="3470"/>
      <c r="M16" s="3470"/>
      <c r="N16" s="3470"/>
      <c r="O16" s="3470"/>
      <c r="P16" s="3471"/>
    </row>
    <row r="17" spans="1:19" ht="14.25">
      <c r="A17" s="29" t="s">
        <v>662</v>
      </c>
      <c r="B17" s="30" t="s">
        <v>663</v>
      </c>
      <c r="C17" s="34" t="s">
        <v>2388</v>
      </c>
      <c r="D17" s="2074" t="s">
        <v>643</v>
      </c>
      <c r="E17" s="2072" t="s">
        <v>644</v>
      </c>
      <c r="F17" s="36"/>
      <c r="G17" s="37"/>
      <c r="H17" s="1184" t="s">
        <v>664</v>
      </c>
      <c r="I17" s="1185" t="s">
        <v>207</v>
      </c>
      <c r="J17" s="2224"/>
      <c r="K17" s="3466" t="s">
        <v>670</v>
      </c>
      <c r="L17" s="3467"/>
      <c r="M17" s="3468"/>
      <c r="N17" s="3466" t="s">
        <v>2691</v>
      </c>
      <c r="O17" s="3467"/>
      <c r="P17" s="3468"/>
      <c r="R17" s="2483" t="s">
        <v>2389</v>
      </c>
      <c r="S17" s="354"/>
    </row>
    <row r="18" spans="1:19">
      <c r="A18" s="27"/>
      <c r="B18" s="31"/>
      <c r="C18" s="35"/>
      <c r="D18" s="2075"/>
      <c r="E18" s="2073" t="s">
        <v>665</v>
      </c>
      <c r="F18" s="15" t="s">
        <v>666</v>
      </c>
      <c r="G18" s="16" t="s">
        <v>667</v>
      </c>
      <c r="H18" s="1186" t="s">
        <v>668</v>
      </c>
      <c r="I18" s="1187" t="s">
        <v>669</v>
      </c>
      <c r="J18" s="2224"/>
      <c r="K18" s="1186" t="s">
        <v>2684</v>
      </c>
      <c r="L18" s="6" t="s">
        <v>2692</v>
      </c>
      <c r="M18" s="2801" t="s">
        <v>2690</v>
      </c>
      <c r="N18" s="1186" t="s">
        <v>2684</v>
      </c>
      <c r="O18" s="6" t="s">
        <v>2692</v>
      </c>
      <c r="P18" s="2801" t="s">
        <v>2690</v>
      </c>
      <c r="R18" s="2484" t="s">
        <v>2390</v>
      </c>
      <c r="S18" s="2484" t="s">
        <v>2391</v>
      </c>
    </row>
    <row r="19" spans="1:19" ht="14.25">
      <c r="A19" s="32"/>
      <c r="B19" s="26" t="s">
        <v>119</v>
      </c>
      <c r="C19" s="1421" t="s">
        <v>3121</v>
      </c>
      <c r="D19" s="337">
        <f>ROUND($D$3*E19/$E$3,2)</f>
        <v>215.3</v>
      </c>
      <c r="E19" s="345">
        <f t="shared" ref="E19:E26" si="1">SUM(F19:G19)</f>
        <v>2099.0100000000002</v>
      </c>
      <c r="F19" s="346">
        <f>'数据-基础表'!I13</f>
        <v>2099.0100000000002</v>
      </c>
      <c r="G19" s="347"/>
      <c r="H19" s="1133">
        <f>ROUND($D$3*I19/$E$3,2)</f>
        <v>0</v>
      </c>
      <c r="I19" s="340">
        <f t="shared" ref="I19:I26" si="2">IF($I$17="自定义",P19,M19)</f>
        <v>0</v>
      </c>
      <c r="J19" s="2224"/>
      <c r="K19" s="2802">
        <f t="shared" ref="K19:K26" si="3">ROUND(E$28*E19/E$27,2)</f>
        <v>0</v>
      </c>
      <c r="L19" s="2485">
        <f t="shared" ref="L19:L26" si="4">ROUND(IF(COUNTIF(C19,"*住宅*")&gt;0,E$29*E19/E$32,0),2)</f>
        <v>0</v>
      </c>
      <c r="M19" s="2820">
        <f>K19+L19</f>
        <v>0</v>
      </c>
      <c r="N19" s="2818"/>
      <c r="O19" s="2800"/>
      <c r="P19" s="2803">
        <f>N19+O19</f>
        <v>0</v>
      </c>
      <c r="R19" s="2485">
        <f t="shared" ref="R19:S26" si="5">D19+H19</f>
        <v>215.3</v>
      </c>
      <c r="S19" s="2486">
        <f t="shared" si="5"/>
        <v>2099.0100000000002</v>
      </c>
    </row>
    <row r="20" spans="1:19" ht="14.25">
      <c r="A20" s="33"/>
      <c r="B20" s="26" t="s">
        <v>636</v>
      </c>
      <c r="C20" s="1421"/>
      <c r="D20" s="337">
        <f t="shared" ref="D20:D26" si="6">ROUND($D$3*E20/$E$3,2)</f>
        <v>0</v>
      </c>
      <c r="E20" s="345">
        <f t="shared" si="1"/>
        <v>0</v>
      </c>
      <c r="F20" s="346"/>
      <c r="G20" s="347"/>
      <c r="H20" s="1133">
        <f t="shared" ref="H20:H26" si="7">ROUND($D$3*I20/$E$3,2)</f>
        <v>0</v>
      </c>
      <c r="I20" s="340">
        <f t="shared" si="2"/>
        <v>0</v>
      </c>
      <c r="J20" s="2224"/>
      <c r="K20" s="2802">
        <f t="shared" si="3"/>
        <v>0</v>
      </c>
      <c r="L20" s="2485">
        <f t="shared" si="4"/>
        <v>0</v>
      </c>
      <c r="M20" s="2820">
        <f t="shared" ref="M20:M26" si="8">K20+L20</f>
        <v>0</v>
      </c>
      <c r="N20" s="2818"/>
      <c r="O20" s="2800"/>
      <c r="P20" s="2803">
        <f t="shared" ref="P20:P26" si="9">N20+O20</f>
        <v>0</v>
      </c>
      <c r="R20" s="2485">
        <f t="shared" si="5"/>
        <v>0</v>
      </c>
      <c r="S20" s="2486">
        <f t="shared" si="5"/>
        <v>0</v>
      </c>
    </row>
    <row r="21" spans="1:19" ht="14.25">
      <c r="A21" s="33"/>
      <c r="B21" s="26" t="s">
        <v>636</v>
      </c>
      <c r="C21" s="1421"/>
      <c r="D21" s="337">
        <f t="shared" si="6"/>
        <v>0</v>
      </c>
      <c r="E21" s="345">
        <f t="shared" si="1"/>
        <v>0</v>
      </c>
      <c r="F21" s="346"/>
      <c r="G21" s="347"/>
      <c r="H21" s="1133">
        <f t="shared" si="7"/>
        <v>0</v>
      </c>
      <c r="I21" s="340">
        <f t="shared" si="2"/>
        <v>0</v>
      </c>
      <c r="J21" s="2224"/>
      <c r="K21" s="2802">
        <f t="shared" si="3"/>
        <v>0</v>
      </c>
      <c r="L21" s="2485">
        <f t="shared" si="4"/>
        <v>0</v>
      </c>
      <c r="M21" s="2820">
        <f t="shared" si="8"/>
        <v>0</v>
      </c>
      <c r="N21" s="2818"/>
      <c r="O21" s="2800"/>
      <c r="P21" s="2803">
        <f t="shared" si="9"/>
        <v>0</v>
      </c>
      <c r="R21" s="2485">
        <f t="shared" si="5"/>
        <v>0</v>
      </c>
      <c r="S21" s="2486">
        <f t="shared" si="5"/>
        <v>0</v>
      </c>
    </row>
    <row r="22" spans="1:19" ht="14.25">
      <c r="A22" s="33"/>
      <c r="B22" s="26" t="s">
        <v>636</v>
      </c>
      <c r="C22" s="349"/>
      <c r="D22" s="337">
        <f t="shared" si="6"/>
        <v>0</v>
      </c>
      <c r="E22" s="345">
        <f t="shared" si="1"/>
        <v>0</v>
      </c>
      <c r="F22" s="350"/>
      <c r="G22" s="351"/>
      <c r="H22" s="1133">
        <f t="shared" si="7"/>
        <v>0</v>
      </c>
      <c r="I22" s="340">
        <f t="shared" si="2"/>
        <v>0</v>
      </c>
      <c r="J22" s="2224"/>
      <c r="K22" s="2802">
        <f t="shared" si="3"/>
        <v>0</v>
      </c>
      <c r="L22" s="2485">
        <f t="shared" si="4"/>
        <v>0</v>
      </c>
      <c r="M22" s="2820">
        <f t="shared" si="8"/>
        <v>0</v>
      </c>
      <c r="N22" s="2818"/>
      <c r="O22" s="2800"/>
      <c r="P22" s="2803">
        <f t="shared" si="9"/>
        <v>0</v>
      </c>
      <c r="R22" s="2485">
        <f t="shared" si="5"/>
        <v>0</v>
      </c>
      <c r="S22" s="2486">
        <f t="shared" si="5"/>
        <v>0</v>
      </c>
    </row>
    <row r="23" spans="1:19" ht="14.25">
      <c r="A23" s="33"/>
      <c r="B23" s="26" t="s">
        <v>636</v>
      </c>
      <c r="C23" s="349"/>
      <c r="D23" s="337">
        <f>ROUND($D$3*E23/$E$3,2)</f>
        <v>0</v>
      </c>
      <c r="E23" s="345">
        <f>SUM(F23:G23)</f>
        <v>0</v>
      </c>
      <c r="F23" s="350"/>
      <c r="G23" s="351"/>
      <c r="H23" s="1133">
        <f>ROUND($D$3*I23/$E$3,2)</f>
        <v>0</v>
      </c>
      <c r="I23" s="340">
        <f t="shared" si="2"/>
        <v>0</v>
      </c>
      <c r="J23" s="2224"/>
      <c r="K23" s="2802">
        <f t="shared" si="3"/>
        <v>0</v>
      </c>
      <c r="L23" s="2485">
        <f t="shared" si="4"/>
        <v>0</v>
      </c>
      <c r="M23" s="2820">
        <f t="shared" si="8"/>
        <v>0</v>
      </c>
      <c r="N23" s="2818"/>
      <c r="O23" s="2800"/>
      <c r="P23" s="2803">
        <f t="shared" si="9"/>
        <v>0</v>
      </c>
      <c r="R23" s="2485">
        <f t="shared" si="5"/>
        <v>0</v>
      </c>
      <c r="S23" s="2486">
        <f t="shared" si="5"/>
        <v>0</v>
      </c>
    </row>
    <row r="24" spans="1:19" ht="14.25">
      <c r="A24" s="33"/>
      <c r="B24" s="26" t="s">
        <v>636</v>
      </c>
      <c r="C24" s="349"/>
      <c r="D24" s="337">
        <f>ROUND($D$3*E24/$E$3,2)</f>
        <v>0</v>
      </c>
      <c r="E24" s="345">
        <f>SUM(F24:G24)</f>
        <v>0</v>
      </c>
      <c r="F24" s="350"/>
      <c r="G24" s="351"/>
      <c r="H24" s="1133">
        <f>ROUND($D$3*I24/$E$3,2)</f>
        <v>0</v>
      </c>
      <c r="I24" s="340">
        <f t="shared" si="2"/>
        <v>0</v>
      </c>
      <c r="J24" s="2224"/>
      <c r="K24" s="2802">
        <f t="shared" si="3"/>
        <v>0</v>
      </c>
      <c r="L24" s="2485">
        <f t="shared" si="4"/>
        <v>0</v>
      </c>
      <c r="M24" s="2820">
        <f t="shared" si="8"/>
        <v>0</v>
      </c>
      <c r="N24" s="2818"/>
      <c r="O24" s="2800"/>
      <c r="P24" s="2803">
        <f t="shared" si="9"/>
        <v>0</v>
      </c>
      <c r="R24" s="2485">
        <f t="shared" si="5"/>
        <v>0</v>
      </c>
      <c r="S24" s="2486">
        <f t="shared" si="5"/>
        <v>0</v>
      </c>
    </row>
    <row r="25" spans="1:19" ht="14.25">
      <c r="A25" s="33"/>
      <c r="B25" s="26" t="s">
        <v>636</v>
      </c>
      <c r="C25" s="349"/>
      <c r="D25" s="337">
        <f t="shared" si="6"/>
        <v>0</v>
      </c>
      <c r="E25" s="345">
        <f t="shared" si="1"/>
        <v>0</v>
      </c>
      <c r="F25" s="350"/>
      <c r="G25" s="351"/>
      <c r="H25" s="336">
        <f t="shared" si="7"/>
        <v>0</v>
      </c>
      <c r="I25" s="340">
        <f t="shared" si="2"/>
        <v>0</v>
      </c>
      <c r="J25" s="2224"/>
      <c r="K25" s="2802">
        <f t="shared" si="3"/>
        <v>0</v>
      </c>
      <c r="L25" s="2485">
        <f t="shared" si="4"/>
        <v>0</v>
      </c>
      <c r="M25" s="2820">
        <f t="shared" si="8"/>
        <v>0</v>
      </c>
      <c r="N25" s="2818"/>
      <c r="O25" s="2800"/>
      <c r="P25" s="2803">
        <f t="shared" si="9"/>
        <v>0</v>
      </c>
      <c r="R25" s="2485">
        <f t="shared" si="5"/>
        <v>0</v>
      </c>
      <c r="S25" s="2486">
        <f t="shared" si="5"/>
        <v>0</v>
      </c>
    </row>
    <row r="26" spans="1:19" ht="14.25">
      <c r="A26" s="33"/>
      <c r="B26" s="26" t="s">
        <v>636</v>
      </c>
      <c r="C26" s="353"/>
      <c r="D26" s="337">
        <f t="shared" si="6"/>
        <v>0</v>
      </c>
      <c r="E26" s="345">
        <f t="shared" si="1"/>
        <v>0</v>
      </c>
      <c r="F26" s="350"/>
      <c r="G26" s="351"/>
      <c r="H26" s="336">
        <f t="shared" si="7"/>
        <v>0</v>
      </c>
      <c r="I26" s="340">
        <f t="shared" si="2"/>
        <v>0</v>
      </c>
      <c r="J26" s="2224"/>
      <c r="K26" s="2811">
        <f t="shared" si="3"/>
        <v>0</v>
      </c>
      <c r="L26" s="2812">
        <f t="shared" si="4"/>
        <v>0</v>
      </c>
      <c r="M26" s="357">
        <f t="shared" si="8"/>
        <v>0</v>
      </c>
      <c r="N26" s="2819"/>
      <c r="O26" s="2813"/>
      <c r="P26" s="2814">
        <f t="shared" si="9"/>
        <v>0</v>
      </c>
      <c r="R26" s="2485">
        <f t="shared" si="5"/>
        <v>0</v>
      </c>
      <c r="S26" s="2486">
        <f t="shared" si="5"/>
        <v>0</v>
      </c>
    </row>
    <row r="27" spans="1:19" ht="15.75" thickBot="1">
      <c r="A27" s="33"/>
      <c r="B27" s="23"/>
      <c r="C27" s="2776" t="s">
        <v>637</v>
      </c>
      <c r="D27" s="2805">
        <f>SUM(D19:D26)</f>
        <v>215.3</v>
      </c>
      <c r="E27" s="2806">
        <f>IF(SUM(E19:E26)='数据-基础表'!BA5,SUM(E19:E26),IF(F27="地上面积有误","面积有误","地下面积有误"))</f>
        <v>2099.0100000000002</v>
      </c>
      <c r="F27" s="2805">
        <f>IF(SUM(F19:F26)=E8,SUM(F19:F26),"地上面积有误")</f>
        <v>2099.0100000000002</v>
      </c>
      <c r="G27" s="2807">
        <f>SUM(G19:G26)</f>
        <v>0</v>
      </c>
      <c r="H27" s="2808">
        <f>SUM(H19:H26)</f>
        <v>0</v>
      </c>
      <c r="I27" s="2809">
        <f>SUM(I19:I26)</f>
        <v>0</v>
      </c>
      <c r="J27" s="2224"/>
      <c r="K27" s="2815">
        <f>SUM(K19:K26)</f>
        <v>0</v>
      </c>
      <c r="L27" s="2816">
        <f>SUM(L19:L26)</f>
        <v>0</v>
      </c>
      <c r="M27" s="2821">
        <f>SUM(M19:M26)</f>
        <v>0</v>
      </c>
      <c r="N27" s="2815">
        <f t="shared" ref="N27:O27" si="10">SUM(N19:N26)</f>
        <v>0</v>
      </c>
      <c r="O27" s="2816">
        <f t="shared" si="10"/>
        <v>0</v>
      </c>
      <c r="P27" s="2817">
        <f>SUM(P19:P26)</f>
        <v>0</v>
      </c>
      <c r="R27" s="2487">
        <f>IF(SUM(R19:R26)=$D$3,SUM(R19:R26),SUM(R19:R26)&amp;"误差"&amp;ROUND(SUM(R19:R26)-$D$3,2))</f>
        <v>215.3</v>
      </c>
      <c r="S27" s="2485">
        <f>IF(SUM(S19:S26)=$E$3,SUM(S19:S26),SUM(S19:S26)&amp;"误差"&amp;ROUND(SUM(S19:S26)-E3,2))</f>
        <v>2099.0100000000002</v>
      </c>
    </row>
    <row r="28" spans="1:19" ht="14.25">
      <c r="A28" s="33"/>
      <c r="B28" s="26" t="s">
        <v>638</v>
      </c>
      <c r="C28" s="5" t="s">
        <v>639</v>
      </c>
      <c r="D28" s="337">
        <f>ROUND($D$3*E28/$E$3,2)</f>
        <v>0</v>
      </c>
      <c r="E28" s="345">
        <f>SUM(F28:G28)</f>
        <v>0</v>
      </c>
      <c r="F28" s="354">
        <f>'数据-基础表'!BQ5+'数据-基础表'!BS5</f>
        <v>0</v>
      </c>
      <c r="G28" s="355">
        <f>'数据-基础表'!BR5+'数据-基础表'!BT5</f>
        <v>0</v>
      </c>
      <c r="H28" s="2224"/>
      <c r="I28" s="2224"/>
      <c r="J28" s="2224"/>
      <c r="K28" s="2224"/>
      <c r="L28" s="2224"/>
      <c r="M28" s="2224"/>
      <c r="N28" s="2804"/>
      <c r="O28" s="2804"/>
      <c r="P28" s="2224"/>
    </row>
    <row r="29" spans="1:19" ht="14.25">
      <c r="A29" s="33"/>
      <c r="B29" s="26" t="s">
        <v>638</v>
      </c>
      <c r="C29" s="13" t="s">
        <v>2392</v>
      </c>
      <c r="D29" s="337">
        <f>ROUND($D$3*E29/$E$3,2)</f>
        <v>0</v>
      </c>
      <c r="E29" s="345">
        <f>SUM(F29:G29)</f>
        <v>0</v>
      </c>
      <c r="F29" s="356">
        <f>'数据-基础表'!BM5+'数据-基础表'!BO5</f>
        <v>0</v>
      </c>
      <c r="G29" s="357">
        <f>'数据-基础表'!BN5+'数据-基础表'!BP5</f>
        <v>0</v>
      </c>
      <c r="H29" s="2224"/>
      <c r="I29" s="2224"/>
      <c r="J29" s="2224"/>
      <c r="K29" s="2224"/>
      <c r="L29" s="2224"/>
      <c r="M29" s="2224"/>
      <c r="N29" s="2804"/>
      <c r="O29" s="2804"/>
      <c r="P29" s="2224"/>
    </row>
    <row r="30" spans="1:19" ht="15">
      <c r="A30" s="33"/>
      <c r="B30" s="26"/>
      <c r="C30" s="2810" t="s">
        <v>637</v>
      </c>
      <c r="D30" s="2805">
        <f>SUM(D28:D29)</f>
        <v>0</v>
      </c>
      <c r="E30" s="2805">
        <f>SUM(E28:E29)</f>
        <v>0</v>
      </c>
      <c r="F30" s="2805">
        <f>SUM(F28:F29)</f>
        <v>0</v>
      </c>
      <c r="G30" s="2807">
        <f>SUM(G28:G29)</f>
        <v>0</v>
      </c>
      <c r="H30" s="2224"/>
      <c r="I30" s="2224"/>
      <c r="J30" s="2224"/>
      <c r="K30" s="2224"/>
      <c r="L30" s="2224"/>
      <c r="M30" s="2224"/>
      <c r="N30" s="2804"/>
      <c r="O30" s="2804"/>
      <c r="P30" s="2224"/>
    </row>
    <row r="31" spans="1:19" ht="15.75" thickBot="1">
      <c r="A31" s="1188"/>
      <c r="B31" s="2524"/>
      <c r="C31" s="2525" t="s">
        <v>640</v>
      </c>
      <c r="D31" s="1189">
        <f>D27+D30</f>
        <v>215.3</v>
      </c>
      <c r="E31" s="1189">
        <f>E27+E30</f>
        <v>2099.0100000000002</v>
      </c>
      <c r="F31" s="1190">
        <f>F27+F30</f>
        <v>2099.0100000000002</v>
      </c>
      <c r="G31" s="1191">
        <f>G27+G30</f>
        <v>0</v>
      </c>
      <c r="H31" s="2224"/>
      <c r="I31" s="2224"/>
      <c r="J31" s="2224"/>
      <c r="K31" s="2224"/>
      <c r="L31" s="2224"/>
      <c r="M31" s="2224"/>
      <c r="N31" s="2224"/>
      <c r="O31" s="2224"/>
      <c r="P31" s="2224"/>
    </row>
    <row r="32" spans="1:19" ht="14.25">
      <c r="A32" s="1182"/>
      <c r="B32" s="1182" t="s">
        <v>2705</v>
      </c>
      <c r="C32" s="1182"/>
      <c r="D32" s="1182"/>
      <c r="E32" s="2523">
        <f>SUMIF(C19:C26,"*住宅*",E19:E26)</f>
        <v>0</v>
      </c>
      <c r="F32" s="1182"/>
      <c r="G32" s="1182"/>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7"/>
    <col min="41" max="41" width="11.625" style="2237" customWidth="1"/>
    <col min="42" max="42" width="9.75" style="2237" customWidth="1"/>
    <col min="43" max="67" width="13.75" style="2237"/>
    <col min="68" max="16384" width="13.75" style="1194"/>
  </cols>
  <sheetData>
    <row r="1" spans="1:67" ht="19.5" thickBot="1">
      <c r="A1" s="44" t="s">
        <v>671</v>
      </c>
      <c r="B1" s="1193"/>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6" customFormat="1" ht="15" thickBot="1">
      <c r="A2" s="45" t="s">
        <v>672</v>
      </c>
      <c r="B2" s="2514">
        <f>项目基本情况!D3</f>
        <v>42963</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6" customFormat="1" ht="14.25" thickBot="1">
      <c r="A3" s="1197"/>
      <c r="B3" s="1195"/>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6" customFormat="1" ht="14.25" thickBot="1">
      <c r="A4" s="46" t="s">
        <v>673</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3" customFormat="1" ht="40.5">
      <c r="A5" s="47" t="s">
        <v>2394</v>
      </c>
      <c r="B5" s="48" t="s">
        <v>677</v>
      </c>
      <c r="C5" s="49" t="s">
        <v>678</v>
      </c>
      <c r="D5" s="50" t="s">
        <v>679</v>
      </c>
      <c r="E5" s="51" t="s">
        <v>680</v>
      </c>
      <c r="F5" s="52" t="s">
        <v>681</v>
      </c>
      <c r="G5" s="51" t="s">
        <v>682</v>
      </c>
      <c r="H5" s="51" t="s">
        <v>683</v>
      </c>
      <c r="I5" s="51" t="s">
        <v>684</v>
      </c>
      <c r="J5" s="53" t="s">
        <v>685</v>
      </c>
      <c r="K5" s="54" t="s">
        <v>686</v>
      </c>
      <c r="L5" s="55" t="s">
        <v>687</v>
      </c>
      <c r="M5" s="56" t="s">
        <v>688</v>
      </c>
      <c r="N5" s="1202" t="s">
        <v>80</v>
      </c>
      <c r="O5" s="55" t="s">
        <v>689</v>
      </c>
      <c r="P5" s="57" t="s">
        <v>690</v>
      </c>
      <c r="Q5" s="58" t="s">
        <v>691</v>
      </c>
      <c r="R5" s="273" t="s">
        <v>692</v>
      </c>
      <c r="S5" s="59" t="s">
        <v>2685</v>
      </c>
      <c r="T5" s="274" t="s">
        <v>693</v>
      </c>
      <c r="U5" s="2515" t="s">
        <v>2400</v>
      </c>
      <c r="V5" s="51" t="s">
        <v>694</v>
      </c>
      <c r="W5" s="2516" t="s">
        <v>2401</v>
      </c>
      <c r="X5" s="62"/>
      <c r="Y5" s="60" t="s">
        <v>695</v>
      </c>
      <c r="Z5" s="61" t="s">
        <v>696</v>
      </c>
      <c r="AA5" s="51" t="s">
        <v>694</v>
      </c>
      <c r="AB5" s="2516" t="s">
        <v>2401</v>
      </c>
      <c r="AC5" s="62"/>
      <c r="AD5" s="62" t="s">
        <v>695</v>
      </c>
      <c r="AE5" s="14" t="s">
        <v>538</v>
      </c>
      <c r="AF5" s="51" t="s">
        <v>697</v>
      </c>
      <c r="AG5" s="60" t="s">
        <v>698</v>
      </c>
      <c r="AH5" s="14" t="s">
        <v>2405</v>
      </c>
      <c r="AI5" s="61" t="s">
        <v>2322</v>
      </c>
      <c r="AJ5" s="61" t="s">
        <v>699</v>
      </c>
      <c r="AK5" s="2516" t="s">
        <v>2402</v>
      </c>
      <c r="AL5" s="2516" t="s">
        <v>2403</v>
      </c>
      <c r="AM5" s="360" t="s">
        <v>2404</v>
      </c>
      <c r="AN5" s="2573" t="s">
        <v>2444</v>
      </c>
      <c r="AO5" s="2011" t="s">
        <v>2676</v>
      </c>
      <c r="AP5" s="2889" t="s">
        <v>2686</v>
      </c>
      <c r="AQ5" s="2890" t="s">
        <v>2796</v>
      </c>
      <c r="AR5" s="2890" t="s">
        <v>2797</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6" customFormat="1" ht="14.25">
      <c r="A6" s="2513" t="str">
        <f>'数据-汇总表'!C19</f>
        <v>办公</v>
      </c>
      <c r="B6" s="2491" t="str">
        <f>IF(A6=0,"","经营性")</f>
        <v>经营性</v>
      </c>
      <c r="C6" s="39" t="s">
        <v>141</v>
      </c>
      <c r="D6" s="2055">
        <f>SUMIF(项目基本情况!D$12:I$12,C6,项目基本情况!D$14:I$14)</f>
        <v>50</v>
      </c>
      <c r="E6" s="2049">
        <f>IF(B6="","",SUMIF(项目基本情况!D$12:I$12,C6,项目基本情况!D$13:I$13))</f>
        <v>52838</v>
      </c>
      <c r="F6" s="362">
        <f>SUMIF(项目基本情况!D$12:I$12,C6,项目基本情况!D$15:I$15)</f>
        <v>27.05</v>
      </c>
      <c r="G6" s="363">
        <f>IF(ISERROR(ROUND(POWER(1+H6,D6-F6)*(POWER(1+H6,F6)-1)/(POWER(1+H6,D6)-1),3)),0,ROUND(POWER(1+H6,D6-F6)*(POWER(1+H6,F6)-1)/(POWER(1+H6,D6)-1),3))</f>
        <v>0.80300000000000005</v>
      </c>
      <c r="H6" s="1476">
        <v>0.05</v>
      </c>
      <c r="I6" s="1476">
        <v>5.5E-2</v>
      </c>
      <c r="J6" s="364">
        <v>8.5000000000000006E-2</v>
      </c>
      <c r="K6" s="2494">
        <f>SUMIF('数据-汇总表'!C$19:C$33,A6,'数据-汇总表'!E$19:E$33)</f>
        <v>2099.0100000000002</v>
      </c>
      <c r="L6" s="1477">
        <v>3000</v>
      </c>
      <c r="M6" s="365">
        <f t="shared" ref="M6:M14" si="0">ROUND(K6*L6/10000,0)</f>
        <v>630</v>
      </c>
      <c r="N6" s="1475">
        <f>ROUND(1-(1-0%)*(2017-1996)/60,2)</f>
        <v>0.65</v>
      </c>
      <c r="O6" s="365" t="str">
        <f>IF($N$5="成新度","——",ROUND(M6*N6,0))</f>
        <v>——</v>
      </c>
      <c r="P6" s="366" t="str">
        <f>IF($N$5="成新度","——",M6-O6)</f>
        <v>——</v>
      </c>
      <c r="Q6" s="3385">
        <v>0.2</v>
      </c>
      <c r="R6" s="367">
        <f ca="1">SUMIF('数据-汇总表'!C$19:C$33,A6,'数据-汇总表'!R$19:R$27)</f>
        <v>215.3</v>
      </c>
      <c r="S6" s="343">
        <f>IF('数据-汇总表'!$I$17="按面积比例",SUMIF('数据-汇总表'!C$19:C$33,A6,'数据-汇总表'!K$19:K$33),SUMIF('数据-汇总表'!C$19:C$33,A6,'数据-汇总表'!N$19:N$33))</f>
        <v>0</v>
      </c>
      <c r="T6" s="2888">
        <f>ROUND($L$14*S6/10000,0)</f>
        <v>0</v>
      </c>
      <c r="U6" s="368">
        <v>6</v>
      </c>
      <c r="V6" s="3390">
        <v>0.03</v>
      </c>
      <c r="W6" s="369">
        <v>0.1</v>
      </c>
      <c r="X6" s="2504"/>
      <c r="Y6" s="370">
        <f>N6</f>
        <v>0.65</v>
      </c>
      <c r="Z6" s="371"/>
      <c r="AA6" s="364"/>
      <c r="AB6" s="364"/>
      <c r="AC6" s="2504"/>
      <c r="AD6" s="372"/>
      <c r="AE6" s="2505">
        <f ca="1">IF(AN6="",0,SUMIF(INDIRECT("'"&amp;AN6&amp;"'"&amp;"!E:E"),$AE$5,INDIRECT("'"&amp;AN6&amp;"'"&amp;"!F:F")))</f>
        <v>27.05</v>
      </c>
      <c r="AF6" s="352"/>
      <c r="AG6" s="478">
        <f>IF(AF6="",0,AE6-AF6)</f>
        <v>0</v>
      </c>
      <c r="AH6" s="373"/>
      <c r="AI6" s="375">
        <v>365</v>
      </c>
      <c r="AJ6" s="376"/>
      <c r="AK6" s="377">
        <v>1.4999999999999999E-2</v>
      </c>
      <c r="AL6" s="378">
        <v>2E-3</v>
      </c>
      <c r="AM6" s="379">
        <v>0.02</v>
      </c>
      <c r="AN6" s="2574" t="s">
        <v>3122</v>
      </c>
      <c r="AO6" s="344">
        <f ca="1">SUMIF(INDIRECT("'"&amp;AN6&amp;"'"&amp;"!A:A"),"总价",INDIRECT("'"&amp;AN6&amp;"'"&amp;"!B:B"))</f>
        <v>6873</v>
      </c>
      <c r="AP6" s="2891">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6" customFormat="1" ht="14.25">
      <c r="A7" s="2513">
        <f>'数据-汇总表'!C20</f>
        <v>0</v>
      </c>
      <c r="B7" s="2491" t="str">
        <f t="shared" ref="B7:B13" si="1">IF(A7=0,"","经营性")</f>
        <v/>
      </c>
      <c r="C7" s="39"/>
      <c r="D7" s="2055">
        <f>SUMIF(项目基本情况!D$12:I$12,C7,项目基本情况!D$14:I$14)</f>
        <v>0</v>
      </c>
      <c r="E7" s="2049"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1476"/>
      <c r="K7" s="2494">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88">
        <f t="shared" ref="T7:T13" si="5">ROUND($L$14*S7/10000,0)</f>
        <v>0</v>
      </c>
      <c r="U7" s="368"/>
      <c r="V7" s="369"/>
      <c r="W7" s="369"/>
      <c r="X7" s="2504"/>
      <c r="Y7" s="370"/>
      <c r="Z7" s="371"/>
      <c r="AA7" s="364"/>
      <c r="AB7" s="364"/>
      <c r="AC7" s="2504"/>
      <c r="AD7" s="372"/>
      <c r="AE7" s="2505">
        <f t="shared" ref="AE7:AE13" ca="1" si="6">IF(AN7="",0,SUMIF(INDIRECT("'"&amp;AN7&amp;"'"&amp;"!E:E"),$AE$5,INDIRECT("'"&amp;AN7&amp;"'"&amp;"!F:F")))</f>
        <v>0</v>
      </c>
      <c r="AF7" s="352"/>
      <c r="AG7" s="478">
        <f t="shared" ref="AG7:AG13" si="7">IF(AF7="",0,AE7-AF7)</f>
        <v>0</v>
      </c>
      <c r="AH7" s="373"/>
      <c r="AI7" s="375"/>
      <c r="AJ7" s="376"/>
      <c r="AK7" s="377"/>
      <c r="AL7" s="377"/>
      <c r="AM7" s="377"/>
      <c r="AN7" s="2574"/>
      <c r="AO7" s="344" t="e">
        <f t="shared" ref="AO7:AO13" ca="1" si="8">SUMIF(INDIRECT("'"&amp;AN7&amp;"'"&amp;"!A:A"),"总价",INDIRECT("'"&amp;AN7&amp;"'"&amp;"!B:B"))</f>
        <v>#REF!</v>
      </c>
      <c r="AP7" s="2891">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6" customFormat="1" ht="14.25">
      <c r="A8" s="2513">
        <f>'数据-汇总表'!C21</f>
        <v>0</v>
      </c>
      <c r="B8" s="2491" t="str">
        <f t="shared" si="1"/>
        <v/>
      </c>
      <c r="C8" s="39"/>
      <c r="D8" s="2055">
        <f>SUMIF(项目基本情况!D$12:I$12,C8,项目基本情况!D$14:I$14)</f>
        <v>0</v>
      </c>
      <c r="E8" s="2049" t="str">
        <f>IF(B8="","",SUMIF(项目基本情况!D$12:I$12,C8,项目基本情况!D$13:I$13))</f>
        <v/>
      </c>
      <c r="F8" s="362">
        <f>SUMIF(项目基本情况!D$12:I$12,C8,项目基本情况!D$15:I$15)</f>
        <v>0</v>
      </c>
      <c r="G8" s="363">
        <f t="shared" si="2"/>
        <v>0</v>
      </c>
      <c r="H8" s="1476"/>
      <c r="I8" s="1476"/>
      <c r="J8" s="1476"/>
      <c r="K8" s="2494">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88">
        <f t="shared" si="5"/>
        <v>0</v>
      </c>
      <c r="U8" s="1479"/>
      <c r="V8" s="1480"/>
      <c r="W8" s="1480"/>
      <c r="X8" s="2504"/>
      <c r="Y8" s="370"/>
      <c r="Z8" s="371"/>
      <c r="AA8" s="364"/>
      <c r="AB8" s="364"/>
      <c r="AC8" s="2504"/>
      <c r="AD8" s="372"/>
      <c r="AE8" s="2505">
        <f t="shared" ca="1" si="6"/>
        <v>0</v>
      </c>
      <c r="AF8" s="352"/>
      <c r="AG8" s="478">
        <f t="shared" si="7"/>
        <v>0</v>
      </c>
      <c r="AH8" s="1481"/>
      <c r="AI8" s="375"/>
      <c r="AJ8" s="376"/>
      <c r="AK8" s="1482"/>
      <c r="AL8" s="1482"/>
      <c r="AM8" s="1482"/>
      <c r="AN8" s="2574"/>
      <c r="AO8" s="344" t="e">
        <f t="shared" ca="1" si="8"/>
        <v>#REF!</v>
      </c>
      <c r="AP8" s="2891">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6" customFormat="1" ht="14.25">
      <c r="A9" s="2513">
        <f>'数据-汇总表'!C22</f>
        <v>0</v>
      </c>
      <c r="B9" s="2491" t="str">
        <f t="shared" si="1"/>
        <v/>
      </c>
      <c r="C9" s="39"/>
      <c r="D9" s="2055">
        <f>SUMIF(项目基本情况!D$12:I$12,C9,项目基本情况!D$14:I$14)</f>
        <v>0</v>
      </c>
      <c r="E9" s="2049" t="str">
        <f>IF(B9="","",SUMIF(项目基本情况!D$12:I$12,C9,项目基本情况!D$13:I$13))</f>
        <v/>
      </c>
      <c r="F9" s="362">
        <f>SUMIF(项目基本情况!D$12:I$12,C9,项目基本情况!D$15:I$15)</f>
        <v>0</v>
      </c>
      <c r="G9" s="363">
        <f t="shared" si="2"/>
        <v>0</v>
      </c>
      <c r="H9" s="364"/>
      <c r="I9" s="364"/>
      <c r="J9" s="364"/>
      <c r="K9" s="2494">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8">
        <f t="shared" si="5"/>
        <v>0</v>
      </c>
      <c r="U9" s="368"/>
      <c r="V9" s="369"/>
      <c r="W9" s="369"/>
      <c r="X9" s="2504"/>
      <c r="Y9" s="370"/>
      <c r="Z9" s="371"/>
      <c r="AA9" s="364"/>
      <c r="AB9" s="364"/>
      <c r="AC9" s="2504"/>
      <c r="AD9" s="372"/>
      <c r="AE9" s="2505">
        <f t="shared" ca="1" si="6"/>
        <v>0</v>
      </c>
      <c r="AF9" s="352"/>
      <c r="AG9" s="478">
        <f t="shared" si="7"/>
        <v>0</v>
      </c>
      <c r="AH9" s="373"/>
      <c r="AI9" s="375"/>
      <c r="AJ9" s="376"/>
      <c r="AK9" s="377"/>
      <c r="AL9" s="378"/>
      <c r="AM9" s="379"/>
      <c r="AN9" s="2574"/>
      <c r="AO9" s="344" t="e">
        <f t="shared" ca="1" si="8"/>
        <v>#REF!</v>
      </c>
      <c r="AP9" s="2891">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6" customFormat="1" ht="14.25">
      <c r="A10" s="2513">
        <f>'数据-汇总表'!C23</f>
        <v>0</v>
      </c>
      <c r="B10" s="2491"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4">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8">
        <f t="shared" si="5"/>
        <v>0</v>
      </c>
      <c r="U10" s="368"/>
      <c r="V10" s="369"/>
      <c r="W10" s="369"/>
      <c r="X10" s="2504"/>
      <c r="Y10" s="370"/>
      <c r="Z10" s="371"/>
      <c r="AA10" s="364"/>
      <c r="AB10" s="364"/>
      <c r="AC10" s="2504"/>
      <c r="AD10" s="372"/>
      <c r="AE10" s="2505">
        <f t="shared" ca="1" si="6"/>
        <v>0</v>
      </c>
      <c r="AF10" s="352"/>
      <c r="AG10" s="478">
        <f t="shared" si="7"/>
        <v>0</v>
      </c>
      <c r="AH10" s="373"/>
      <c r="AI10" s="375"/>
      <c r="AJ10" s="376"/>
      <c r="AK10" s="377"/>
      <c r="AL10" s="378"/>
      <c r="AM10" s="379"/>
      <c r="AN10" s="2574"/>
      <c r="AO10" s="344" t="e">
        <f t="shared" ca="1" si="8"/>
        <v>#REF!</v>
      </c>
      <c r="AP10" s="2891">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6" customFormat="1" ht="14.25">
      <c r="A11" s="2513">
        <f>'数据-汇总表'!C24</f>
        <v>0</v>
      </c>
      <c r="B11" s="2491"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4">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8">
        <f t="shared" si="5"/>
        <v>0</v>
      </c>
      <c r="U11" s="373"/>
      <c r="V11" s="364"/>
      <c r="W11" s="364"/>
      <c r="X11" s="2504"/>
      <c r="Y11" s="370"/>
      <c r="Z11" s="383"/>
      <c r="AA11" s="364"/>
      <c r="AB11" s="364"/>
      <c r="AC11" s="2504"/>
      <c r="AD11" s="372"/>
      <c r="AE11" s="2505">
        <f t="shared" ca="1" si="6"/>
        <v>0</v>
      </c>
      <c r="AF11" s="352"/>
      <c r="AG11" s="478">
        <f t="shared" si="7"/>
        <v>0</v>
      </c>
      <c r="AH11" s="373"/>
      <c r="AI11" s="375"/>
      <c r="AJ11" s="376"/>
      <c r="AK11" s="384"/>
      <c r="AL11" s="385"/>
      <c r="AM11" s="386"/>
      <c r="AN11" s="2574"/>
      <c r="AO11" s="344" t="e">
        <f t="shared" ca="1" si="8"/>
        <v>#REF!</v>
      </c>
      <c r="AP11" s="2891">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6" customFormat="1" ht="14.25">
      <c r="A12" s="2513">
        <f>'数据-汇总表'!C25</f>
        <v>0</v>
      </c>
      <c r="B12" s="2491"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4">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8">
        <f t="shared" si="5"/>
        <v>0</v>
      </c>
      <c r="U12" s="373"/>
      <c r="V12" s="364"/>
      <c r="W12" s="364"/>
      <c r="X12" s="2504"/>
      <c r="Y12" s="370"/>
      <c r="Z12" s="383"/>
      <c r="AA12" s="364"/>
      <c r="AB12" s="364"/>
      <c r="AC12" s="2504"/>
      <c r="AD12" s="372"/>
      <c r="AE12" s="2505">
        <f t="shared" ca="1" si="6"/>
        <v>0</v>
      </c>
      <c r="AF12" s="352"/>
      <c r="AG12" s="478">
        <f t="shared" si="7"/>
        <v>0</v>
      </c>
      <c r="AH12" s="373"/>
      <c r="AI12" s="375"/>
      <c r="AJ12" s="376"/>
      <c r="AK12" s="384"/>
      <c r="AL12" s="385"/>
      <c r="AM12" s="386"/>
      <c r="AN12" s="2574"/>
      <c r="AO12" s="344" t="e">
        <f t="shared" ca="1" si="8"/>
        <v>#REF!</v>
      </c>
      <c r="AP12" s="2891">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6" customFormat="1" ht="14.25">
      <c r="A13" s="2513">
        <f>'数据-汇总表'!C26</f>
        <v>0</v>
      </c>
      <c r="B13" s="2491"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4">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8">
        <f t="shared" si="5"/>
        <v>0</v>
      </c>
      <c r="U13" s="368"/>
      <c r="V13" s="369"/>
      <c r="W13" s="369"/>
      <c r="X13" s="2504"/>
      <c r="Y13" s="370"/>
      <c r="Z13" s="371"/>
      <c r="AA13" s="364"/>
      <c r="AB13" s="364"/>
      <c r="AC13" s="2504"/>
      <c r="AD13" s="372"/>
      <c r="AE13" s="2505">
        <f t="shared" ca="1" si="6"/>
        <v>0</v>
      </c>
      <c r="AF13" s="352"/>
      <c r="AG13" s="478">
        <f t="shared" si="7"/>
        <v>0</v>
      </c>
      <c r="AH13" s="373"/>
      <c r="AI13" s="375"/>
      <c r="AJ13" s="376"/>
      <c r="AK13" s="377"/>
      <c r="AL13" s="378"/>
      <c r="AM13" s="379"/>
      <c r="AN13" s="2574"/>
      <c r="AO13" s="344" t="e">
        <f t="shared" ca="1" si="8"/>
        <v>#REF!</v>
      </c>
      <c r="AP13" s="2891">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6" customFormat="1" ht="14.25">
      <c r="A14" s="2488" t="s">
        <v>535</v>
      </c>
      <c r="B14" s="2491" t="s">
        <v>534</v>
      </c>
      <c r="C14" s="2492" t="s">
        <v>535</v>
      </c>
      <c r="D14" s="2055"/>
      <c r="E14" s="2049"/>
      <c r="F14" s="362"/>
      <c r="G14" s="363"/>
      <c r="H14" s="2493"/>
      <c r="I14" s="2493"/>
      <c r="J14" s="2493"/>
      <c r="K14" s="2494">
        <f>SUMIF('数据-汇总表'!C$19:C$33,A14,'数据-汇总表'!E$19:E$33)</f>
        <v>0</v>
      </c>
      <c r="L14" s="381"/>
      <c r="M14" s="365">
        <f t="shared" si="0"/>
        <v>0</v>
      </c>
      <c r="N14" s="382"/>
      <c r="O14" s="365" t="str">
        <f t="shared" si="3"/>
        <v>——</v>
      </c>
      <c r="P14" s="366" t="str">
        <f t="shared" si="4"/>
        <v>——</v>
      </c>
      <c r="Q14" s="2497"/>
      <c r="R14" s="367"/>
      <c r="S14" s="343"/>
      <c r="T14" s="2888"/>
      <c r="U14" s="1133"/>
      <c r="V14" s="2499"/>
      <c r="W14" s="2499"/>
      <c r="X14" s="2500"/>
      <c r="Y14" s="2501"/>
      <c r="Z14" s="2502"/>
      <c r="AA14" s="2503"/>
      <c r="AB14" s="2503"/>
      <c r="AC14" s="2504"/>
      <c r="AD14" s="2500"/>
      <c r="AE14" s="2505"/>
      <c r="AF14" s="344"/>
      <c r="AG14" s="478"/>
      <c r="AH14" s="2505"/>
      <c r="AI14" s="2509"/>
      <c r="AJ14" s="1322"/>
      <c r="AK14" s="2506"/>
      <c r="AL14" s="2507"/>
      <c r="AM14" s="2508"/>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6" customFormat="1" ht="27">
      <c r="A15" s="2488" t="s">
        <v>2393</v>
      </c>
      <c r="B15" s="2491" t="s">
        <v>534</v>
      </c>
      <c r="C15" s="2492" t="s">
        <v>2097</v>
      </c>
      <c r="D15" s="2055"/>
      <c r="E15" s="2049"/>
      <c r="F15" s="362"/>
      <c r="G15" s="363"/>
      <c r="H15" s="2493"/>
      <c r="I15" s="2493"/>
      <c r="J15" s="2493"/>
      <c r="K15" s="2494">
        <f>SUMIF('数据-汇总表'!C$19:C$33,A15,'数据-汇总表'!E$19:E$33)</f>
        <v>0</v>
      </c>
      <c r="L15" s="2495"/>
      <c r="M15" s="365"/>
      <c r="N15" s="2496"/>
      <c r="O15" s="365"/>
      <c r="P15" s="366"/>
      <c r="Q15" s="2497"/>
      <c r="R15" s="367"/>
      <c r="S15" s="343"/>
      <c r="T15" s="2888"/>
      <c r="U15" s="1133"/>
      <c r="V15" s="2499"/>
      <c r="W15" s="2499"/>
      <c r="X15" s="2500"/>
      <c r="Y15" s="2501"/>
      <c r="Z15" s="2502"/>
      <c r="AA15" s="2503"/>
      <c r="AB15" s="2503"/>
      <c r="AC15" s="2504"/>
      <c r="AD15" s="2500"/>
      <c r="AE15" s="2505"/>
      <c r="AF15" s="344"/>
      <c r="AG15" s="478"/>
      <c r="AH15" s="2505"/>
      <c r="AI15" s="2509"/>
      <c r="AJ15" s="1322"/>
      <c r="AK15" s="2506"/>
      <c r="AL15" s="2507"/>
      <c r="AM15" s="2508"/>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6" customFormat="1" ht="15.75" thickBot="1">
      <c r="A16" s="64" t="s">
        <v>4</v>
      </c>
      <c r="B16" s="65"/>
      <c r="C16" s="66"/>
      <c r="D16" s="67"/>
      <c r="E16" s="65"/>
      <c r="F16" s="387"/>
      <c r="G16" s="388">
        <f>ROUND(SUMPRODUCT(G6:G13,K6:K13)/SUMPRODUCT((G6:G13&gt;0)*(K6:K13)),3)</f>
        <v>0.80300000000000005</v>
      </c>
      <c r="H16" s="389">
        <f>ROUND(SUMPRODUCT(H6:H13,K6:K13)/SUMPRODUCT((H6:H13&gt;0)*(K6:K13)),3)</f>
        <v>0.05</v>
      </c>
      <c r="I16" s="390"/>
      <c r="J16" s="390"/>
      <c r="K16" s="391">
        <f>SUM(K6:K15)</f>
        <v>2099.0100000000002</v>
      </c>
      <c r="L16" s="392">
        <f>ROUND(M16*10000/SUM(K6:K14),0)</f>
        <v>3001</v>
      </c>
      <c r="M16" s="392">
        <f>SUM(M6:M14)</f>
        <v>630</v>
      </c>
      <c r="N16" s="393">
        <f>ROUND(SUMPRODUCT(M6:M14,N6:N14)/M16,3)</f>
        <v>0.65</v>
      </c>
      <c r="O16" s="392">
        <f>SUM(O6:O14)</f>
        <v>0</v>
      </c>
      <c r="P16" s="392">
        <f>SUM(P6:P14)</f>
        <v>0</v>
      </c>
      <c r="Q16" s="394">
        <f>ROUND(SUMPRODUCT(Q6:Q13,K6:K13)/SUMPRODUCT((Q6:Q13&gt;0)*(K6:K13)),2)</f>
        <v>0.2</v>
      </c>
      <c r="R16" s="2498">
        <f ca="1">SUM(R6:R13)</f>
        <v>215.3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4"/>
      <c r="B17" s="1193"/>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5"/>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2409</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3">
        <v>2</v>
      </c>
      <c r="C20" s="2231" t="s">
        <v>2410</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3">
        <v>2</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4">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4">
        <f>B19+B21</f>
        <v>2</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7"/>
      <c r="B25" s="1195"/>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5" customFormat="1" ht="27">
      <c r="A27" s="73" t="s">
        <v>708</v>
      </c>
      <c r="B27" s="406">
        <v>190</v>
      </c>
      <c r="C27" s="2526"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5" customFormat="1" ht="27">
      <c r="A28" s="74" t="s">
        <v>710</v>
      </c>
      <c r="B28" s="409">
        <v>200</v>
      </c>
      <c r="C28" s="2527"/>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5" customFormat="1" ht="27.75" thickBot="1">
      <c r="A29" s="280" t="s">
        <v>2688</v>
      </c>
      <c r="B29" s="411"/>
      <c r="C29" s="2526" t="s">
        <v>2689</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5" customFormat="1" ht="27">
      <c r="A30" s="279" t="s">
        <v>711</v>
      </c>
      <c r="B30" s="1134">
        <v>200</v>
      </c>
      <c r="C30" s="2527"/>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5" customFormat="1" ht="27">
      <c r="A31" s="74" t="s">
        <v>712</v>
      </c>
      <c r="B31" s="410">
        <f>B30-B32</f>
        <v>200</v>
      </c>
      <c r="C31" s="2526"/>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5" customFormat="1" ht="27.75" thickBot="1">
      <c r="A32" s="76" t="s">
        <v>713</v>
      </c>
      <c r="B32" s="1135">
        <v>0</v>
      </c>
      <c r="C32" s="2527"/>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5" customFormat="1" ht="13.5">
      <c r="A33" s="73" t="s">
        <v>714</v>
      </c>
      <c r="B33" s="1136">
        <v>0.05</v>
      </c>
      <c r="C33" s="3285" t="s">
        <v>3000</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5" customFormat="1" ht="13.5">
      <c r="A34" s="74" t="s">
        <v>715</v>
      </c>
      <c r="B34" s="412">
        <v>0</v>
      </c>
      <c r="C34" s="3285" t="s">
        <v>3001</v>
      </c>
      <c r="D34" s="2232" t="s">
        <v>716</v>
      </c>
      <c r="E34" s="1193"/>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5" customFormat="1" ht="13.5">
      <c r="A35" s="74" t="s">
        <v>717</v>
      </c>
      <c r="B35" s="409">
        <v>200</v>
      </c>
      <c r="C35" s="3285" t="s">
        <v>3002</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718</v>
      </c>
      <c r="B36" s="413">
        <v>1.4999999999999999E-2</v>
      </c>
      <c r="C36" s="3285" t="s">
        <v>3003</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719</v>
      </c>
      <c r="B37" s="414">
        <v>0.02</v>
      </c>
      <c r="C37" s="3285" t="s">
        <v>3004</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2">
        <v>0.02</v>
      </c>
      <c r="C38" s="3285" t="s">
        <v>3004</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2538</v>
      </c>
      <c r="B39" s="699">
        <f ca="1">存贷款利率!I1</f>
        <v>1.4999999999999999E-2</v>
      </c>
      <c r="C39" s="2528"/>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2614</v>
      </c>
      <c r="B40" s="2634">
        <f ca="1">存贷款利率!G1</f>
        <v>4.7500000000000001E-2</v>
      </c>
      <c r="C40" s="2528" t="s">
        <v>539</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5">
        <f>B42+B43</f>
        <v>5.6000000000000001E-2</v>
      </c>
      <c r="C41" s="2526"/>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6" t="s">
        <v>722</v>
      </c>
      <c r="B42" s="416">
        <v>0.05</v>
      </c>
      <c r="C42" s="3310">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6" t="s">
        <v>723</v>
      </c>
      <c r="B43" s="417">
        <f>B42*(B44+B45+B46)+B47</f>
        <v>6.000000000000001E-3</v>
      </c>
      <c r="C43" s="2526"/>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8">
        <v>7.0000000000000007E-2</v>
      </c>
      <c r="C44" s="3285" t="s">
        <v>3006</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6">
        <v>0.03</v>
      </c>
      <c r="C45" s="3286" t="s">
        <v>3005</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6">
        <v>0.02</v>
      </c>
      <c r="C46" s="3286" t="s">
        <v>3032</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727</v>
      </c>
      <c r="B47" s="419"/>
      <c r="C47" s="2526"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729</v>
      </c>
      <c r="B48" s="420"/>
      <c r="C48" s="3308" t="s">
        <v>3033</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6"/>
      <c r="C49" s="3308" t="s">
        <v>3034</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731</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732</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733</v>
      </c>
      <c r="B52" s="423">
        <f>SUMIF(A54:A63,B53,B54:B63)</f>
        <v>18</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1454</v>
      </c>
      <c r="C53" s="2233" t="s">
        <v>3007</v>
      </c>
      <c r="D53" s="2236" t="s">
        <v>3011</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v>30</v>
      </c>
      <c r="C54" s="2850">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v>24</v>
      </c>
      <c r="C55" s="2850">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v>18</v>
      </c>
      <c r="C56" s="2850">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v>12</v>
      </c>
      <c r="C57" s="2850">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v>3</v>
      </c>
      <c r="C58" s="2850">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v>1.5</v>
      </c>
      <c r="C59" s="2850">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1175</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3008</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3009</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3010</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3"/>
      <c r="D64" s="2242"/>
      <c r="K64" s="2243"/>
      <c r="L64" s="2243"/>
    </row>
    <row r="65" spans="1:12" s="2241" customFormat="1">
      <c r="A65" s="1453"/>
      <c r="D65" s="2242"/>
      <c r="K65" s="2243"/>
      <c r="L65" s="2243"/>
    </row>
    <row r="66" spans="1:12" s="2241" customFormat="1">
      <c r="A66" s="1453"/>
      <c r="D66" s="2242"/>
      <c r="K66" s="2243"/>
      <c r="L66" s="2243"/>
    </row>
    <row r="67" spans="1:12" s="2241" customFormat="1">
      <c r="A67" s="1453"/>
      <c r="D67" s="2242"/>
      <c r="K67" s="2243"/>
      <c r="L67" s="2243"/>
    </row>
    <row r="68" spans="1:12" s="2241" customFormat="1">
      <c r="A68" s="1453"/>
      <c r="D68" s="2242"/>
      <c r="K68" s="2243"/>
      <c r="L68" s="2243"/>
    </row>
    <row r="69" spans="1:12" s="2241" customFormat="1">
      <c r="A69" s="1453"/>
      <c r="D69" s="2242"/>
      <c r="K69" s="2243"/>
      <c r="L69" s="2243"/>
    </row>
    <row r="70" spans="1:12" s="2241" customFormat="1">
      <c r="A70" s="1453"/>
      <c r="D70" s="2242"/>
      <c r="K70" s="2243"/>
      <c r="L70" s="2243"/>
    </row>
    <row r="71" spans="1:12" s="2241" customFormat="1">
      <c r="A71" s="1453"/>
      <c r="D71" s="2242"/>
      <c r="K71" s="2243"/>
      <c r="L71" s="2243"/>
    </row>
    <row r="72" spans="1:12" s="2241" customFormat="1">
      <c r="A72" s="1453"/>
      <c r="D72" s="2242"/>
      <c r="K72" s="2243"/>
      <c r="L72" s="2243"/>
    </row>
    <row r="73" spans="1:12" s="2241" customFormat="1">
      <c r="A73" s="1453"/>
      <c r="D73" s="2242"/>
      <c r="K73" s="2243"/>
      <c r="L73" s="2243"/>
    </row>
    <row r="74" spans="1:12" s="2241" customFormat="1">
      <c r="A74" s="1453"/>
      <c r="D74" s="2242"/>
      <c r="K74" s="2243"/>
      <c r="L74" s="2243"/>
    </row>
    <row r="75" spans="1:12" s="2241" customFormat="1">
      <c r="A75" s="1453"/>
      <c r="D75" s="2242"/>
      <c r="K75" s="2243"/>
      <c r="L75" s="2243"/>
    </row>
    <row r="76" spans="1:12" s="2241" customFormat="1">
      <c r="A76" s="1453"/>
      <c r="D76" s="2242"/>
      <c r="K76" s="2243"/>
      <c r="L76" s="2243"/>
    </row>
    <row r="77" spans="1:12" s="2241" customFormat="1">
      <c r="A77" s="1453"/>
      <c r="D77" s="2242"/>
      <c r="K77" s="2243"/>
      <c r="L77" s="2243"/>
    </row>
    <row r="78" spans="1:12" s="2241" customFormat="1">
      <c r="A78" s="1453"/>
      <c r="D78" s="2242"/>
      <c r="K78" s="2243"/>
      <c r="L78" s="2243"/>
    </row>
    <row r="79" spans="1:12" s="2241" customFormat="1">
      <c r="A79" s="1453"/>
      <c r="D79" s="2242"/>
      <c r="K79" s="2243"/>
      <c r="L79" s="2243"/>
    </row>
    <row r="80" spans="1:12" s="2241" customFormat="1">
      <c r="A80" s="1453"/>
      <c r="D80" s="2242"/>
      <c r="K80" s="2243"/>
      <c r="L80" s="2243"/>
    </row>
    <row r="81" spans="1:12" s="2241" customFormat="1">
      <c r="A81" s="1453"/>
      <c r="D81" s="2242"/>
      <c r="K81" s="2243"/>
      <c r="L81" s="2243"/>
    </row>
    <row r="82" spans="1:12" s="2241" customFormat="1">
      <c r="A82" s="1453"/>
      <c r="D82" s="2242"/>
      <c r="K82" s="2243"/>
      <c r="L82" s="2243"/>
    </row>
    <row r="83" spans="1:12" s="2241" customFormat="1">
      <c r="A83" s="1453"/>
      <c r="D83" s="2242"/>
      <c r="K83" s="2243"/>
      <c r="L83" s="2243"/>
    </row>
    <row r="84" spans="1:12" s="2241" customFormat="1">
      <c r="A84" s="1453"/>
      <c r="D84" s="2242"/>
      <c r="K84" s="2243"/>
      <c r="L84" s="2243"/>
    </row>
    <row r="85" spans="1:12" s="2241" customFormat="1">
      <c r="A85" s="1453"/>
      <c r="D85" s="2242"/>
      <c r="K85" s="2243"/>
      <c r="L85" s="2243"/>
    </row>
    <row r="86" spans="1:12" s="2241" customFormat="1">
      <c r="A86" s="1453"/>
      <c r="D86" s="2242"/>
      <c r="K86" s="2243"/>
      <c r="L86" s="2243"/>
    </row>
    <row r="87" spans="1:12" s="2241" customFormat="1">
      <c r="A87" s="1453"/>
      <c r="D87" s="2242"/>
      <c r="K87" s="2243"/>
      <c r="L87" s="2243"/>
    </row>
    <row r="88" spans="1:12" s="2241" customFormat="1">
      <c r="A88" s="1453"/>
      <c r="D88" s="2242"/>
      <c r="K88" s="2243"/>
      <c r="L88" s="2243"/>
    </row>
    <row r="89" spans="1:12" s="2241" customFormat="1">
      <c r="A89" s="1453"/>
      <c r="D89" s="2242"/>
      <c r="K89" s="2243"/>
      <c r="L89" s="2243"/>
    </row>
    <row r="90" spans="1:12" s="2241" customFormat="1">
      <c r="A90" s="1453"/>
      <c r="D90" s="2242"/>
      <c r="K90" s="2243"/>
      <c r="L90" s="2243"/>
    </row>
    <row r="91" spans="1:12" s="2241" customFormat="1">
      <c r="A91" s="1453"/>
      <c r="D91" s="2242"/>
      <c r="K91" s="2243"/>
      <c r="L91" s="2243"/>
    </row>
    <row r="92" spans="1:12" s="2241" customFormat="1">
      <c r="A92" s="1453"/>
      <c r="D92" s="2242"/>
      <c r="K92" s="2243"/>
      <c r="L92" s="2243"/>
    </row>
    <row r="93" spans="1:12" s="2241" customFormat="1">
      <c r="A93" s="1453"/>
      <c r="D93" s="2242"/>
      <c r="K93" s="2243"/>
      <c r="L93" s="2243"/>
    </row>
    <row r="94" spans="1:12" s="2241" customFormat="1">
      <c r="A94" s="1453"/>
      <c r="D94" s="2242"/>
      <c r="K94" s="2243"/>
      <c r="L94" s="2243"/>
    </row>
    <row r="95" spans="1:12" s="2241" customFormat="1">
      <c r="A95" s="1453"/>
      <c r="D95" s="2242"/>
      <c r="K95" s="2243"/>
      <c r="L95" s="2243"/>
    </row>
    <row r="96" spans="1:12" s="2241" customFormat="1">
      <c r="A96" s="1453"/>
      <c r="D96" s="2242"/>
      <c r="K96" s="2243"/>
      <c r="L96" s="2243"/>
    </row>
    <row r="97" spans="1:12" s="2241" customFormat="1">
      <c r="A97" s="1453"/>
      <c r="D97" s="2242"/>
      <c r="K97" s="2243"/>
      <c r="L97" s="2243"/>
    </row>
    <row r="98" spans="1:12" s="2241" customFormat="1">
      <c r="A98" s="1453"/>
      <c r="D98" s="2242"/>
      <c r="K98" s="2243"/>
      <c r="L98" s="2243"/>
    </row>
    <row r="99" spans="1:12" s="2241" customFormat="1">
      <c r="A99" s="1453"/>
      <c r="D99" s="2242"/>
      <c r="K99" s="2243"/>
      <c r="L99" s="2243"/>
    </row>
    <row r="100" spans="1:12" s="2241" customFormat="1">
      <c r="A100" s="1453"/>
      <c r="D100" s="2242"/>
      <c r="K100" s="2243"/>
      <c r="L100" s="2243"/>
    </row>
    <row r="101" spans="1:12" s="2241" customFormat="1">
      <c r="A101" s="1453"/>
      <c r="D101" s="2242"/>
      <c r="K101" s="2243"/>
      <c r="L101" s="2243"/>
    </row>
    <row r="102" spans="1:12" s="2241" customFormat="1">
      <c r="A102" s="1453"/>
      <c r="D102" s="2242"/>
      <c r="K102" s="2243"/>
      <c r="L102" s="2243"/>
    </row>
    <row r="103" spans="1:12" s="2241" customFormat="1">
      <c r="A103" s="1453"/>
      <c r="D103" s="2242"/>
      <c r="K103" s="2243"/>
      <c r="L103" s="2243"/>
    </row>
    <row r="104" spans="1:12" s="2241" customFormat="1">
      <c r="A104" s="1453"/>
      <c r="D104" s="2242"/>
      <c r="K104" s="2243"/>
      <c r="L104" s="2243"/>
    </row>
    <row r="105" spans="1:12" s="2241" customFormat="1">
      <c r="A105" s="1453"/>
      <c r="D105" s="2242"/>
      <c r="K105" s="2243"/>
      <c r="L105" s="2243"/>
    </row>
    <row r="106" spans="1:12" s="2241" customFormat="1">
      <c r="A106" s="1453"/>
      <c r="D106" s="2242"/>
      <c r="K106" s="2243"/>
      <c r="L106" s="2243"/>
    </row>
    <row r="107" spans="1:12" s="2241" customFormat="1">
      <c r="A107" s="1453"/>
      <c r="D107" s="2242"/>
      <c r="K107" s="2243"/>
      <c r="L107" s="2243"/>
    </row>
    <row r="108" spans="1:12" s="2241" customFormat="1">
      <c r="A108" s="1453"/>
      <c r="D108" s="2242"/>
      <c r="K108" s="2243"/>
      <c r="L108" s="2243"/>
    </row>
    <row r="109" spans="1:12" s="2241" customFormat="1">
      <c r="A109" s="1453"/>
      <c r="D109" s="2242"/>
      <c r="K109" s="2243"/>
      <c r="L109" s="2243"/>
    </row>
    <row r="110" spans="1:12" s="2241" customFormat="1">
      <c r="A110" s="1453"/>
      <c r="D110" s="2242"/>
      <c r="K110" s="2243"/>
      <c r="L110" s="2243"/>
    </row>
    <row r="111" spans="1:12" s="2241" customFormat="1">
      <c r="A111" s="1453"/>
      <c r="D111" s="2242"/>
      <c r="K111" s="2243"/>
      <c r="L111" s="2243"/>
    </row>
    <row r="112" spans="1:12" s="2241" customFormat="1">
      <c r="A112" s="1453"/>
      <c r="D112" s="2242"/>
      <c r="K112" s="2243"/>
      <c r="L112" s="2243"/>
    </row>
    <row r="113" spans="1:12" s="2241" customFormat="1">
      <c r="A113" s="1453"/>
      <c r="D113" s="2242"/>
      <c r="K113" s="2243"/>
      <c r="L113" s="2243"/>
    </row>
    <row r="114" spans="1:12" s="2241" customFormat="1">
      <c r="A114" s="1453"/>
      <c r="D114" s="2242"/>
      <c r="K114" s="2243"/>
      <c r="L114" s="2243"/>
    </row>
    <row r="115" spans="1:12" s="2241" customFormat="1">
      <c r="A115" s="1453"/>
      <c r="D115" s="2242"/>
      <c r="K115" s="2243"/>
      <c r="L115" s="2243"/>
    </row>
    <row r="116" spans="1:12" s="2241" customFormat="1">
      <c r="A116" s="1453"/>
      <c r="D116" s="2242"/>
      <c r="K116" s="2243"/>
      <c r="L116" s="2243"/>
    </row>
    <row r="117" spans="1:12" s="2241" customFormat="1">
      <c r="A117" s="1453"/>
      <c r="D117" s="2242"/>
      <c r="K117" s="2243"/>
      <c r="L117" s="2243"/>
    </row>
    <row r="118" spans="1:12" s="2241" customFormat="1">
      <c r="A118" s="1453"/>
      <c r="D118" s="2242"/>
      <c r="K118" s="2243"/>
      <c r="L118" s="2243"/>
    </row>
    <row r="119" spans="1:12" s="2241" customFormat="1">
      <c r="A119" s="1453"/>
      <c r="D119" s="2242"/>
      <c r="K119" s="2243"/>
      <c r="L119" s="2243"/>
    </row>
    <row r="120" spans="1:12" s="2241" customFormat="1">
      <c r="A120" s="1453"/>
      <c r="D120" s="2242"/>
      <c r="K120" s="2243"/>
      <c r="L120" s="2243"/>
    </row>
    <row r="121" spans="1:12" s="2241" customFormat="1">
      <c r="A121" s="1453"/>
      <c r="D121" s="2242"/>
      <c r="K121" s="2243"/>
      <c r="L121" s="2243"/>
    </row>
    <row r="122" spans="1:12" s="2241" customFormat="1">
      <c r="A122" s="1453"/>
      <c r="D122" s="2242"/>
      <c r="K122" s="2243"/>
      <c r="L122" s="2243"/>
    </row>
    <row r="123" spans="1:12" s="2241" customFormat="1">
      <c r="A123" s="1453"/>
      <c r="D123" s="2242"/>
      <c r="K123" s="2243"/>
      <c r="L123" s="2243"/>
    </row>
    <row r="124" spans="1:12" s="2241" customFormat="1">
      <c r="A124" s="1453"/>
      <c r="D124" s="2242"/>
      <c r="K124" s="2243"/>
      <c r="L124" s="2243"/>
    </row>
    <row r="125" spans="1:12" s="2241" customFormat="1">
      <c r="A125" s="1453"/>
      <c r="D125" s="2242"/>
      <c r="K125" s="2243"/>
      <c r="L125" s="2243"/>
    </row>
    <row r="126" spans="1:12" s="2241" customFormat="1">
      <c r="A126" s="1453"/>
      <c r="D126" s="2242"/>
      <c r="K126" s="2243"/>
      <c r="L126" s="2243"/>
    </row>
    <row r="127" spans="1:12" s="2241" customFormat="1">
      <c r="A127" s="1453"/>
      <c r="D127" s="2242"/>
      <c r="K127" s="2243"/>
      <c r="L127" s="2243"/>
    </row>
    <row r="128" spans="1:12" s="2241" customFormat="1">
      <c r="A128" s="1453"/>
      <c r="D128" s="2242"/>
      <c r="K128" s="2243"/>
      <c r="L128" s="2243"/>
    </row>
    <row r="129" spans="1:12" s="2241" customFormat="1">
      <c r="A129" s="1453"/>
      <c r="D129" s="2242"/>
      <c r="K129" s="2243"/>
      <c r="L129" s="2243"/>
    </row>
    <row r="130" spans="1:12" s="2241" customFormat="1">
      <c r="A130" s="1453"/>
      <c r="D130" s="2242"/>
      <c r="K130" s="2243"/>
      <c r="L130" s="2243"/>
    </row>
    <row r="131" spans="1:12" s="2241" customFormat="1">
      <c r="A131" s="1453"/>
      <c r="D131" s="2242"/>
      <c r="K131" s="2243"/>
      <c r="L131" s="2243"/>
    </row>
    <row r="132" spans="1:12" s="2241" customFormat="1">
      <c r="A132" s="1453"/>
      <c r="D132" s="2242"/>
      <c r="K132" s="2243"/>
      <c r="L132" s="2243"/>
    </row>
    <row r="133" spans="1:12" s="2241" customFormat="1">
      <c r="A133" s="1453"/>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81" t="s">
        <v>751</v>
      </c>
      <c r="B1" s="3482"/>
      <c r="C1" s="3482"/>
      <c r="D1" s="3482"/>
      <c r="E1" s="3482"/>
      <c r="F1" s="3482"/>
      <c r="G1" s="3482"/>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9"/>
      <c r="B2" s="1210"/>
      <c r="C2" s="1211" t="s">
        <v>752</v>
      </c>
      <c r="D2" s="1212"/>
      <c r="E2" s="1213"/>
      <c r="F2" s="1200"/>
      <c r="G2" s="1211" t="s">
        <v>753</v>
      </c>
      <c r="H2" s="2254"/>
      <c r="I2" s="2254"/>
      <c r="J2" s="2254"/>
      <c r="K2" s="2254"/>
      <c r="L2" s="2254"/>
      <c r="M2" s="2254"/>
      <c r="N2" s="2254"/>
      <c r="O2" s="2254"/>
      <c r="P2" s="2254"/>
      <c r="Q2" s="2254"/>
      <c r="R2" s="2254"/>
    </row>
    <row r="3" spans="1:29" ht="54">
      <c r="A3" s="1021" t="s">
        <v>754</v>
      </c>
      <c r="B3" s="51" t="s">
        <v>52</v>
      </c>
      <c r="C3" s="3287" t="s">
        <v>755</v>
      </c>
      <c r="D3" s="2255"/>
      <c r="E3" s="1030" t="s">
        <v>754</v>
      </c>
      <c r="F3" s="1214" t="s">
        <v>99</v>
      </c>
      <c r="G3" s="3291" t="s">
        <v>3014</v>
      </c>
      <c r="H3" s="2254"/>
      <c r="I3" s="2254"/>
      <c r="J3" s="2254"/>
      <c r="K3" s="2254"/>
      <c r="L3" s="2254"/>
      <c r="M3" s="2254"/>
      <c r="N3" s="2254"/>
      <c r="O3" s="2254"/>
      <c r="P3" s="2254"/>
      <c r="Q3" s="2254"/>
      <c r="R3" s="2254"/>
    </row>
    <row r="4" spans="1:29" ht="40.5">
      <c r="A4" s="1030"/>
      <c r="B4" s="2210" t="s">
        <v>756</v>
      </c>
      <c r="C4" s="3288" t="s">
        <v>757</v>
      </c>
      <c r="D4" s="2255"/>
      <c r="E4" s="1215"/>
      <c r="F4" s="2214" t="s">
        <v>758</v>
      </c>
      <c r="G4" s="3289" t="s">
        <v>759</v>
      </c>
      <c r="H4" s="2254"/>
      <c r="I4" s="2254"/>
      <c r="J4" s="2254"/>
      <c r="K4" s="2254"/>
      <c r="L4" s="2254"/>
      <c r="M4" s="2254"/>
      <c r="N4" s="2254"/>
      <c r="O4" s="2254"/>
      <c r="P4" s="2254"/>
      <c r="Q4" s="2254"/>
      <c r="R4" s="2254"/>
    </row>
    <row r="5" spans="1:29" ht="40.5">
      <c r="A5" s="1030"/>
      <c r="B5" s="2210" t="s">
        <v>760</v>
      </c>
      <c r="C5" s="3288" t="s">
        <v>761</v>
      </c>
      <c r="D5" s="2255"/>
      <c r="E5" s="1215"/>
      <c r="F5" s="2742" t="s">
        <v>2631</v>
      </c>
      <c r="G5" s="3289" t="s">
        <v>2633</v>
      </c>
      <c r="H5" s="2254"/>
      <c r="I5" s="2254"/>
      <c r="J5" s="2254"/>
      <c r="K5" s="2254"/>
      <c r="L5" s="2254"/>
      <c r="M5" s="2254"/>
      <c r="N5" s="2254"/>
      <c r="O5" s="2254"/>
      <c r="P5" s="2254"/>
      <c r="Q5" s="2254"/>
      <c r="R5" s="2254"/>
    </row>
    <row r="6" spans="1:29" ht="54">
      <c r="A6" s="1030"/>
      <c r="B6" s="2210" t="s">
        <v>72</v>
      </c>
      <c r="C6" s="3289" t="s">
        <v>735</v>
      </c>
      <c r="D6" s="2255"/>
      <c r="E6" s="1215"/>
      <c r="F6" s="2742" t="s">
        <v>2630</v>
      </c>
      <c r="G6" s="3289" t="s">
        <v>2632</v>
      </c>
      <c r="H6" s="2254"/>
      <c r="I6" s="2254"/>
      <c r="J6" s="2254"/>
      <c r="K6" s="2254"/>
      <c r="L6" s="2254"/>
      <c r="M6" s="2254"/>
      <c r="N6" s="2254"/>
      <c r="O6" s="2254"/>
      <c r="P6" s="2254"/>
      <c r="Q6" s="2254"/>
      <c r="R6" s="2254"/>
    </row>
    <row r="7" spans="1:29" ht="41.25" thickBot="1">
      <c r="A7" s="1030"/>
      <c r="B7" s="2210" t="s">
        <v>2631</v>
      </c>
      <c r="C7" s="3289" t="s">
        <v>2633</v>
      </c>
      <c r="D7" s="2256"/>
      <c r="E7" s="1216"/>
      <c r="F7" s="1217" t="s">
        <v>736</v>
      </c>
      <c r="G7" s="3292" t="s">
        <v>3015</v>
      </c>
      <c r="H7" s="2254"/>
      <c r="I7" s="2254"/>
      <c r="J7" s="2254"/>
      <c r="K7" s="2254"/>
      <c r="L7" s="2254"/>
      <c r="M7" s="2254"/>
      <c r="N7" s="2254"/>
      <c r="O7" s="2254"/>
      <c r="P7" s="2254"/>
      <c r="Q7" s="2254"/>
      <c r="R7" s="2254"/>
    </row>
    <row r="8" spans="1:29" ht="27">
      <c r="A8" s="1030"/>
      <c r="B8" s="2742" t="s">
        <v>2630</v>
      </c>
      <c r="C8" s="3289" t="s">
        <v>2632</v>
      </c>
      <c r="D8" s="2256"/>
      <c r="E8" s="2256"/>
      <c r="F8" s="2257"/>
      <c r="G8" s="2257"/>
      <c r="H8" s="2254"/>
      <c r="I8" s="2254"/>
      <c r="J8" s="2254"/>
      <c r="K8" s="2254"/>
      <c r="L8" s="2254"/>
      <c r="M8" s="2254"/>
      <c r="N8" s="2254"/>
      <c r="O8" s="2254"/>
      <c r="P8" s="2254"/>
      <c r="Q8" s="2254"/>
      <c r="R8" s="2254"/>
    </row>
    <row r="9" spans="1:29" ht="27">
      <c r="A9" s="1030"/>
      <c r="B9" s="2210" t="s">
        <v>73</v>
      </c>
      <c r="C9" s="3288" t="s">
        <v>737</v>
      </c>
      <c r="D9" s="2255"/>
      <c r="E9" s="2256"/>
      <c r="F9" s="2257"/>
      <c r="G9" s="2257"/>
      <c r="H9" s="2254"/>
      <c r="I9" s="2254"/>
      <c r="J9" s="2254"/>
      <c r="K9" s="2254"/>
      <c r="L9" s="2254"/>
      <c r="M9" s="2254"/>
      <c r="N9" s="2254"/>
      <c r="O9" s="2254"/>
      <c r="P9" s="2254"/>
      <c r="Q9" s="2254"/>
      <c r="R9" s="2254"/>
    </row>
    <row r="10" spans="1:29" s="40" customFormat="1" ht="14.25" thickBot="1">
      <c r="A10" s="1219"/>
      <c r="B10" s="1220" t="s">
        <v>738</v>
      </c>
      <c r="C10" s="3290"/>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8"/>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0"/>
      <c r="E12" s="2255"/>
      <c r="F12" s="2256"/>
      <c r="G12" s="1388"/>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39" t="s">
        <v>739</v>
      </c>
      <c r="B13" s="2740"/>
      <c r="C13" s="2740"/>
      <c r="D13" s="2253"/>
      <c r="E13" s="2740"/>
      <c r="F13" s="2740"/>
      <c r="G13" s="2740"/>
    </row>
    <row r="14" spans="1:29" ht="14.25" thickBot="1">
      <c r="A14" s="1221"/>
      <c r="B14" s="1222"/>
      <c r="C14" s="1223" t="s">
        <v>740</v>
      </c>
      <c r="D14" s="2255"/>
      <c r="E14" s="1224"/>
      <c r="F14" s="1224"/>
      <c r="G14" s="1211" t="s">
        <v>741</v>
      </c>
    </row>
    <row r="15" spans="1:29" ht="54">
      <c r="A15" s="46" t="s">
        <v>742</v>
      </c>
      <c r="B15" s="14" t="s">
        <v>52</v>
      </c>
      <c r="C15" s="1225" t="str">
        <f>C3</f>
        <v>估价对象周边居住用地比例、居住小区规模和社区发展完善程度，综合评价居住社区成熟度一般</v>
      </c>
      <c r="D15" s="2255"/>
      <c r="E15" s="2755" t="s">
        <v>743</v>
      </c>
      <c r="F15" s="14" t="s">
        <v>744</v>
      </c>
      <c r="G15" s="1023" t="str">
        <f>G3</f>
        <v>估价对象位于XX开发区，园区建设成熟度XX，产业集聚程度XX</v>
      </c>
    </row>
    <row r="16" spans="1:29" ht="40.5">
      <c r="A16" s="2758"/>
      <c r="B16" s="1226" t="s">
        <v>745</v>
      </c>
      <c r="C16" s="1227" t="str">
        <f>C4</f>
        <v>估价对象位于XX商圈，周边商业氛围成熟，人流量大，商业繁华度好</v>
      </c>
      <c r="D16" s="2255"/>
      <c r="E16" s="2756"/>
      <c r="F16" s="1228" t="s">
        <v>746</v>
      </c>
      <c r="G16" s="1025" t="str">
        <f>G4</f>
        <v>估价对象周边道路状况、公共交通通达情况、停车便捷程度，综合评价交通便捷度较好</v>
      </c>
    </row>
    <row r="17" spans="1:18" ht="40.5">
      <c r="A17" s="2758"/>
      <c r="B17" s="1226" t="s">
        <v>747</v>
      </c>
      <c r="C17" s="1227" t="str">
        <f>C5</f>
        <v>估价对象位于XX商圈，周边办公楼项目较多，入驻率高，办公集聚程度较好</v>
      </c>
      <c r="D17" s="2256"/>
      <c r="E17" s="2756"/>
      <c r="F17" s="1228" t="s">
        <v>748</v>
      </c>
      <c r="G17" s="271"/>
    </row>
    <row r="18" spans="1:18" ht="54">
      <c r="A18" s="2758"/>
      <c r="B18" s="1228" t="s">
        <v>72</v>
      </c>
      <c r="C18" s="1025" t="str">
        <f>C6</f>
        <v>估价对象周边道路状况、公共交通通达情况、停车便捷程度，综合评价交通便捷度较好</v>
      </c>
      <c r="D18" s="2256"/>
      <c r="E18" s="2756"/>
      <c r="F18" s="1228" t="s">
        <v>736</v>
      </c>
      <c r="G18" s="1025" t="str">
        <f>G7</f>
        <v>该园区内是否有污染型企业，绿化情况，卫生条件，整体环境状况判断</v>
      </c>
    </row>
    <row r="19" spans="1:18" ht="27">
      <c r="A19" s="2758"/>
      <c r="B19" s="1228" t="s">
        <v>91</v>
      </c>
      <c r="C19" s="271"/>
      <c r="D19" s="2255"/>
      <c r="E19" s="2756"/>
      <c r="F19" s="2742" t="s">
        <v>2631</v>
      </c>
      <c r="G19" s="1025" t="str">
        <f>G5</f>
        <v>估价对象所在区域公共配套设施齐备情况</v>
      </c>
    </row>
    <row r="20" spans="1:18" ht="27">
      <c r="A20" s="2758"/>
      <c r="B20" s="1228" t="s">
        <v>90</v>
      </c>
      <c r="C20" s="1227" t="str">
        <f>C9</f>
        <v>区域自然环境：；人文环境；综合评价环境状况一般</v>
      </c>
      <c r="D20" s="2256"/>
      <c r="E20" s="2756"/>
      <c r="F20" s="2742" t="s">
        <v>2630</v>
      </c>
      <c r="G20" s="1025" t="str">
        <f>G6</f>
        <v>估价对象所在区域基础设施水平</v>
      </c>
    </row>
    <row r="21" spans="1:18" ht="27">
      <c r="A21" s="2758"/>
      <c r="B21" s="2742" t="s">
        <v>2631</v>
      </c>
      <c r="C21" s="1025" t="str">
        <f>C7</f>
        <v>估价对象所在区域公共配套设施齐备情况</v>
      </c>
      <c r="D21" s="2255"/>
      <c r="E21" s="2756"/>
      <c r="F21" s="1228" t="s">
        <v>89</v>
      </c>
      <c r="G21" s="283"/>
    </row>
    <row r="22" spans="1:18" ht="13.5" customHeight="1">
      <c r="A22" s="2758"/>
      <c r="B22" s="2742" t="s">
        <v>2630</v>
      </c>
      <c r="C22" s="1025" t="str">
        <f>C8</f>
        <v>估价对象所在区域基础设施水平</v>
      </c>
      <c r="D22" s="2255"/>
      <c r="E22" s="2756"/>
      <c r="F22" s="1228" t="s">
        <v>749</v>
      </c>
      <c r="G22" s="271"/>
    </row>
    <row r="23" spans="1:18" s="2254" customFormat="1" ht="14.25" thickBot="1">
      <c r="A23" s="2758"/>
      <c r="B23" s="1228" t="s">
        <v>89</v>
      </c>
      <c r="C23" s="283"/>
      <c r="D23" s="2267"/>
      <c r="E23" s="2757"/>
      <c r="F23" s="1229" t="s">
        <v>750</v>
      </c>
      <c r="G23" s="284"/>
      <c r="H23" s="2267"/>
      <c r="I23" s="2268"/>
      <c r="J23" s="2267"/>
      <c r="K23" s="2267"/>
      <c r="L23" s="2268"/>
      <c r="M23" s="2267"/>
      <c r="N23" s="2267"/>
      <c r="O23" s="2268"/>
      <c r="P23" s="2267"/>
      <c r="Q23" s="2267"/>
      <c r="R23" s="2269"/>
    </row>
    <row r="24" spans="1:18" s="2254" customFormat="1" ht="14.25" thickBot="1">
      <c r="A24" s="2759"/>
      <c r="B24" s="1229" t="s">
        <v>88</v>
      </c>
      <c r="C24" s="1230">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 sqref="B2"/>
    </sheetView>
  </sheetViews>
  <sheetFormatPr defaultRowHeight="13.5"/>
  <cols>
    <col min="1" max="1" width="23.375" style="3247" customWidth="1"/>
    <col min="2" max="9" width="15.75" style="3247" customWidth="1"/>
    <col min="10" max="16384" width="9" style="3247"/>
  </cols>
  <sheetData>
    <row r="1" spans="1:10" ht="16.5">
      <c r="A1" s="3252" t="s">
        <v>2983</v>
      </c>
      <c r="B1" s="3252">
        <f>SUM(B14:B23)</f>
        <v>17166.170000000002</v>
      </c>
      <c r="C1" s="3251"/>
      <c r="D1" s="3251"/>
      <c r="E1" s="3251"/>
      <c r="F1" s="3251"/>
      <c r="G1" s="3249"/>
    </row>
    <row r="2" spans="1:10" ht="16.5">
      <c r="A2" s="3252" t="s">
        <v>2971</v>
      </c>
      <c r="B2" s="3252">
        <f>SUM(C14:C23)</f>
        <v>1760.75</v>
      </c>
      <c r="C2" s="3251"/>
      <c r="D2" s="3251"/>
      <c r="E2" s="3251"/>
      <c r="F2" s="3251"/>
      <c r="G2" s="3249"/>
    </row>
    <row r="3" spans="1:10" ht="16.5">
      <c r="A3" s="3252" t="s">
        <v>2980</v>
      </c>
      <c r="B3" s="3253">
        <f>项目基本情况!D3</f>
        <v>42963</v>
      </c>
      <c r="C3" s="3251"/>
      <c r="D3" s="3251"/>
      <c r="E3" s="3251"/>
      <c r="F3" s="3251"/>
      <c r="G3" s="3249"/>
    </row>
    <row r="4" spans="1:10" ht="33">
      <c r="A4" s="3252" t="s">
        <v>2979</v>
      </c>
      <c r="B4" s="3252" t="s">
        <v>2978</v>
      </c>
      <c r="C4" s="3252" t="s">
        <v>2977</v>
      </c>
      <c r="D4" s="3252" t="s">
        <v>2976</v>
      </c>
      <c r="E4" s="3251"/>
      <c r="F4" s="3249"/>
      <c r="G4" s="3249"/>
    </row>
    <row r="5" spans="1:10" ht="16.5">
      <c r="A5" s="3252" t="s">
        <v>2975</v>
      </c>
      <c r="B5" s="3252">
        <f ca="1">SUM(D14:D23)</f>
        <v>54457</v>
      </c>
      <c r="C5" s="3252">
        <f ca="1">ROUND(B5*10000/$B$1,0)</f>
        <v>31723</v>
      </c>
      <c r="D5" s="3252">
        <f ca="1">ROUND(B5*10000/$B$2,0)</f>
        <v>309283</v>
      </c>
      <c r="E5" s="3251"/>
      <c r="F5" s="3249"/>
      <c r="G5" s="3249"/>
    </row>
    <row r="6" spans="1:10" ht="16.5">
      <c r="A6" s="3252" t="s">
        <v>2974</v>
      </c>
      <c r="B6" s="3252">
        <f ca="1">SUM(G14:G23)</f>
        <v>54457</v>
      </c>
      <c r="C6" s="3252">
        <f ca="1">ROUND(B6*10000/$B$1,0)</f>
        <v>31723</v>
      </c>
      <c r="D6" s="3252">
        <f ca="1">ROUND(B6*10000/$B$2,0)</f>
        <v>309283</v>
      </c>
      <c r="E6" s="3251"/>
      <c r="F6" s="3249"/>
      <c r="G6" s="3249"/>
    </row>
    <row r="7" spans="1:10" ht="16.5">
      <c r="A7" s="3252" t="s">
        <v>2982</v>
      </c>
      <c r="B7" s="3252">
        <f>SUM(H14:H23)</f>
        <v>0</v>
      </c>
      <c r="C7" s="3252">
        <f>ROUND(B7*10000/$B$1,0)</f>
        <v>0</v>
      </c>
      <c r="D7" s="3252">
        <f>ROUND(B7*10000/$B$2,0)</f>
        <v>0</v>
      </c>
      <c r="E7" s="3251"/>
      <c r="F7" s="3249"/>
      <c r="G7" s="3249"/>
    </row>
    <row r="8" spans="1:10" ht="16.5">
      <c r="A8" s="3252" t="s">
        <v>2871</v>
      </c>
      <c r="B8" s="3252">
        <f>SUM(I14:I23)</f>
        <v>0</v>
      </c>
      <c r="C8" s="3252">
        <f>ROUND(B8*10000/$B$1,0)</f>
        <v>0</v>
      </c>
      <c r="D8" s="3252">
        <f>ROUND(B8*10000/$B$2,0)</f>
        <v>0</v>
      </c>
      <c r="E8" s="3251"/>
      <c r="F8" s="3249"/>
      <c r="G8" s="3249"/>
    </row>
    <row r="9" spans="1:10" ht="16.5">
      <c r="A9" s="3252" t="s">
        <v>2973</v>
      </c>
      <c r="B9" s="3254"/>
      <c r="C9" s="3251"/>
      <c r="D9" s="3251"/>
      <c r="E9" s="3251"/>
      <c r="F9" s="3249"/>
      <c r="G9" s="3249"/>
    </row>
    <row r="10" spans="1:10" ht="16.5">
      <c r="A10" s="3252" t="s">
        <v>2972</v>
      </c>
      <c r="B10" s="3254"/>
      <c r="C10" s="3251"/>
      <c r="D10" s="3251"/>
      <c r="E10" s="3251"/>
      <c r="F10" s="3249"/>
      <c r="G10" s="3249"/>
    </row>
    <row r="11" spans="1:10" ht="16.5">
      <c r="A11" s="3252" t="s">
        <v>2988</v>
      </c>
      <c r="B11" s="3254"/>
      <c r="C11" s="3251"/>
      <c r="D11" s="3251"/>
      <c r="E11" s="3251"/>
      <c r="F11" s="3249"/>
      <c r="G11" s="3249"/>
    </row>
    <row r="12" spans="1:10" ht="16.5">
      <c r="A12" s="3251"/>
      <c r="B12" s="3251"/>
      <c r="C12" s="3251"/>
      <c r="D12" s="3251"/>
      <c r="E12" s="3251"/>
      <c r="F12" s="3249"/>
      <c r="G12" s="3249"/>
    </row>
    <row r="13" spans="1:10" ht="33">
      <c r="A13" s="3257" t="s">
        <v>2987</v>
      </c>
      <c r="B13" s="3250" t="s">
        <v>2984</v>
      </c>
      <c r="C13" s="3250" t="s">
        <v>2986</v>
      </c>
      <c r="D13" s="3250" t="s">
        <v>2985</v>
      </c>
      <c r="E13" s="3252" t="s">
        <v>2977</v>
      </c>
      <c r="F13" s="3252" t="s">
        <v>2976</v>
      </c>
      <c r="G13" s="3250" t="s">
        <v>2970</v>
      </c>
      <c r="H13" s="3250" t="s">
        <v>2981</v>
      </c>
      <c r="I13" s="3250" t="s">
        <v>2969</v>
      </c>
      <c r="J13" s="3249"/>
    </row>
    <row r="14" spans="1:10" ht="16.5">
      <c r="A14" s="3248" t="s">
        <v>2968</v>
      </c>
      <c r="B14" s="3250">
        <f>'数据-汇总表'!E3</f>
        <v>2099.0100000000002</v>
      </c>
      <c r="C14" s="3250">
        <f>'数据-汇总表'!D3</f>
        <v>215.3</v>
      </c>
      <c r="D14" s="3250">
        <f ca="1">结果表!H118</f>
        <v>6914</v>
      </c>
      <c r="E14" s="3250">
        <f ca="1">ROUND(D14*10000/B14,0)</f>
        <v>32939</v>
      </c>
      <c r="F14" s="3250">
        <f ca="1">ROUND(D14*10000/C14,0)</f>
        <v>321133</v>
      </c>
      <c r="G14" s="3250">
        <f ca="1">结果表!D122</f>
        <v>6914</v>
      </c>
      <c r="H14" s="3250" t="str">
        <f>结果表!D124</f>
        <v>——</v>
      </c>
      <c r="I14" s="3250" t="str">
        <f>结果表!D126</f>
        <v>——</v>
      </c>
      <c r="J14" s="3249"/>
    </row>
    <row r="15" spans="1:10" ht="16.5">
      <c r="A15" s="3248" t="s">
        <v>2967</v>
      </c>
      <c r="B15" s="3255">
        <v>9446.2300000000014</v>
      </c>
      <c r="C15" s="3255">
        <v>968.8900000000001</v>
      </c>
      <c r="D15" s="3255">
        <v>29934</v>
      </c>
      <c r="E15" s="3250">
        <f t="shared" ref="E15:E23" si="0">ROUND(D15*10000/B15,0)</f>
        <v>31689</v>
      </c>
      <c r="F15" s="3250">
        <f t="shared" ref="F15:F23" si="1">ROUND(D15*10000/C15,0)</f>
        <v>308951</v>
      </c>
      <c r="G15" s="3256">
        <f>D15</f>
        <v>29934</v>
      </c>
      <c r="H15" s="3256"/>
      <c r="I15" s="3255"/>
      <c r="J15" s="3249"/>
    </row>
    <row r="16" spans="1:10" ht="16.5">
      <c r="A16" s="3248" t="s">
        <v>2966</v>
      </c>
      <c r="B16" s="3255">
        <v>5620.93</v>
      </c>
      <c r="C16" s="3255">
        <v>576.55999999999995</v>
      </c>
      <c r="D16" s="3255">
        <v>17609</v>
      </c>
      <c r="E16" s="3250">
        <f t="shared" si="0"/>
        <v>31328</v>
      </c>
      <c r="F16" s="3250">
        <f t="shared" si="1"/>
        <v>305415</v>
      </c>
      <c r="G16" s="3391">
        <f>D16</f>
        <v>17609</v>
      </c>
      <c r="H16" s="3256"/>
      <c r="I16" s="3255"/>
    </row>
    <row r="17" spans="1:9" ht="16.5">
      <c r="A17" s="3248" t="s">
        <v>2965</v>
      </c>
      <c r="B17" s="3255"/>
      <c r="C17" s="3255"/>
      <c r="D17" s="3255"/>
      <c r="E17" s="3250" t="e">
        <f t="shared" si="0"/>
        <v>#DIV/0!</v>
      </c>
      <c r="F17" s="3250" t="e">
        <f t="shared" si="1"/>
        <v>#DIV/0!</v>
      </c>
      <c r="G17" s="3256"/>
      <c r="H17" s="3256"/>
      <c r="I17" s="3255"/>
    </row>
    <row r="18" spans="1:9" ht="16.5">
      <c r="A18" s="3248" t="s">
        <v>2964</v>
      </c>
      <c r="B18" s="3255"/>
      <c r="C18" s="3255"/>
      <c r="D18" s="3255"/>
      <c r="E18" s="3250" t="e">
        <f t="shared" si="0"/>
        <v>#DIV/0!</v>
      </c>
      <c r="F18" s="3250" t="e">
        <f t="shared" si="1"/>
        <v>#DIV/0!</v>
      </c>
      <c r="G18" s="3255"/>
      <c r="H18" s="3255"/>
      <c r="I18" s="3255"/>
    </row>
    <row r="19" spans="1:9" ht="16.5">
      <c r="A19" s="3248" t="s">
        <v>2963</v>
      </c>
      <c r="B19" s="3255"/>
      <c r="C19" s="3255"/>
      <c r="D19" s="3255"/>
      <c r="E19" s="3250" t="e">
        <f t="shared" si="0"/>
        <v>#DIV/0!</v>
      </c>
      <c r="F19" s="3250" t="e">
        <f t="shared" si="1"/>
        <v>#DIV/0!</v>
      </c>
      <c r="G19" s="3255"/>
      <c r="H19" s="3255"/>
      <c r="I19" s="3255"/>
    </row>
    <row r="20" spans="1:9" ht="16.5">
      <c r="A20" s="3248" t="s">
        <v>2962</v>
      </c>
      <c r="B20" s="3255"/>
      <c r="C20" s="3255"/>
      <c r="D20" s="3255"/>
      <c r="E20" s="3250" t="e">
        <f t="shared" si="0"/>
        <v>#DIV/0!</v>
      </c>
      <c r="F20" s="3250" t="e">
        <f t="shared" si="1"/>
        <v>#DIV/0!</v>
      </c>
      <c r="G20" s="3255"/>
      <c r="H20" s="3255"/>
      <c r="I20" s="3255"/>
    </row>
    <row r="21" spans="1:9" ht="16.5">
      <c r="A21" s="3248" t="s">
        <v>2961</v>
      </c>
      <c r="B21" s="3255"/>
      <c r="C21" s="3255"/>
      <c r="D21" s="3255"/>
      <c r="E21" s="3250" t="e">
        <f t="shared" si="0"/>
        <v>#DIV/0!</v>
      </c>
      <c r="F21" s="3250" t="e">
        <f t="shared" si="1"/>
        <v>#DIV/0!</v>
      </c>
      <c r="G21" s="3255"/>
      <c r="H21" s="3255"/>
      <c r="I21" s="3255"/>
    </row>
    <row r="22" spans="1:9" ht="16.5">
      <c r="A22" s="3248" t="s">
        <v>2960</v>
      </c>
      <c r="B22" s="3255"/>
      <c r="C22" s="3255"/>
      <c r="D22" s="3255"/>
      <c r="E22" s="3250" t="e">
        <f t="shared" si="0"/>
        <v>#DIV/0!</v>
      </c>
      <c r="F22" s="3250" t="e">
        <f t="shared" si="1"/>
        <v>#DIV/0!</v>
      </c>
      <c r="G22" s="3255"/>
      <c r="H22" s="3255"/>
      <c r="I22" s="3255"/>
    </row>
    <row r="23" spans="1:9" ht="16.5">
      <c r="A23" s="3248" t="s">
        <v>2959</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0"/>
  <sheetViews>
    <sheetView workbookViewId="0">
      <selection activeCell="D21" sqref="D21"/>
    </sheetView>
  </sheetViews>
  <sheetFormatPr defaultRowHeight="13.5"/>
  <sheetData>
    <row r="1" spans="1:3">
      <c r="A1" s="3255">
        <v>390.54</v>
      </c>
      <c r="B1" s="3255">
        <v>40.06</v>
      </c>
      <c r="C1" s="3255">
        <v>1338</v>
      </c>
    </row>
    <row r="2" spans="1:3">
      <c r="A2" s="3255">
        <v>1136.8499999999999</v>
      </c>
      <c r="B2" s="3255">
        <v>116.6</v>
      </c>
      <c r="C2" s="3255">
        <v>3820</v>
      </c>
    </row>
    <row r="3" spans="1:3">
      <c r="A3" s="3255">
        <v>522.15</v>
      </c>
      <c r="B3" s="3255">
        <v>53.55</v>
      </c>
      <c r="C3" s="3255">
        <v>1807</v>
      </c>
    </row>
    <row r="4" spans="1:3">
      <c r="A4" s="3255">
        <v>747.51</v>
      </c>
      <c r="B4" s="3255">
        <v>76.67</v>
      </c>
      <c r="C4" s="3255">
        <v>2587</v>
      </c>
    </row>
    <row r="5" spans="1:3">
      <c r="A5" s="3255">
        <v>659.19</v>
      </c>
      <c r="B5" s="3255">
        <v>67.61</v>
      </c>
      <c r="C5" s="3255">
        <v>2281</v>
      </c>
    </row>
    <row r="6" spans="1:3">
      <c r="A6" s="3255">
        <v>525.14</v>
      </c>
      <c r="B6" s="3255">
        <v>53.87</v>
      </c>
      <c r="C6" s="3255">
        <v>1817</v>
      </c>
    </row>
    <row r="7" spans="1:3">
      <c r="A7" s="3255">
        <v>1776.4</v>
      </c>
      <c r="B7" s="3255">
        <v>182.21</v>
      </c>
      <c r="C7" s="3255">
        <v>6028</v>
      </c>
    </row>
    <row r="8" spans="1:3">
      <c r="A8" s="3255">
        <v>1677.77</v>
      </c>
      <c r="B8" s="3255">
        <v>172.09</v>
      </c>
      <c r="C8" s="3255">
        <v>5805</v>
      </c>
    </row>
    <row r="9" spans="1:3">
      <c r="A9" s="3255">
        <v>2010.68</v>
      </c>
      <c r="B9" s="3255">
        <v>206.23</v>
      </c>
      <c r="C9" s="3255">
        <v>4451</v>
      </c>
    </row>
    <row r="10" spans="1:3">
      <c r="A10">
        <f>SUM(A1:A9)</f>
        <v>9446.2300000000014</v>
      </c>
      <c r="B10">
        <f t="shared" ref="B10:C10" si="0">SUM(B1:B9)</f>
        <v>968.8900000000001</v>
      </c>
      <c r="C10">
        <f t="shared" si="0"/>
        <v>29934</v>
      </c>
    </row>
  </sheetData>
  <phoneticPr fontId="20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D120" sqref="D120:I12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762</v>
      </c>
      <c r="B1" s="1243"/>
      <c r="C1" s="2096" t="s">
        <v>141</v>
      </c>
      <c r="D1" s="1243"/>
      <c r="E1" s="1243"/>
      <c r="F1" s="2080" t="s">
        <v>2106</v>
      </c>
      <c r="G1" s="2053" t="s">
        <v>3073</v>
      </c>
      <c r="H1" s="2109" t="str">
        <f>IF(G1="现房","——","估价对象范围")</f>
        <v>——</v>
      </c>
      <c r="I1" s="2086"/>
    </row>
    <row r="2" spans="1:12" ht="21.75" customHeight="1" thickBot="1">
      <c r="A2" s="3560" t="str">
        <f>项目基本情况!S2</f>
        <v>北京市朝阳区亮马桥路32号房地产</v>
      </c>
      <c r="B2" s="3561"/>
      <c r="C2" s="3561"/>
      <c r="D2" s="3561"/>
      <c r="E2" s="3561"/>
      <c r="F2" s="3561"/>
      <c r="G2" s="3561"/>
      <c r="H2" s="3561"/>
      <c r="I2" s="3562"/>
    </row>
    <row r="3" spans="1:12" ht="12">
      <c r="A3" s="3564" t="s">
        <v>10</v>
      </c>
      <c r="B3" s="3565"/>
      <c r="C3" s="3565"/>
      <c r="D3" s="3565"/>
      <c r="E3" s="3565"/>
      <c r="F3" s="3565"/>
      <c r="G3" s="3565"/>
      <c r="H3" s="3565"/>
      <c r="I3" s="3565"/>
    </row>
    <row r="4" spans="1:12" ht="13.5">
      <c r="A4" s="429" t="s">
        <v>11</v>
      </c>
      <c r="B4" s="430" t="s">
        <v>12</v>
      </c>
      <c r="C4" s="431" t="s">
        <v>3174</v>
      </c>
      <c r="D4" s="431" t="s">
        <v>3122</v>
      </c>
      <c r="E4" s="3569" t="s">
        <v>763</v>
      </c>
      <c r="F4" s="3570"/>
      <c r="G4" s="3570"/>
      <c r="H4" s="3570"/>
      <c r="I4" s="3571"/>
      <c r="K4" s="2182" t="str">
        <f>IF(ISNUMBER(FIND("比较法",结果表!C4)),"比较法",IF(ISNUMBER(FIND("成本法",结果表!C4)),"成本法",IF(ISNUMBER(FIND("假设开发法",结果表!C4)),"假设开发法",IF(ISNUMBER(FIND("收益法",结果表!C4)),"收益法","基准地价系数修正法"))))</f>
        <v>比较法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535" t="s">
        <v>13</v>
      </c>
      <c r="B5" s="3563">
        <v>25</v>
      </c>
      <c r="C5" s="3566"/>
      <c r="D5" s="3553"/>
      <c r="E5" s="471" t="s">
        <v>807</v>
      </c>
      <c r="F5" s="432"/>
      <c r="G5" s="432"/>
      <c r="H5" s="432"/>
      <c r="I5" s="433"/>
    </row>
    <row r="6" spans="1:12" ht="12.75">
      <c r="A6" s="3535"/>
      <c r="B6" s="3563"/>
      <c r="C6" s="3568"/>
      <c r="D6" s="3553"/>
      <c r="E6" s="471" t="s">
        <v>808</v>
      </c>
      <c r="F6" s="432"/>
      <c r="G6" s="432"/>
      <c r="H6" s="432"/>
      <c r="I6" s="433"/>
    </row>
    <row r="7" spans="1:12" ht="12.75">
      <c r="A7" s="3535"/>
      <c r="B7" s="3563"/>
      <c r="C7" s="3567"/>
      <c r="D7" s="3553"/>
      <c r="E7" s="471" t="s">
        <v>809</v>
      </c>
      <c r="F7" s="432"/>
      <c r="G7" s="432"/>
      <c r="H7" s="432"/>
      <c r="I7" s="433"/>
    </row>
    <row r="8" spans="1:12" ht="12.75">
      <c r="A8" s="3535" t="s">
        <v>14</v>
      </c>
      <c r="B8" s="3563">
        <v>15</v>
      </c>
      <c r="C8" s="3566"/>
      <c r="D8" s="3553"/>
      <c r="E8" s="471" t="s">
        <v>810</v>
      </c>
      <c r="F8" s="432"/>
      <c r="G8" s="432"/>
      <c r="H8" s="432"/>
      <c r="I8" s="433"/>
    </row>
    <row r="9" spans="1:12" ht="12.75">
      <c r="A9" s="3535"/>
      <c r="B9" s="3563"/>
      <c r="C9" s="3567"/>
      <c r="D9" s="3553"/>
      <c r="E9" s="471" t="s">
        <v>811</v>
      </c>
      <c r="F9" s="432"/>
      <c r="G9" s="432"/>
      <c r="H9" s="432"/>
      <c r="I9" s="433"/>
    </row>
    <row r="10" spans="1:12" ht="12.75">
      <c r="A10" s="3535" t="s">
        <v>15</v>
      </c>
      <c r="B10" s="3563">
        <v>15</v>
      </c>
      <c r="C10" s="3566"/>
      <c r="D10" s="3553"/>
      <c r="E10" s="471" t="s">
        <v>812</v>
      </c>
      <c r="F10" s="432"/>
      <c r="G10" s="432"/>
      <c r="H10" s="432"/>
      <c r="I10" s="433"/>
    </row>
    <row r="11" spans="1:12" ht="12.75">
      <c r="A11" s="3535"/>
      <c r="B11" s="3563"/>
      <c r="C11" s="3567"/>
      <c r="D11" s="3553"/>
      <c r="E11" s="471" t="s">
        <v>813</v>
      </c>
      <c r="F11" s="432"/>
      <c r="G11" s="432"/>
      <c r="H11" s="432"/>
      <c r="I11" s="433"/>
    </row>
    <row r="12" spans="1:12" ht="12.75">
      <c r="A12" s="3535" t="s">
        <v>16</v>
      </c>
      <c r="B12" s="3563">
        <v>15</v>
      </c>
      <c r="C12" s="3566"/>
      <c r="D12" s="3553"/>
      <c r="E12" s="471" t="s">
        <v>814</v>
      </c>
      <c r="F12" s="432"/>
      <c r="G12" s="432"/>
      <c r="H12" s="432"/>
      <c r="I12" s="433"/>
    </row>
    <row r="13" spans="1:12" ht="12.75">
      <c r="A13" s="3535"/>
      <c r="B13" s="3563"/>
      <c r="C13" s="3567"/>
      <c r="D13" s="3553"/>
      <c r="E13" s="471" t="s">
        <v>815</v>
      </c>
      <c r="F13" s="432"/>
      <c r="G13" s="432"/>
      <c r="H13" s="432"/>
      <c r="I13" s="433"/>
    </row>
    <row r="14" spans="1:12" ht="12.75">
      <c r="A14" s="3535" t="s">
        <v>17</v>
      </c>
      <c r="B14" s="3563">
        <v>30</v>
      </c>
      <c r="C14" s="3566">
        <v>5</v>
      </c>
      <c r="D14" s="3553">
        <v>5</v>
      </c>
      <c r="E14" s="471" t="s">
        <v>816</v>
      </c>
      <c r="F14" s="432"/>
      <c r="G14" s="432"/>
      <c r="H14" s="432"/>
      <c r="I14" s="433"/>
    </row>
    <row r="15" spans="1:12" ht="12.75">
      <c r="A15" s="3535"/>
      <c r="B15" s="3563"/>
      <c r="C15" s="3568"/>
      <c r="D15" s="3553"/>
      <c r="E15" s="471" t="s">
        <v>817</v>
      </c>
      <c r="F15" s="432"/>
      <c r="G15" s="432"/>
      <c r="H15" s="432"/>
      <c r="I15" s="433"/>
    </row>
    <row r="16" spans="1:12" ht="12.75">
      <c r="A16" s="3535"/>
      <c r="B16" s="3563"/>
      <c r="C16" s="3567"/>
      <c r="D16" s="3553"/>
      <c r="E16" s="471" t="s">
        <v>818</v>
      </c>
      <c r="F16" s="432"/>
      <c r="G16" s="432"/>
      <c r="H16" s="432"/>
      <c r="I16" s="433"/>
    </row>
    <row r="17" spans="1:35" ht="14.25">
      <c r="A17" s="434" t="s">
        <v>18</v>
      </c>
      <c r="B17" s="38"/>
      <c r="C17" s="472">
        <f>SUM(C5:C16)</f>
        <v>5</v>
      </c>
      <c r="D17" s="472">
        <f>SUM(D5:D16)</f>
        <v>5</v>
      </c>
      <c r="E17" s="2275"/>
      <c r="F17" s="2275"/>
      <c r="G17" s="2275"/>
      <c r="H17" s="2275"/>
      <c r="I17" s="2275"/>
      <c r="K17" s="2182"/>
      <c r="L17" s="2183" t="s">
        <v>2314</v>
      </c>
      <c r="M17" s="2183" t="s">
        <v>2315</v>
      </c>
    </row>
    <row r="18" spans="1:35" ht="15" thickBot="1">
      <c r="A18" s="435" t="s">
        <v>19</v>
      </c>
      <c r="B18" s="18"/>
      <c r="C18" s="473">
        <f>ROUND(C17/SUM(C17:D17),2)</f>
        <v>0.5</v>
      </c>
      <c r="D18" s="473">
        <f>1-C18</f>
        <v>0.5</v>
      </c>
      <c r="E18" s="2275"/>
      <c r="F18" s="2275"/>
      <c r="G18" s="2275"/>
      <c r="H18" s="2275"/>
      <c r="I18" s="2275"/>
      <c r="K18" s="2182" t="s">
        <v>2128</v>
      </c>
      <c r="L18" s="2182">
        <f>IF(C1="",'数据-汇总表'!E3,SUMIF(项目类型,C1,'数据-汇总表'!E17:E26)+SUMIF(项目类型,C1,'数据-汇总表'!I17:I26))</f>
        <v>2099.0100000000002</v>
      </c>
      <c r="M18" s="2182">
        <f>IF(C1="",'数据-汇总表'!E3,SUMIF(项目类型,C1,'数据-汇总表'!E17:E26))</f>
        <v>2099.0100000000002</v>
      </c>
    </row>
    <row r="19" spans="1:35" ht="14.25">
      <c r="A19" s="436" t="s">
        <v>180</v>
      </c>
      <c r="B19" s="437" t="s">
        <v>20</v>
      </c>
      <c r="C19" s="474">
        <f ca="1">SUMIF(INDIRECT("'"&amp;C4&amp;"'"&amp;"!A:A"),结果表!B19,INDIRECT("'"&amp;C4&amp;"'"&amp;"!B:B"))</f>
        <v>6955</v>
      </c>
      <c r="D19" s="475">
        <f ca="1">SUMIF(INDIRECT("'"&amp;D4&amp;"'"&amp;"!A:A"),结果表!B19,INDIRECT("'"&amp;D4&amp;"'"&amp;"!B:B"))</f>
        <v>6873</v>
      </c>
      <c r="E19" s="436" t="s">
        <v>179</v>
      </c>
      <c r="F19" s="437" t="s">
        <v>20</v>
      </c>
      <c r="G19" s="476">
        <f ca="1">ROUND(C19*$C$18+D19*$D$18,0)</f>
        <v>6914</v>
      </c>
      <c r="H19" s="438" t="s">
        <v>228</v>
      </c>
      <c r="I19" s="2275"/>
      <c r="K19" s="2182" t="s">
        <v>2129</v>
      </c>
      <c r="L19" s="2182">
        <f>IF(C1="",'数据-汇总表'!D3,SUMIF(项目类型,C1,'数据-汇总表'!D17:D26)+SUMIF(项目类型,C1,'数据-汇总表'!H17:H27))</f>
        <v>215.3</v>
      </c>
      <c r="M19" s="2182">
        <f>IF(C1="",'数据-汇总表'!D3,SUMIF(项目类型,C1,'数据-汇总表'!D17:D26))</f>
        <v>215.3</v>
      </c>
    </row>
    <row r="20" spans="1:35" ht="14.25">
      <c r="A20" s="439"/>
      <c r="B20" s="440" t="s">
        <v>21</v>
      </c>
      <c r="C20" s="477">
        <f ca="1">SUMIF(INDIRECT("'"&amp;C4&amp;"'"&amp;"!A:A"),结果表!B20,INDIRECT("'"&amp;C4&amp;"'"&amp;"!B:B"))</f>
        <v>33133</v>
      </c>
      <c r="D20" s="478">
        <f ca="1">SUMIF(INDIRECT("'"&amp;D4&amp;"'"&amp;"!A:A"),结果表!B20,INDIRECT("'"&amp;D4&amp;"'"&amp;"!B:B"))</f>
        <v>32744</v>
      </c>
      <c r="E20" s="439"/>
      <c r="F20" s="440" t="s">
        <v>21</v>
      </c>
      <c r="G20" s="479">
        <f ca="1">ROUND(C20*$C$18+D20*$D$18,0)</f>
        <v>32939</v>
      </c>
      <c r="H20" s="441" t="s">
        <v>227</v>
      </c>
      <c r="I20" s="2275"/>
    </row>
    <row r="21" spans="1:35" ht="15" customHeight="1" thickBot="1">
      <c r="A21" s="443"/>
      <c r="B21" s="444" t="s">
        <v>22</v>
      </c>
      <c r="C21" s="1422">
        <f ca="1">ROUND(C19*10000/L19,0)</f>
        <v>323038</v>
      </c>
      <c r="D21" s="1423">
        <f ca="1">ROUND(D19*10000/L19,0)</f>
        <v>319229</v>
      </c>
      <c r="E21" s="443"/>
      <c r="F21" s="444" t="s">
        <v>22</v>
      </c>
      <c r="G21" s="480">
        <f ca="1">ROUND(G19*10000/L19,0)</f>
        <v>321133</v>
      </c>
      <c r="H21" s="445" t="s">
        <v>227</v>
      </c>
      <c r="I21" s="2275"/>
    </row>
    <row r="22" spans="1:35" ht="15" thickBot="1">
      <c r="A22" s="275" t="s">
        <v>181</v>
      </c>
      <c r="B22" s="1424"/>
      <c r="C22" s="1425"/>
      <c r="D22" s="1426">
        <f ca="1">IF(C19&lt;D19,D19/C19-1,C19/D19-1)</f>
        <v>1.1930743489015017E-2</v>
      </c>
      <c r="E22" s="2275"/>
      <c r="F22" s="2275"/>
      <c r="G22" s="2275"/>
      <c r="H22" s="2275"/>
      <c r="I22" s="2275"/>
    </row>
    <row r="23" spans="1:35" ht="12.75" thickBot="1">
      <c r="A23" s="1243"/>
      <c r="B23" s="1243"/>
      <c r="C23" s="1243"/>
      <c r="D23" s="1243"/>
      <c r="E23" s="2275"/>
      <c r="F23" s="2275"/>
      <c r="G23" s="2275"/>
      <c r="H23" s="2275"/>
      <c r="I23" s="2275"/>
    </row>
    <row r="24" spans="1:35" ht="14.25">
      <c r="A24" s="3578" t="s">
        <v>177</v>
      </c>
      <c r="B24" s="437" t="s">
        <v>20</v>
      </c>
      <c r="C24" s="476">
        <f>IF(B30=0,0,D30)</f>
        <v>0</v>
      </c>
      <c r="D24" s="446"/>
      <c r="E24" s="2275"/>
      <c r="F24" s="2275"/>
      <c r="G24" s="2275"/>
      <c r="H24" s="2275"/>
      <c r="I24" s="2275"/>
    </row>
    <row r="25" spans="1:35" ht="14.25">
      <c r="A25" s="3579"/>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5" customFormat="1" ht="14.25" thickBot="1">
      <c r="A31" s="452"/>
      <c r="B31" s="452"/>
      <c r="C31" s="452"/>
      <c r="D31" s="452"/>
      <c r="E31" s="2275"/>
      <c r="F31" s="2275"/>
      <c r="G31" s="2275"/>
      <c r="H31" s="2275"/>
      <c r="I31" s="2275"/>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6914</v>
      </c>
      <c r="D32" s="2090" t="s">
        <v>210</v>
      </c>
      <c r="E32" s="2275"/>
      <c r="F32" s="2275"/>
      <c r="G32" s="2275"/>
      <c r="H32" s="2275"/>
      <c r="I32" s="2275"/>
    </row>
    <row r="33" spans="1:15" ht="13.5">
      <c r="A33" s="457" t="s">
        <v>764</v>
      </c>
      <c r="B33" s="2089"/>
      <c r="C33" s="2871" t="s">
        <v>3177</v>
      </c>
      <c r="D33" s="2874" t="s">
        <v>3122</v>
      </c>
      <c r="E33" s="2087" t="s">
        <v>2108</v>
      </c>
      <c r="F33" s="2088" t="str">
        <f>IF(D32="楼面单价","取值（单价）","取值（总价）")</f>
        <v>取值（总价）</v>
      </c>
      <c r="G33" s="2275"/>
      <c r="H33" s="2275"/>
      <c r="I33" s="2275"/>
    </row>
    <row r="34" spans="1:15" ht="15">
      <c r="A34" s="458"/>
      <c r="B34" s="459" t="s">
        <v>767</v>
      </c>
      <c r="C34" s="489">
        <f ca="1">IF(C33="自定义",F34,C32-C35)</f>
        <v>5877</v>
      </c>
      <c r="D34" s="2091">
        <f ca="1">IF(C33="自定义",ROUND(C34/C32,3),IF(C33="收益比率",SUMIF(INDIRECT("'"&amp;D33&amp;"'"&amp;"!b:b"),"土地收益比率",INDIRECT("'"&amp;D33&amp;"'"&amp;"!c:c")),SUMIF(INDIRECT("'"&amp;D33&amp;"'"&amp;"!b:b"),"土地成本比率",INDIRECT("'"&amp;D33&amp;"'"&amp;"!c:c"))))</f>
        <v>0.85</v>
      </c>
      <c r="E34" s="2872" t="s">
        <v>2109</v>
      </c>
      <c r="F34" s="3245"/>
      <c r="G34" s="2275"/>
      <c r="H34" s="2275"/>
      <c r="I34" s="2275"/>
    </row>
    <row r="35" spans="1:15" ht="15.75" thickBot="1">
      <c r="A35" s="461"/>
      <c r="B35" s="2875" t="s">
        <v>769</v>
      </c>
      <c r="C35" s="2876">
        <f ca="1">IF(C33="自定义",F35,ROUND(C32*D35,0))</f>
        <v>1037</v>
      </c>
      <c r="D35" s="2877">
        <f ca="1">IF(C33="自定义",ROUND(C35/C32,3),IF(C33="收益比率",SUMIF(INDIRECT("'"&amp;D33&amp;"'"&amp;"!b:b"),"建筑物收益比率",INDIRECT("'"&amp;D33&amp;"'"&amp;"!c:c")),SUMIF(INDIRECT("'"&amp;D33&amp;"'"&amp;"!b:b"),"建筑物成本比率",INDIRECT("'"&amp;D33&amp;"'"&amp;"!c:c"))))</f>
        <v>0.15</v>
      </c>
      <c r="E35" s="2873" t="s">
        <v>2110</v>
      </c>
      <c r="F35" s="495"/>
      <c r="G35" s="2275"/>
      <c r="H35" s="2275"/>
      <c r="I35" s="2275"/>
    </row>
    <row r="36" spans="1:15" ht="15.75" thickBot="1">
      <c r="A36" s="3554" t="s">
        <v>765</v>
      </c>
      <c r="B36" s="455" t="s">
        <v>766</v>
      </c>
      <c r="C36" s="486"/>
      <c r="D36" s="456"/>
      <c r="E36" s="1246"/>
      <c r="F36" s="2276"/>
      <c r="G36" s="2275"/>
      <c r="H36" s="2275"/>
      <c r="I36" s="2275"/>
    </row>
    <row r="37" spans="1:15" ht="15.75" thickBot="1">
      <c r="A37" s="3555"/>
      <c r="B37" s="13" t="s">
        <v>768</v>
      </c>
      <c r="C37" s="488"/>
      <c r="D37" s="2224"/>
      <c r="E37" s="2224"/>
      <c r="F37" s="2276"/>
      <c r="G37" s="2275"/>
      <c r="H37" s="2275"/>
      <c r="I37" s="2275"/>
    </row>
    <row r="38" spans="1:15" ht="15.75" thickBot="1">
      <c r="A38" s="3556"/>
      <c r="B38" s="460" t="s">
        <v>770</v>
      </c>
      <c r="C38" s="1137"/>
      <c r="D38" s="1247" t="s">
        <v>771</v>
      </c>
      <c r="E38" s="2224"/>
      <c r="F38" s="2276"/>
      <c r="G38" s="2275"/>
      <c r="H38" s="2275"/>
      <c r="I38" s="2275"/>
    </row>
    <row r="39" spans="1:15" ht="13.5">
      <c r="A39" s="439" t="s">
        <v>772</v>
      </c>
      <c r="B39" s="462" t="s">
        <v>773</v>
      </c>
      <c r="C39" s="463" t="s">
        <v>774</v>
      </c>
      <c r="D39" s="463" t="s">
        <v>775</v>
      </c>
      <c r="E39" s="464" t="s">
        <v>776</v>
      </c>
      <c r="F39" s="2276"/>
      <c r="G39" s="2275"/>
      <c r="H39" s="2275"/>
      <c r="I39" s="2275"/>
    </row>
    <row r="40" spans="1:15" ht="13.5">
      <c r="A40" s="1248" t="s">
        <v>777</v>
      </c>
      <c r="B40" s="490"/>
      <c r="C40" s="491"/>
      <c r="D40" s="491"/>
      <c r="E40" s="492"/>
      <c r="F40" s="2276"/>
      <c r="G40" s="2275"/>
      <c r="H40" s="2275"/>
      <c r="I40" s="2275"/>
    </row>
    <row r="41" spans="1:15" ht="13.5">
      <c r="A41" s="1248" t="s">
        <v>778</v>
      </c>
      <c r="B41" s="490"/>
      <c r="C41" s="491"/>
      <c r="D41" s="491"/>
      <c r="E41" s="492"/>
      <c r="F41" s="2276"/>
      <c r="G41" s="2275"/>
      <c r="H41" s="2275"/>
      <c r="I41" s="2275"/>
    </row>
    <row r="42" spans="1:15" ht="14.25" thickBot="1">
      <c r="A42" s="1249"/>
      <c r="B42" s="493"/>
      <c r="C42" s="494"/>
      <c r="D42" s="494"/>
      <c r="E42" s="495"/>
      <c r="F42" s="2276"/>
      <c r="G42" s="2275"/>
      <c r="H42" s="2275"/>
      <c r="I42" s="2275"/>
    </row>
    <row r="43" spans="1:15" ht="12">
      <c r="A43" s="241"/>
      <c r="B43" s="241"/>
      <c r="C43" s="241"/>
      <c r="D43" s="241"/>
      <c r="E43" s="241"/>
      <c r="F43" s="1250"/>
      <c r="G43" s="1250"/>
      <c r="H43" s="1250"/>
      <c r="I43" s="1251"/>
    </row>
    <row r="44" spans="1:15" ht="18.75">
      <c r="A44" s="1252" t="s">
        <v>779</v>
      </c>
      <c r="B44" s="1253"/>
      <c r="C44" s="1253"/>
      <c r="D44" s="1254"/>
      <c r="E44" s="1254"/>
      <c r="F44" s="1255"/>
      <c r="G44" s="1255"/>
      <c r="H44" s="1255"/>
      <c r="I44" s="1255"/>
      <c r="J44" s="3262" t="s">
        <v>214</v>
      </c>
      <c r="K44" s="3263"/>
      <c r="L44" s="3263"/>
      <c r="M44" s="3263"/>
      <c r="N44" s="3263"/>
      <c r="O44" s="3263"/>
    </row>
    <row r="45" spans="1:15" ht="14.25" customHeight="1" thickBot="1">
      <c r="A45" s="3575" t="s">
        <v>799</v>
      </c>
      <c r="B45" s="3576"/>
      <c r="C45" s="3577"/>
      <c r="D45" s="496">
        <f ca="1">ROUND(H101*F45,0)</f>
        <v>6914</v>
      </c>
      <c r="E45" s="497" t="s">
        <v>800</v>
      </c>
      <c r="F45" s="498">
        <v>1</v>
      </c>
      <c r="G45" s="499" t="s">
        <v>801</v>
      </c>
      <c r="H45" s="2275"/>
      <c r="I45" s="2275"/>
      <c r="J45" s="3485" t="s">
        <v>215</v>
      </c>
      <c r="K45" s="3485"/>
      <c r="L45" s="3485"/>
      <c r="M45" s="3485"/>
      <c r="N45" s="3485"/>
      <c r="O45" s="3485"/>
    </row>
    <row r="46" spans="1:15" ht="14.25" customHeight="1">
      <c r="A46" s="3572" t="s">
        <v>287</v>
      </c>
      <c r="B46" s="3573"/>
      <c r="C46" s="3573"/>
      <c r="D46" s="3573"/>
      <c r="E46" s="3573"/>
      <c r="F46" s="3573"/>
      <c r="G46" s="3574"/>
      <c r="H46" s="2277"/>
      <c r="I46" s="2230"/>
      <c r="J46" s="1498">
        <v>1</v>
      </c>
      <c r="K46" s="3485" t="s">
        <v>216</v>
      </c>
      <c r="L46" s="3485"/>
      <c r="M46" s="3486"/>
      <c r="N46" s="3486"/>
      <c r="O46" s="3486"/>
    </row>
    <row r="47" spans="1:15" ht="12" customHeight="1">
      <c r="A47" s="501" t="s">
        <v>288</v>
      </c>
      <c r="B47" s="502"/>
      <c r="C47" s="503"/>
      <c r="D47" s="504" t="s">
        <v>289</v>
      </c>
      <c r="E47" s="313" t="s">
        <v>290</v>
      </c>
      <c r="F47" s="505" t="s">
        <v>802</v>
      </c>
      <c r="G47" s="506" t="s">
        <v>803</v>
      </c>
      <c r="H47" s="2277"/>
      <c r="I47" s="2230"/>
      <c r="J47" s="1498">
        <v>2</v>
      </c>
      <c r="K47" s="3485" t="s">
        <v>217</v>
      </c>
      <c r="L47" s="3485"/>
      <c r="M47" s="3487">
        <f>'数据-取费表'!B2</f>
        <v>42963</v>
      </c>
      <c r="N47" s="3487"/>
      <c r="O47" s="3487"/>
    </row>
    <row r="48" spans="1:15" ht="25.5">
      <c r="A48" s="3558" t="s">
        <v>291</v>
      </c>
      <c r="B48" s="3559"/>
      <c r="C48" s="3559"/>
      <c r="D48" s="471">
        <f>IF(H48="情况1",0,IF(H48="情况2",D52,IF(H48="情况3",D53,IF(H48="情况4",D54))))</f>
        <v>0</v>
      </c>
      <c r="E48" s="1921" t="str">
        <f>IF(H48="情况4","(销售额-原购置价)×税（费）率","销售额×税（费）率")</f>
        <v>销售额×税（费）率</v>
      </c>
      <c r="F48" s="507" t="str">
        <f>IF(H48="情况1","免征",'数据-取费表'!B41)</f>
        <v>免征</v>
      </c>
      <c r="G48" s="465" t="s">
        <v>780</v>
      </c>
      <c r="H48" s="1432" t="s">
        <v>2411</v>
      </c>
      <c r="I48" s="2277"/>
      <c r="J48" s="1498">
        <v>3</v>
      </c>
      <c r="K48" s="3485" t="s">
        <v>781</v>
      </c>
      <c r="L48" s="3485"/>
      <c r="M48" s="3488">
        <f ca="1">H101</f>
        <v>6914</v>
      </c>
      <c r="N48" s="3488"/>
      <c r="O48" s="3488"/>
    </row>
    <row r="49" spans="1:35" ht="25.5" customHeight="1">
      <c r="A49" s="508" t="s">
        <v>804</v>
      </c>
      <c r="B49" s="3538" t="s">
        <v>805</v>
      </c>
      <c r="C49" s="3538"/>
      <c r="D49" s="509">
        <v>0</v>
      </c>
      <c r="E49" s="312" t="s">
        <v>806</v>
      </c>
      <c r="F49" s="317" t="s">
        <v>171</v>
      </c>
      <c r="G49" s="3517"/>
      <c r="H49" s="2275"/>
      <c r="I49" s="2278"/>
      <c r="J49" s="1498">
        <v>4</v>
      </c>
      <c r="K49" s="3485" t="str">
        <f>IF(项目基本情况!E8="房地产抵押价值","房地产抵押价值","抵押担保权已注销时的房地产抵押价值")</f>
        <v>房地产抵押价值</v>
      </c>
      <c r="L49" s="3485"/>
      <c r="M49" s="3488">
        <f ca="1">IF(项目基本情况!E8="房地产抵押价值",H107,H109)</f>
        <v>6914</v>
      </c>
      <c r="N49" s="3488"/>
      <c r="O49" s="3488"/>
    </row>
    <row r="50" spans="1:35" ht="25.5" customHeight="1">
      <c r="A50" s="510"/>
      <c r="B50" s="3538" t="s">
        <v>294</v>
      </c>
      <c r="C50" s="3538"/>
      <c r="D50" s="511"/>
      <c r="E50" s="320"/>
      <c r="F50" s="512"/>
      <c r="G50" s="3518"/>
      <c r="H50" s="2275"/>
      <c r="I50" s="2278"/>
      <c r="J50" s="3485" t="s">
        <v>218</v>
      </c>
      <c r="K50" s="3485"/>
      <c r="L50" s="3485"/>
      <c r="M50" s="3485"/>
      <c r="N50" s="3485"/>
      <c r="O50" s="3485"/>
    </row>
    <row r="51" spans="1:35" ht="12" customHeight="1">
      <c r="A51" s="513"/>
      <c r="B51" s="3538" t="s">
        <v>295</v>
      </c>
      <c r="C51" s="3538"/>
      <c r="D51" s="514"/>
      <c r="E51" s="319"/>
      <c r="F51" s="512"/>
      <c r="G51" s="3519"/>
      <c r="H51" s="2275"/>
      <c r="I51" s="2278"/>
      <c r="J51" s="3264" t="s">
        <v>219</v>
      </c>
      <c r="K51" s="3485" t="s">
        <v>220</v>
      </c>
      <c r="L51" s="3485"/>
      <c r="M51" s="3264" t="s">
        <v>2996</v>
      </c>
      <c r="N51" s="3264" t="s">
        <v>221</v>
      </c>
      <c r="O51" s="3264" t="s">
        <v>222</v>
      </c>
    </row>
    <row r="52" spans="1:35" ht="24" customHeight="1">
      <c r="A52" s="515" t="s">
        <v>296</v>
      </c>
      <c r="B52" s="3538" t="s">
        <v>297</v>
      </c>
      <c r="C52" s="3538"/>
      <c r="D52" s="514">
        <f ca="1">ROUND(D45*'数据-取费表'!B41/(1+'数据-取费表'!C42),0)</f>
        <v>369</v>
      </c>
      <c r="E52" s="299" t="s">
        <v>298</v>
      </c>
      <c r="F52" s="516">
        <f>'数据-取费表'!B41</f>
        <v>5.6000000000000001E-2</v>
      </c>
      <c r="G52" s="466"/>
      <c r="H52" s="2275"/>
      <c r="I52" s="2278"/>
      <c r="J52" s="1498">
        <v>1</v>
      </c>
      <c r="K52" s="3511" t="s">
        <v>782</v>
      </c>
      <c r="L52" s="3511"/>
      <c r="M52" s="3265">
        <f>D48</f>
        <v>0</v>
      </c>
      <c r="N52" s="1497" t="str">
        <f>E48</f>
        <v>销售额×税（费）率</v>
      </c>
      <c r="O52" s="3266" t="str">
        <f>F48</f>
        <v>免征</v>
      </c>
    </row>
    <row r="53" spans="1:35" ht="12" customHeight="1">
      <c r="A53" s="515" t="s">
        <v>299</v>
      </c>
      <c r="B53" s="3539" t="s">
        <v>300</v>
      </c>
      <c r="C53" s="3540"/>
      <c r="D53" s="514">
        <f ca="1">ROUND(D45*'数据-取费表'!B41/(1+'数据-取费表'!C42),0)</f>
        <v>369</v>
      </c>
      <c r="E53" s="299" t="s">
        <v>298</v>
      </c>
      <c r="F53" s="516">
        <f>'数据-取费表'!B41</f>
        <v>5.6000000000000001E-2</v>
      </c>
      <c r="G53" s="466"/>
      <c r="H53" s="2275"/>
      <c r="I53" s="2278"/>
      <c r="J53" s="1498">
        <v>2</v>
      </c>
      <c r="K53" s="3511" t="s">
        <v>783</v>
      </c>
      <c r="L53" s="3511"/>
      <c r="M53" s="3265">
        <f t="shared" ref="M53:O54" ca="1" si="0">D55</f>
        <v>0</v>
      </c>
      <c r="N53" s="1497" t="str">
        <f t="shared" si="0"/>
        <v>销售额×税（费）率</v>
      </c>
      <c r="O53" s="3266">
        <f t="shared" si="0"/>
        <v>0</v>
      </c>
    </row>
    <row r="54" spans="1:35" ht="12" customHeight="1">
      <c r="A54" s="515" t="s">
        <v>301</v>
      </c>
      <c r="B54" s="3539" t="s">
        <v>302</v>
      </c>
      <c r="C54" s="3540"/>
      <c r="D54" s="514">
        <f ca="1">C68</f>
        <v>369</v>
      </c>
      <c r="E54" s="319" t="s">
        <v>303</v>
      </c>
      <c r="F54" s="516">
        <f>'数据-取费表'!B41</f>
        <v>5.6000000000000001E-2</v>
      </c>
      <c r="G54" s="466"/>
      <c r="H54" s="2279"/>
      <c r="I54" s="2278"/>
      <c r="J54" s="1498">
        <v>3</v>
      </c>
      <c r="K54" s="3511" t="s">
        <v>784</v>
      </c>
      <c r="L54" s="3511"/>
      <c r="M54" s="3265">
        <f t="shared" ca="1" si="0"/>
        <v>3913</v>
      </c>
      <c r="N54" s="1497" t="str">
        <f t="shared" si="0"/>
        <v>增值额×税（费）率</v>
      </c>
      <c r="O54" s="3267" t="str">
        <f t="shared" si="0"/>
        <v>——</v>
      </c>
    </row>
    <row r="55" spans="1:35" ht="24" customHeight="1">
      <c r="A55" s="3581" t="s">
        <v>304</v>
      </c>
      <c r="B55" s="3559"/>
      <c r="C55" s="3559"/>
      <c r="D55" s="517">
        <f ca="1">IF(H55="个人住宅",0,ROUND(D45*I55,0))</f>
        <v>0</v>
      </c>
      <c r="E55" s="299" t="s">
        <v>305</v>
      </c>
      <c r="F55" s="516">
        <f>IF(H55="正常",I55,"免征")</f>
        <v>0</v>
      </c>
      <c r="G55" s="466"/>
      <c r="H55" s="1432" t="s">
        <v>155</v>
      </c>
      <c r="I55" s="518">
        <f>'数据-取费表'!B49</f>
        <v>0</v>
      </c>
      <c r="J55" s="1498" t="str">
        <f>IF(H59="非个人房产","",4)</f>
        <v/>
      </c>
      <c r="K55" s="3511" t="str">
        <f>IF(H59="非个人房产","——","个人所得税")</f>
        <v>——</v>
      </c>
      <c r="L55" s="3511"/>
      <c r="M55" s="3268" t="str">
        <f>D59</f>
        <v>——</v>
      </c>
      <c r="N55" s="3269" t="str">
        <f>E59</f>
        <v>——</v>
      </c>
      <c r="O55" s="3270" t="str">
        <f>F59</f>
        <v>——</v>
      </c>
    </row>
    <row r="56" spans="1:35" ht="24.75">
      <c r="A56" s="3581" t="s">
        <v>306</v>
      </c>
      <c r="B56" s="3559"/>
      <c r="C56" s="3559"/>
      <c r="D56" s="517">
        <f ca="1">IF(H56="个人住宅",D57,D58)</f>
        <v>3913</v>
      </c>
      <c r="E56" s="299" t="s">
        <v>307</v>
      </c>
      <c r="F56" s="516" t="str">
        <f>IF(H56="正常",F58,"免征")</f>
        <v>——</v>
      </c>
      <c r="G56" s="1256" t="s">
        <v>785</v>
      </c>
      <c r="H56" s="1431" t="s">
        <v>155</v>
      </c>
      <c r="I56" s="2280"/>
      <c r="J56" s="1498" t="str">
        <f>IF(项目基本情况!K6="上海银行",IF(J55="",4,J55+1),"")</f>
        <v/>
      </c>
      <c r="K56" s="3491" t="str">
        <f>IF(项目基本情况!K6="上海银行","其他处置费用","")</f>
        <v/>
      </c>
      <c r="L56" s="3492"/>
      <c r="M56" s="3265" t="str">
        <f>IF(项目基本情况!K6="上海银行",M69,"")</f>
        <v/>
      </c>
      <c r="N56" s="3494" t="str">
        <f>IF(项目基本情况!K6="上海银行","包含处置中涉及的律师、诉讼、拍卖、评估等费用","")</f>
        <v/>
      </c>
      <c r="O56" s="3495"/>
    </row>
    <row r="57" spans="1:35" ht="12.75">
      <c r="A57" s="515" t="s">
        <v>292</v>
      </c>
      <c r="B57" s="3544" t="s">
        <v>308</v>
      </c>
      <c r="C57" s="3545"/>
      <c r="D57" s="519">
        <v>0</v>
      </c>
      <c r="E57" s="312" t="s">
        <v>293</v>
      </c>
      <c r="F57" s="487"/>
      <c r="G57" s="466"/>
      <c r="H57" s="2280"/>
      <c r="I57" s="2280"/>
      <c r="J57" s="3523">
        <f>IF(AND(J55="",J56=""),4,IF(项目基本情况!K6="上海银行",结果表!J56+1,结果表!J55+1))</f>
        <v>4</v>
      </c>
      <c r="K57" s="3511" t="s">
        <v>786</v>
      </c>
      <c r="L57" s="3271" t="s">
        <v>223</v>
      </c>
      <c r="M57" s="3272"/>
      <c r="N57" s="3273">
        <f ca="1">SUMIF(M52:M56,"&lt;9e307")</f>
        <v>3913</v>
      </c>
      <c r="O57" s="3274"/>
      <c r="P57" s="3261">
        <f ca="1">N57/M49</f>
        <v>0.56595313855944462</v>
      </c>
    </row>
    <row r="58" spans="1:35" ht="24.75">
      <c r="A58" s="515" t="s">
        <v>296</v>
      </c>
      <c r="B58" s="3544" t="s">
        <v>309</v>
      </c>
      <c r="C58" s="3557"/>
      <c r="D58" s="517">
        <f ca="1">IF(H58="转让取得",C81,C97)</f>
        <v>3913</v>
      </c>
      <c r="E58" s="299" t="s">
        <v>307</v>
      </c>
      <c r="F58" s="313" t="s">
        <v>171</v>
      </c>
      <c r="G58" s="466"/>
      <c r="H58" s="1431" t="s">
        <v>1131</v>
      </c>
      <c r="I58" s="2280"/>
      <c r="J58" s="3523"/>
      <c r="K58" s="3511"/>
      <c r="L58" s="3271" t="s">
        <v>224</v>
      </c>
      <c r="M58" s="3275"/>
      <c r="N58" s="3276" t="str">
        <f ca="1">NUMBERSTRING(INT(N57*10000),2)&amp;"元整"</f>
        <v>叁仟玖佰壹拾叁万元整</v>
      </c>
      <c r="O58" s="3277"/>
    </row>
    <row r="59" spans="1:35" ht="24.75" thickBot="1">
      <c r="A59" s="3515" t="s">
        <v>310</v>
      </c>
      <c r="B59" s="3516"/>
      <c r="C59" s="3516"/>
      <c r="D59" s="520" t="str">
        <f>IF(H59="非个人房产","——",IF(H59="个人住宅",0,ROUND(D45*I59,0)))</f>
        <v>——</v>
      </c>
      <c r="E59" s="521" t="str">
        <f>IF(H59="非个人房产","——","销售额×税（费）率")</f>
        <v>——</v>
      </c>
      <c r="F59" s="522" t="str">
        <f>IF(H59="非个人房产","——",IF(H59="个人住宅","免征",I59))</f>
        <v>——</v>
      </c>
      <c r="G59" s="1257" t="s">
        <v>170</v>
      </c>
      <c r="H59" s="1431" t="s">
        <v>1130</v>
      </c>
      <c r="I59" s="523">
        <v>0.01</v>
      </c>
      <c r="J59" s="3513">
        <f>J57+1</f>
        <v>5</v>
      </c>
      <c r="K59" s="3511" t="s">
        <v>172</v>
      </c>
      <c r="L59" s="1497" t="s">
        <v>223</v>
      </c>
      <c r="M59" s="3278"/>
      <c r="N59" s="3279">
        <f ca="1">M49-N57</f>
        <v>3001</v>
      </c>
      <c r="O59" s="3280"/>
    </row>
    <row r="60" spans="1:35" ht="12" customHeight="1">
      <c r="A60" s="1258"/>
      <c r="B60" s="1243"/>
      <c r="C60" s="1243"/>
      <c r="D60" s="1243"/>
      <c r="E60" s="229"/>
      <c r="F60" s="2280"/>
      <c r="G60" s="2280"/>
      <c r="H60" s="2281"/>
      <c r="I60" s="2275"/>
      <c r="J60" s="3514"/>
      <c r="K60" s="3511"/>
      <c r="L60" s="3271" t="s">
        <v>224</v>
      </c>
      <c r="M60" s="3275"/>
      <c r="N60" s="3276" t="str">
        <f ca="1">NUMBERSTRING(INT(N59*10000),2)&amp;"元整"</f>
        <v>叁仟零壹万元整</v>
      </c>
      <c r="O60" s="3277"/>
    </row>
    <row r="61" spans="1:35" ht="13.5" thickBot="1">
      <c r="A61" s="3580" t="s">
        <v>311</v>
      </c>
      <c r="B61" s="3580"/>
      <c r="C61" s="3580"/>
      <c r="D61" s="3580"/>
      <c r="E61" s="3580"/>
      <c r="F61" s="2280"/>
      <c r="G61" s="2280"/>
      <c r="H61" s="2281"/>
      <c r="I61" s="2275"/>
      <c r="J61" s="1498">
        <f>J59+1</f>
        <v>6</v>
      </c>
      <c r="K61" s="3511" t="s">
        <v>225</v>
      </c>
      <c r="L61" s="3511"/>
      <c r="M61" s="3281"/>
      <c r="N61" s="3282">
        <f ca="1">ROUND(N59*10000/'数据-汇总表'!E3,0)</f>
        <v>14297</v>
      </c>
      <c r="O61" s="3283"/>
    </row>
    <row r="62" spans="1:35" ht="12.75">
      <c r="A62" s="3532" t="s">
        <v>312</v>
      </c>
      <c r="B62" s="3533"/>
      <c r="C62" s="1915"/>
      <c r="D62" s="1915" t="s">
        <v>320</v>
      </c>
      <c r="E62" s="524" t="s">
        <v>321</v>
      </c>
      <c r="F62" s="2280"/>
      <c r="G62" s="2280"/>
      <c r="H62" s="2281"/>
      <c r="I62" s="2275"/>
    </row>
    <row r="63" spans="1:35" ht="12.75">
      <c r="A63" s="535" t="s">
        <v>1892</v>
      </c>
      <c r="B63" s="525" t="s">
        <v>313</v>
      </c>
      <c r="C63" s="526">
        <f ca="1">ROUND((C64+C65)/(1+'数据-取费表'!C42),0)</f>
        <v>6585</v>
      </c>
      <c r="D63" s="527"/>
      <c r="E63" s="528"/>
      <c r="F63" s="2280"/>
      <c r="G63" s="2280"/>
      <c r="H63" s="2281"/>
      <c r="I63" s="2275"/>
      <c r="J63" s="3493" t="s">
        <v>2989</v>
      </c>
      <c r="K63" s="3260" t="s">
        <v>2990</v>
      </c>
      <c r="L63" s="3258">
        <f ca="1">IF(M49&gt;10000,M49*0.5%,IF(AND(M49&gt;1000,M49&lt;=10000),M49*1%,IF(AND(M49&gt;100,M49&lt;=1000),M49*3%,IF(AND(M49&gt;10,M49&lt;=100),M49*5%,M49*8%))))</f>
        <v>69.14</v>
      </c>
      <c r="M63" s="313">
        <f ca="1">ROUND(L63,1)</f>
        <v>69.099999999999994</v>
      </c>
      <c r="Z63" s="1434"/>
      <c r="AI63" s="1244"/>
    </row>
    <row r="64" spans="1:35" ht="14.25" customHeight="1">
      <c r="A64" s="529" t="s">
        <v>1887</v>
      </c>
      <c r="B64" s="530" t="s">
        <v>314</v>
      </c>
      <c r="C64" s="531">
        <f ca="1">D45</f>
        <v>6914</v>
      </c>
      <c r="D64" s="532" t="s">
        <v>167</v>
      </c>
      <c r="E64" s="533"/>
      <c r="F64" s="2280"/>
      <c r="G64" s="2280"/>
      <c r="H64" s="2281"/>
      <c r="I64" s="2275"/>
      <c r="J64" s="3493"/>
      <c r="K64" s="3260" t="s">
        <v>2991</v>
      </c>
      <c r="L64" s="3258">
        <f ca="1">IF(M49&gt;2000,M49*0.5%,IF(AND(M49&gt;1000,M49&lt;=2000),M49*0.6%,IF(AND(M49&gt;500,M49&lt;=1000),M49*0.7%,IF(AND(M49&gt;200,M49&lt;=500),M49*0.8%,IF(AND(M49&gt;100,M49&lt;=200),M49*0.9%,IF(AND(M49&gt;50,M49&lt;=100),M49*1%,IF(AND(M49&gt;20,M49&lt;=50),M49*1.5%,IF(AND(M49&gt;10,M49&lt;=20),M49*2%,IF(AND(M49&gt;1,M49&lt;=10),M49*2.5%)))))))))</f>
        <v>34.57</v>
      </c>
      <c r="M64" s="313">
        <f t="shared" ref="M64:M65" ca="1" si="1">ROUND(L64,1)</f>
        <v>34.6</v>
      </c>
      <c r="N64" s="469" t="s">
        <v>2997</v>
      </c>
      <c r="Z64" s="1434"/>
      <c r="AI64" s="1244"/>
    </row>
    <row r="65" spans="1:35" ht="14.25" customHeight="1">
      <c r="A65" s="529" t="s">
        <v>1888</v>
      </c>
      <c r="B65" s="530" t="s">
        <v>315</v>
      </c>
      <c r="C65" s="534"/>
      <c r="D65" s="532"/>
      <c r="E65" s="533"/>
      <c r="F65" s="2280"/>
      <c r="G65" s="2280"/>
      <c r="H65" s="2281"/>
      <c r="I65" s="2275"/>
      <c r="J65" s="3493"/>
      <c r="K65" s="3260" t="s">
        <v>2992</v>
      </c>
      <c r="L65" s="3258">
        <f ca="1">IF(M49&gt;1000,M49*0.1%,IF(AND(M49&gt;500,M49&lt;=1000),M49*0.5%,IF(AND(M49&gt;50,M49&lt;=500),M49*1%,IF(AND(M49&gt;1,M49&lt;=50),M49*1.5%))))</f>
        <v>6.9139999999999997</v>
      </c>
      <c r="M65" s="313">
        <f t="shared" ca="1" si="1"/>
        <v>6.9</v>
      </c>
      <c r="N65" s="469" t="s">
        <v>2998</v>
      </c>
      <c r="Z65" s="1434"/>
      <c r="AI65" s="1244"/>
    </row>
    <row r="66" spans="1:35" ht="14.25" customHeight="1">
      <c r="A66" s="535" t="s">
        <v>1889</v>
      </c>
      <c r="B66" s="536" t="s">
        <v>316</v>
      </c>
      <c r="C66" s="537"/>
      <c r="D66" s="538" t="s">
        <v>167</v>
      </c>
      <c r="E66" s="3311" t="s">
        <v>3035</v>
      </c>
      <c r="F66" s="2280"/>
      <c r="G66" s="2280"/>
      <c r="H66" s="2281"/>
      <c r="I66" s="2275"/>
      <c r="J66" s="3493"/>
      <c r="K66" s="3260" t="s">
        <v>2993</v>
      </c>
      <c r="L66" s="3258">
        <f ca="1">M49*0.5%</f>
        <v>34.57</v>
      </c>
      <c r="M66" s="313">
        <f ca="1">IF(L66&gt;0.5,0.5,ROUND(L66,0))</f>
        <v>0.5</v>
      </c>
      <c r="N66" s="469" t="s">
        <v>2999</v>
      </c>
      <c r="Z66" s="1434"/>
      <c r="AI66" s="1244"/>
    </row>
    <row r="67" spans="1:35" ht="14.25" customHeight="1">
      <c r="A67" s="535" t="s">
        <v>1890</v>
      </c>
      <c r="B67" s="536" t="s">
        <v>317</v>
      </c>
      <c r="C67" s="539">
        <f ca="1">C63-C66</f>
        <v>6585</v>
      </c>
      <c r="D67" s="532" t="s">
        <v>167</v>
      </c>
      <c r="E67" s="533"/>
      <c r="F67" s="2280"/>
      <c r="G67" s="2280"/>
      <c r="H67" s="2281"/>
      <c r="I67" s="2275"/>
      <c r="J67" s="3493"/>
      <c r="K67" s="3260" t="s">
        <v>2994</v>
      </c>
      <c r="L67" s="3258">
        <f ca="1">IF(M49&gt;=10000,(8.25+(M49-10000)*0.01%),IF(AND(M49&gt;=8000,M49&lt;10000),(7.85+(M49-8000)*0.02%),IF(AND(M49&gt;=5000,M49&lt;8000),(6.65+(M49-5000)*0.04%),IF(AND(M49&gt;=2000,M49&lt;5000),(4.25+(PM49-2000)*0.08%),IF(AND(M49&gt;=1000,M49&lt;2000),(2.75+(M49-1000)*0.15%),IF(AND(M49&gt;=100,M49&lt;1000),(0.5+(M49-100)*0.25%),IF(AND(M49&gt;0,M49&lt;100),M49*0.5%)))))))</f>
        <v>7.4156000000000004</v>
      </c>
      <c r="M67" s="313">
        <f ca="1">ROUND(L67*0.9,1)</f>
        <v>6.7</v>
      </c>
      <c r="Z67" s="1434"/>
      <c r="AI67" s="1244"/>
    </row>
    <row r="68" spans="1:35" ht="14.25" customHeight="1" thickBot="1">
      <c r="A68" s="540" t="s">
        <v>1891</v>
      </c>
      <c r="B68" s="541" t="s">
        <v>318</v>
      </c>
      <c r="C68" s="542">
        <f ca="1">IF(C67&lt;=0,0,ROUND(C67*D68,0))</f>
        <v>369</v>
      </c>
      <c r="D68" s="543">
        <f>'数据-取费表'!B41</f>
        <v>5.6000000000000001E-2</v>
      </c>
      <c r="E68" s="544"/>
      <c r="F68" s="2280"/>
      <c r="G68" s="2280"/>
      <c r="H68" s="2281"/>
      <c r="I68" s="2275"/>
      <c r="J68" s="3493"/>
      <c r="K68" s="3260" t="s">
        <v>2995</v>
      </c>
      <c r="L68" s="3258">
        <f ca="1">IF(M49&gt;10000,M49*0.5%,IF(AND(M49&gt;5000,M49&lt;=10000),M49*1%,IF(AND(M49&gt;1000,M49&lt;=5000),M49*2%,IF(AND(M49&gt;200,M49&lt;=1000),M49*3%,M49*5%))))</f>
        <v>69.14</v>
      </c>
      <c r="M68" s="313">
        <f ca="1">ROUND(L68,1)</f>
        <v>69.099999999999994</v>
      </c>
      <c r="Z68" s="1434"/>
      <c r="AI68" s="1244"/>
    </row>
    <row r="69" spans="1:35" s="1245" customFormat="1" ht="16.5" customHeight="1">
      <c r="A69" s="1259"/>
      <c r="B69" s="1260"/>
      <c r="C69" s="1261"/>
      <c r="D69" s="1262"/>
      <c r="E69" s="1263"/>
      <c r="F69" s="229"/>
      <c r="G69" s="229"/>
      <c r="H69" s="241"/>
      <c r="I69" s="1243"/>
      <c r="J69" s="3493"/>
      <c r="K69" s="3260" t="s">
        <v>187</v>
      </c>
      <c r="L69" s="3259"/>
      <c r="M69" s="313">
        <f ca="1">ROUND(SUM(M63:M68),0)</f>
        <v>187</v>
      </c>
      <c r="N69" s="3261">
        <f ca="1">M69/M49</f>
        <v>2.7046572172403818E-2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42" t="s">
        <v>319</v>
      </c>
      <c r="B70" s="3543"/>
      <c r="C70" s="3543"/>
      <c r="D70" s="3543"/>
      <c r="E70" s="3543"/>
      <c r="F70" s="3543"/>
      <c r="G70" s="3543"/>
      <c r="H70" s="3543"/>
      <c r="I70" s="1264"/>
      <c r="N70" s="2133"/>
      <c r="O70" s="2133"/>
      <c r="P70" s="2133"/>
      <c r="Q70" s="2133"/>
      <c r="R70" s="2133"/>
      <c r="S70" s="2133"/>
      <c r="T70" s="2133"/>
      <c r="U70" s="2133"/>
      <c r="V70" s="2133"/>
      <c r="W70" s="2133"/>
      <c r="X70" s="2133"/>
      <c r="Y70" s="2133"/>
      <c r="Z70" s="2133"/>
      <c r="AA70" s="1435"/>
      <c r="AB70" s="1435"/>
      <c r="AC70" s="1435"/>
      <c r="AD70" s="1435"/>
      <c r="AE70" s="1435"/>
      <c r="AF70" s="1435"/>
      <c r="AG70" s="1435"/>
      <c r="AH70" s="1435"/>
      <c r="AI70" s="1435"/>
    </row>
    <row r="71" spans="1:35" s="1265" customFormat="1" ht="14.25">
      <c r="A71" s="3532" t="s">
        <v>312</v>
      </c>
      <c r="B71" s="3533"/>
      <c r="C71" s="1915"/>
      <c r="D71" s="1915" t="s">
        <v>320</v>
      </c>
      <c r="E71" s="545" t="s">
        <v>321</v>
      </c>
      <c r="F71" s="546"/>
      <c r="G71" s="546"/>
      <c r="H71" s="547"/>
      <c r="I71" s="2282"/>
      <c r="N71" s="2133"/>
      <c r="O71" s="2133"/>
      <c r="P71" s="2133"/>
      <c r="Q71" s="2133"/>
      <c r="R71" s="2133"/>
      <c r="S71" s="2133"/>
      <c r="T71" s="2133"/>
      <c r="U71" s="2133"/>
      <c r="V71" s="2133"/>
      <c r="W71" s="2133"/>
      <c r="X71" s="2133"/>
      <c r="Y71" s="2133"/>
      <c r="Z71" s="2133"/>
      <c r="AA71" s="1435"/>
      <c r="AB71" s="1435"/>
      <c r="AC71" s="1435"/>
      <c r="AD71" s="1435"/>
      <c r="AE71" s="1435"/>
      <c r="AF71" s="1435"/>
      <c r="AG71" s="1435"/>
      <c r="AH71" s="1435"/>
      <c r="AI71" s="1435"/>
    </row>
    <row r="72" spans="1:35" s="1265" customFormat="1" ht="14.25">
      <c r="A72" s="535" t="s">
        <v>1892</v>
      </c>
      <c r="B72" s="536" t="s">
        <v>322</v>
      </c>
      <c r="C72" s="539">
        <f ca="1">ROUND(D45/(1+'数据-取费表'!C42),0)</f>
        <v>6585</v>
      </c>
      <c r="D72" s="532" t="s">
        <v>167</v>
      </c>
      <c r="E72" s="1918"/>
      <c r="F72" s="1919"/>
      <c r="G72" s="1919"/>
      <c r="H72" s="548"/>
      <c r="I72" s="2282"/>
      <c r="N72" s="2133"/>
      <c r="O72" s="2133"/>
      <c r="P72" s="2133"/>
      <c r="Q72" s="2133"/>
      <c r="R72" s="2133"/>
      <c r="S72" s="2133"/>
      <c r="T72" s="2133"/>
      <c r="U72" s="2133"/>
      <c r="V72" s="2133"/>
      <c r="W72" s="2133"/>
      <c r="X72" s="2133"/>
      <c r="Y72" s="2133"/>
      <c r="Z72" s="2133"/>
      <c r="AA72" s="1435"/>
      <c r="AB72" s="1435"/>
      <c r="AC72" s="1435"/>
      <c r="AD72" s="1435"/>
      <c r="AE72" s="1435"/>
      <c r="AF72" s="1435"/>
      <c r="AG72" s="1435"/>
      <c r="AH72" s="1435"/>
      <c r="AI72" s="1435"/>
    </row>
    <row r="73" spans="1:35" s="1265" customFormat="1" ht="14.25">
      <c r="A73" s="535" t="s">
        <v>1889</v>
      </c>
      <c r="B73" s="505" t="s">
        <v>323</v>
      </c>
      <c r="C73" s="539">
        <f ca="1">C74+C78</f>
        <v>40</v>
      </c>
      <c r="D73" s="532" t="s">
        <v>167</v>
      </c>
      <c r="E73" s="1918"/>
      <c r="F73" s="1919"/>
      <c r="G73" s="1919"/>
      <c r="H73" s="548"/>
      <c r="I73" s="2282"/>
      <c r="J73" s="2133"/>
      <c r="K73" s="2133"/>
      <c r="L73" s="2133"/>
      <c r="M73" s="2133"/>
      <c r="N73" s="2133"/>
      <c r="O73" s="2133"/>
      <c r="P73" s="2133"/>
      <c r="Q73" s="2133"/>
      <c r="R73" s="2133"/>
      <c r="S73" s="2133"/>
      <c r="T73" s="2133"/>
      <c r="U73" s="2133"/>
      <c r="V73" s="2133"/>
      <c r="W73" s="2133"/>
      <c r="X73" s="2133"/>
      <c r="Y73" s="2133"/>
      <c r="Z73" s="2133"/>
      <c r="AA73" s="1435"/>
      <c r="AB73" s="1435"/>
      <c r="AC73" s="1435"/>
      <c r="AD73" s="1435"/>
      <c r="AE73" s="1435"/>
      <c r="AF73" s="1435"/>
      <c r="AG73" s="1435"/>
      <c r="AH73" s="1435"/>
      <c r="AI73" s="1435"/>
    </row>
    <row r="74" spans="1:35" s="1265" customFormat="1" ht="24">
      <c r="A74" s="549" t="s">
        <v>1893</v>
      </c>
      <c r="B74" s="530" t="s">
        <v>324</v>
      </c>
      <c r="C74" s="532">
        <f>ROUND(IF(G77="2016年5月1日后购买",C75/(1+'数据-取费表'!C42)+C76+C77,C75+C76+C77),0)</f>
        <v>0</v>
      </c>
      <c r="D74" s="532" t="s">
        <v>167</v>
      </c>
      <c r="E74" s="1918"/>
      <c r="F74" s="1919"/>
      <c r="G74" s="1919"/>
      <c r="H74" s="548"/>
      <c r="I74" s="2282"/>
      <c r="J74" s="2133"/>
      <c r="K74" s="2133"/>
      <c r="L74" s="2133"/>
      <c r="M74" s="2133"/>
      <c r="N74" s="2133"/>
      <c r="O74" s="2133"/>
      <c r="P74" s="2133"/>
      <c r="Q74" s="2133"/>
      <c r="R74" s="2133"/>
      <c r="S74" s="2133"/>
      <c r="T74" s="2133"/>
      <c r="U74" s="2133"/>
      <c r="V74" s="2133"/>
      <c r="W74" s="2133"/>
      <c r="X74" s="2133"/>
      <c r="Y74" s="2133"/>
      <c r="Z74" s="2133"/>
      <c r="AA74" s="1435"/>
      <c r="AB74" s="1435"/>
      <c r="AC74" s="1435"/>
      <c r="AD74" s="1435"/>
      <c r="AE74" s="1435"/>
      <c r="AF74" s="1435"/>
      <c r="AG74" s="1435"/>
      <c r="AH74" s="1435"/>
      <c r="AI74" s="1435"/>
    </row>
    <row r="75" spans="1:35" s="1265" customFormat="1" ht="13.5">
      <c r="A75" s="549" t="s">
        <v>1894</v>
      </c>
      <c r="B75" s="530" t="s">
        <v>325</v>
      </c>
      <c r="C75" s="550"/>
      <c r="D75" s="532" t="s">
        <v>167</v>
      </c>
      <c r="E75" s="551" t="s">
        <v>326</v>
      </c>
      <c r="F75" s="1427" t="s">
        <v>2412</v>
      </c>
      <c r="G75" s="551" t="s">
        <v>796</v>
      </c>
      <c r="H75" s="552"/>
      <c r="I75" s="2283"/>
      <c r="J75" s="2133"/>
      <c r="K75" s="2133"/>
      <c r="L75" s="2133"/>
      <c r="M75" s="2133"/>
      <c r="N75" s="2133"/>
      <c r="O75" s="2133"/>
      <c r="P75" s="2133"/>
      <c r="Q75" s="2133"/>
      <c r="R75" s="2133"/>
      <c r="S75" s="2133"/>
      <c r="T75" s="2133"/>
      <c r="U75" s="2133"/>
      <c r="V75" s="2133"/>
      <c r="W75" s="2133"/>
      <c r="X75" s="2133"/>
      <c r="Y75" s="2133"/>
      <c r="Z75" s="2133"/>
      <c r="AA75" s="1435"/>
      <c r="AB75" s="1435"/>
      <c r="AC75" s="1435"/>
      <c r="AD75" s="1435"/>
      <c r="AE75" s="1435"/>
      <c r="AF75" s="1435"/>
      <c r="AG75" s="1435"/>
      <c r="AH75" s="1435"/>
      <c r="AI75" s="1435"/>
    </row>
    <row r="76" spans="1:35" s="1265" customFormat="1" ht="24.75" customHeight="1">
      <c r="A76" s="549" t="s">
        <v>1896</v>
      </c>
      <c r="B76" s="553" t="s">
        <v>327</v>
      </c>
      <c r="C76" s="532">
        <f>IF(F75="购房发票",ROUND(C75*H75*D76,0),0)</f>
        <v>0</v>
      </c>
      <c r="D76" s="554">
        <v>0.05</v>
      </c>
      <c r="E76" s="3539" t="s">
        <v>328</v>
      </c>
      <c r="F76" s="3538"/>
      <c r="G76" s="3538"/>
      <c r="H76" s="3541"/>
      <c r="I76" s="2282"/>
      <c r="J76" s="2133"/>
      <c r="K76" s="2133"/>
      <c r="L76" s="2133"/>
      <c r="M76" s="2133"/>
      <c r="N76" s="2133"/>
      <c r="O76" s="2133"/>
      <c r="P76" s="2133"/>
      <c r="Q76" s="2133"/>
      <c r="R76" s="2133"/>
      <c r="S76" s="2133"/>
      <c r="T76" s="2133"/>
      <c r="U76" s="2133"/>
      <c r="V76" s="2133"/>
      <c r="W76" s="2133"/>
      <c r="X76" s="2133"/>
      <c r="Y76" s="2133"/>
      <c r="Z76" s="2133"/>
      <c r="AA76" s="1435"/>
      <c r="AB76" s="1435"/>
      <c r="AC76" s="1435"/>
      <c r="AD76" s="1435"/>
      <c r="AE76" s="1435"/>
      <c r="AF76" s="1435"/>
      <c r="AG76" s="1435"/>
      <c r="AH76" s="1435"/>
      <c r="AI76" s="1435"/>
    </row>
    <row r="77" spans="1:35" s="1265" customFormat="1" ht="24.75" customHeight="1">
      <c r="A77" s="549" t="s">
        <v>1897</v>
      </c>
      <c r="B77" s="530" t="s">
        <v>329</v>
      </c>
      <c r="C77" s="532">
        <f>ROUND(IF(G77="个人住宅",0,IF(G77="2016年5月1日前购买",C75*D77,C75*D77/(1+'数据-取费表'!C42))),0)</f>
        <v>0</v>
      </c>
      <c r="D77" s="555">
        <f>'数据-取费表'!B48+'数据-取费表'!B49</f>
        <v>0</v>
      </c>
      <c r="E77" s="303" t="s">
        <v>797</v>
      </c>
      <c r="F77" s="556"/>
      <c r="G77" s="1428" t="s">
        <v>2503</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5"/>
      <c r="AB77" s="1435"/>
      <c r="AC77" s="1435"/>
      <c r="AD77" s="1435"/>
      <c r="AE77" s="1435"/>
      <c r="AF77" s="1435"/>
      <c r="AG77" s="1435"/>
      <c r="AH77" s="1435"/>
      <c r="AI77" s="1435"/>
    </row>
    <row r="78" spans="1:35" s="1265" customFormat="1" ht="24.75" customHeight="1">
      <c r="A78" s="549" t="s">
        <v>1895</v>
      </c>
      <c r="B78" s="530" t="s">
        <v>330</v>
      </c>
      <c r="C78" s="557">
        <f ca="1">ROUND(D45*D78/(1+'数据-取费表'!C42),0)</f>
        <v>40</v>
      </c>
      <c r="D78" s="558">
        <f>'数据-取费表'!B43</f>
        <v>6.000000000000001E-3</v>
      </c>
      <c r="E78" s="3534" t="s">
        <v>2504</v>
      </c>
      <c r="F78" s="3530"/>
      <c r="G78" s="3530"/>
      <c r="H78" s="3531"/>
      <c r="I78" s="2284"/>
      <c r="J78" s="2133"/>
      <c r="K78" s="2133"/>
      <c r="L78" s="2133"/>
      <c r="M78" s="2133"/>
      <c r="N78" s="2133"/>
      <c r="O78" s="2133"/>
      <c r="P78" s="2133"/>
      <c r="Q78" s="2133"/>
      <c r="R78" s="2133"/>
      <c r="S78" s="2133"/>
      <c r="T78" s="2133"/>
      <c r="U78" s="2133"/>
      <c r="V78" s="2133"/>
      <c r="W78" s="2133"/>
      <c r="X78" s="2133"/>
      <c r="Y78" s="2133"/>
      <c r="Z78" s="2133"/>
      <c r="AA78" s="1435"/>
      <c r="AB78" s="1435"/>
      <c r="AC78" s="1435"/>
      <c r="AD78" s="1435"/>
      <c r="AE78" s="1435"/>
      <c r="AF78" s="1435"/>
      <c r="AG78" s="1435"/>
      <c r="AH78" s="1435"/>
      <c r="AI78" s="1435"/>
    </row>
    <row r="79" spans="1:35" s="1265" customFormat="1" ht="14.25">
      <c r="A79" s="1797" t="s">
        <v>1898</v>
      </c>
      <c r="B79" s="536" t="s">
        <v>331</v>
      </c>
      <c r="C79" s="539">
        <f ca="1">C72-C73</f>
        <v>6545</v>
      </c>
      <c r="D79" s="532" t="s">
        <v>167</v>
      </c>
      <c r="E79" s="1918"/>
      <c r="F79" s="1919"/>
      <c r="G79" s="1919"/>
      <c r="H79" s="548"/>
      <c r="I79" s="2282"/>
      <c r="J79" s="2133"/>
      <c r="K79" s="2133"/>
      <c r="L79" s="2133"/>
      <c r="M79" s="2133"/>
      <c r="N79" s="2133"/>
      <c r="O79" s="2133"/>
      <c r="P79" s="2133"/>
      <c r="Q79" s="2133"/>
      <c r="R79" s="2133"/>
      <c r="S79" s="2133"/>
      <c r="T79" s="2133"/>
      <c r="U79" s="2133"/>
      <c r="V79" s="2133"/>
      <c r="W79" s="2133"/>
      <c r="X79" s="2133"/>
      <c r="Y79" s="2133"/>
      <c r="Z79" s="2133"/>
      <c r="AA79" s="1435"/>
      <c r="AB79" s="1435"/>
      <c r="AC79" s="1435"/>
      <c r="AD79" s="1435"/>
      <c r="AE79" s="1435"/>
      <c r="AF79" s="1435"/>
      <c r="AG79" s="1435"/>
      <c r="AH79" s="1435"/>
      <c r="AI79" s="1435"/>
    </row>
    <row r="80" spans="1:35" s="1265" customFormat="1" ht="24">
      <c r="A80" s="1797" t="s">
        <v>1899</v>
      </c>
      <c r="B80" s="536" t="s">
        <v>332</v>
      </c>
      <c r="C80" s="559">
        <f ca="1">IF(C79&lt;=0,0,C79/C73)</f>
        <v>163.625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2"/>
      <c r="J80" s="2133"/>
      <c r="K80" s="2133"/>
      <c r="L80" s="2133"/>
      <c r="M80" s="2133"/>
      <c r="N80" s="2133"/>
      <c r="O80" s="2133"/>
      <c r="P80" s="2133"/>
      <c r="Q80" s="2133"/>
      <c r="R80" s="2133"/>
      <c r="S80" s="2133"/>
      <c r="T80" s="2133"/>
      <c r="U80" s="2133"/>
      <c r="V80" s="2133"/>
      <c r="W80" s="2133"/>
      <c r="X80" s="2133"/>
      <c r="Y80" s="2133"/>
      <c r="Z80" s="2133"/>
      <c r="AA80" s="1435"/>
      <c r="AB80" s="1435"/>
      <c r="AC80" s="1435"/>
      <c r="AD80" s="1435"/>
      <c r="AE80" s="1435"/>
      <c r="AF80" s="1435"/>
      <c r="AG80" s="1435"/>
      <c r="AH80" s="1435"/>
      <c r="AI80" s="1435"/>
    </row>
    <row r="81" spans="1:35" s="1265" customFormat="1" ht="24.75" thickBot="1">
      <c r="A81" s="1798" t="s">
        <v>1900</v>
      </c>
      <c r="B81" s="541" t="s">
        <v>333</v>
      </c>
      <c r="C81" s="560">
        <f ca="1">ROUND(IF(C79&lt;=0,0,IF(C80&gt;=200%,C79*60%-C73*35%,IF(C80&gt;=100%,C79*50%-C73*15%,IF(C80&gt;=50%,C79*40%-C73*5%,IF(C80&lt;50%,C79*30%,0))))),0)</f>
        <v>3913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4"/>
      <c r="J82" s="2133"/>
      <c r="K82" s="2133"/>
      <c r="L82" s="2133"/>
      <c r="M82" s="2133"/>
      <c r="N82" s="2133"/>
      <c r="O82" s="2133"/>
      <c r="P82" s="2133"/>
      <c r="Q82" s="2133"/>
      <c r="R82" s="2133"/>
      <c r="S82" s="2133"/>
      <c r="T82" s="2133"/>
      <c r="U82" s="2133"/>
      <c r="V82" s="2133"/>
      <c r="W82" s="2133"/>
      <c r="X82" s="2133"/>
      <c r="Y82" s="2133"/>
      <c r="Z82" s="2133"/>
      <c r="AA82" s="1435"/>
      <c r="AB82" s="1435"/>
      <c r="AC82" s="1435"/>
      <c r="AD82" s="1435"/>
      <c r="AE82" s="1435"/>
      <c r="AF82" s="1435"/>
      <c r="AG82" s="1435"/>
      <c r="AH82" s="1435"/>
      <c r="AI82" s="1435"/>
    </row>
    <row r="83" spans="1:35" s="1265" customFormat="1" ht="14.25" thickBot="1">
      <c r="A83" s="3542" t="s">
        <v>334</v>
      </c>
      <c r="B83" s="3543"/>
      <c r="C83" s="3543"/>
      <c r="D83" s="3543"/>
      <c r="E83" s="3543"/>
      <c r="F83" s="3543"/>
      <c r="G83" s="3543"/>
      <c r="H83" s="3543"/>
      <c r="I83" s="2283"/>
      <c r="J83" s="2133"/>
      <c r="K83" s="2133"/>
      <c r="L83" s="2133"/>
      <c r="M83" s="2133"/>
      <c r="N83" s="2133"/>
      <c r="O83" s="2133"/>
      <c r="P83" s="2133"/>
      <c r="Q83" s="2133"/>
      <c r="R83" s="2133"/>
      <c r="S83" s="2133"/>
      <c r="T83" s="2133"/>
      <c r="U83" s="2133"/>
      <c r="V83" s="2133"/>
      <c r="W83" s="2133"/>
      <c r="X83" s="2133"/>
      <c r="Y83" s="2133"/>
      <c r="Z83" s="2133"/>
      <c r="AA83" s="1435"/>
      <c r="AB83" s="1435"/>
      <c r="AC83" s="1435"/>
      <c r="AD83" s="1435"/>
      <c r="AE83" s="1435"/>
      <c r="AF83" s="1435"/>
      <c r="AG83" s="1435"/>
      <c r="AH83" s="1435"/>
      <c r="AI83" s="1435"/>
    </row>
    <row r="84" spans="1:35" s="1265" customFormat="1" ht="13.5">
      <c r="A84" s="3532" t="s">
        <v>312</v>
      </c>
      <c r="B84" s="3533"/>
      <c r="C84" s="1915"/>
      <c r="D84" s="1915" t="s">
        <v>320</v>
      </c>
      <c r="E84" s="545" t="s">
        <v>321</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5"/>
      <c r="AB84" s="1435"/>
      <c r="AC84" s="1435"/>
      <c r="AD84" s="1435"/>
      <c r="AE84" s="1435"/>
      <c r="AF84" s="1435"/>
      <c r="AG84" s="1435"/>
      <c r="AH84" s="1435"/>
      <c r="AI84" s="1435"/>
    </row>
    <row r="85" spans="1:35" s="1265" customFormat="1" ht="13.5">
      <c r="A85" s="535" t="s">
        <v>1892</v>
      </c>
      <c r="B85" s="536" t="s">
        <v>322</v>
      </c>
      <c r="C85" s="539">
        <f ca="1">ROUND(D45/(1+'数据-取费表'!C42),0)</f>
        <v>6585</v>
      </c>
      <c r="D85" s="532" t="s">
        <v>167</v>
      </c>
      <c r="E85" s="1918"/>
      <c r="F85" s="1919"/>
      <c r="G85" s="1919"/>
      <c r="H85" s="566"/>
      <c r="I85" s="2283"/>
      <c r="J85" s="2133"/>
      <c r="K85" s="2133"/>
      <c r="L85" s="2133"/>
      <c r="M85" s="2133"/>
      <c r="N85" s="2133"/>
      <c r="O85" s="2133"/>
      <c r="P85" s="2133"/>
      <c r="Q85" s="2133"/>
      <c r="R85" s="2133"/>
      <c r="S85" s="2133"/>
      <c r="T85" s="2133"/>
      <c r="U85" s="2133"/>
      <c r="V85" s="2133"/>
      <c r="W85" s="2133"/>
      <c r="X85" s="2133"/>
      <c r="Y85" s="2133"/>
      <c r="Z85" s="2133"/>
      <c r="AA85" s="1435"/>
      <c r="AB85" s="1435"/>
      <c r="AC85" s="1435"/>
      <c r="AD85" s="1435"/>
      <c r="AE85" s="1435"/>
      <c r="AF85" s="1435"/>
      <c r="AG85" s="1435"/>
      <c r="AH85" s="1435"/>
      <c r="AI85" s="1435"/>
    </row>
    <row r="86" spans="1:35" s="1265" customFormat="1" ht="13.5">
      <c r="A86" s="535" t="s">
        <v>1889</v>
      </c>
      <c r="B86" s="505" t="s">
        <v>323</v>
      </c>
      <c r="C86" s="539">
        <f ca="1">IF(H88="仅含出让金",C87+C90+C91+C92+C93+C94,C87+C91+C92+C93+C94)</f>
        <v>40</v>
      </c>
      <c r="D86" s="567"/>
      <c r="E86" s="1918"/>
      <c r="F86" s="1919"/>
      <c r="G86" s="1919"/>
      <c r="H86" s="566"/>
      <c r="I86" s="2283"/>
      <c r="J86" s="2133"/>
      <c r="K86" s="2133"/>
      <c r="L86" s="2133"/>
      <c r="M86" s="2133"/>
      <c r="N86" s="2133"/>
      <c r="O86" s="2133"/>
      <c r="P86" s="2133"/>
      <c r="Q86" s="2133"/>
      <c r="R86" s="2133"/>
      <c r="S86" s="2133"/>
      <c r="T86" s="2133"/>
      <c r="U86" s="2133"/>
      <c r="V86" s="2133"/>
      <c r="W86" s="2133"/>
      <c r="X86" s="2133"/>
      <c r="Y86" s="2133"/>
      <c r="Z86" s="2133"/>
      <c r="AA86" s="1435"/>
      <c r="AB86" s="1435"/>
      <c r="AC86" s="1435"/>
      <c r="AD86" s="1435"/>
      <c r="AE86" s="1435"/>
      <c r="AF86" s="1435"/>
      <c r="AG86" s="1435"/>
      <c r="AH86" s="1435"/>
      <c r="AI86" s="1435"/>
    </row>
    <row r="87" spans="1:35" s="1265" customFormat="1" ht="13.5">
      <c r="A87" s="549" t="s">
        <v>1893</v>
      </c>
      <c r="B87" s="530" t="s">
        <v>335</v>
      </c>
      <c r="C87" s="557">
        <f>C88+C89</f>
        <v>0</v>
      </c>
      <c r="D87" s="558"/>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5"/>
      <c r="AB87" s="1435"/>
      <c r="AC87" s="1435"/>
      <c r="AD87" s="1435"/>
      <c r="AE87" s="1435"/>
      <c r="AF87" s="1435"/>
      <c r="AG87" s="1435"/>
      <c r="AH87" s="1435"/>
      <c r="AI87" s="1435"/>
    </row>
    <row r="88" spans="1:35" s="1265" customFormat="1" ht="13.5">
      <c r="A88" s="549" t="s">
        <v>1894</v>
      </c>
      <c r="B88" s="530" t="s">
        <v>336</v>
      </c>
      <c r="C88" s="568"/>
      <c r="D88" s="558"/>
      <c r="E88" s="569" t="s">
        <v>337</v>
      </c>
      <c r="F88" s="1914"/>
      <c r="G88" s="570" t="s">
        <v>338</v>
      </c>
      <c r="H88" s="1429"/>
      <c r="I88" s="2283"/>
      <c r="J88" s="2133"/>
      <c r="K88" s="2133"/>
      <c r="L88" s="2133"/>
      <c r="M88" s="2133"/>
      <c r="N88" s="2133"/>
      <c r="O88" s="2133"/>
      <c r="P88" s="2133"/>
      <c r="Q88" s="2133"/>
      <c r="R88" s="2133"/>
      <c r="S88" s="2133"/>
      <c r="T88" s="2133"/>
      <c r="U88" s="2133"/>
      <c r="V88" s="2133"/>
      <c r="W88" s="2133"/>
      <c r="X88" s="2133"/>
      <c r="Y88" s="2133"/>
      <c r="Z88" s="2133"/>
      <c r="AA88" s="1435"/>
      <c r="AB88" s="1435"/>
      <c r="AC88" s="1435"/>
      <c r="AD88" s="1435"/>
      <c r="AE88" s="1435"/>
      <c r="AF88" s="1435"/>
      <c r="AG88" s="1435"/>
      <c r="AH88" s="1435"/>
      <c r="AI88" s="1435"/>
    </row>
    <row r="89" spans="1:35" s="1265" customFormat="1" ht="13.5">
      <c r="A89" s="549" t="s">
        <v>1896</v>
      </c>
      <c r="B89" s="530" t="s">
        <v>329</v>
      </c>
      <c r="C89" s="557">
        <f>ROUND(C88*D89,0)</f>
        <v>0</v>
      </c>
      <c r="D89" s="558">
        <f>'数据-取费表'!B48+'数据-取费表'!B49</f>
        <v>0</v>
      </c>
      <c r="E89" s="569" t="s">
        <v>339</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5"/>
      <c r="AB89" s="1435"/>
      <c r="AC89" s="1435"/>
      <c r="AD89" s="1435"/>
      <c r="AE89" s="1435"/>
      <c r="AF89" s="1435"/>
      <c r="AG89" s="1435"/>
      <c r="AH89" s="1435"/>
      <c r="AI89" s="1435"/>
    </row>
    <row r="90" spans="1:35" s="1265" customFormat="1" ht="13.5">
      <c r="A90" s="549" t="s">
        <v>1895</v>
      </c>
      <c r="B90" s="530" t="s">
        <v>340</v>
      </c>
      <c r="C90" s="568"/>
      <c r="D90" s="558"/>
      <c r="E90" s="569"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5"/>
      <c r="AB90" s="1435"/>
      <c r="AC90" s="1435"/>
      <c r="AD90" s="1435"/>
      <c r="AE90" s="1435"/>
      <c r="AF90" s="1435"/>
      <c r="AG90" s="1435"/>
      <c r="AH90" s="1435"/>
      <c r="AI90" s="1435"/>
    </row>
    <row r="91" spans="1:35" s="1265" customFormat="1" ht="27.75" customHeight="1">
      <c r="A91" s="1799" t="s">
        <v>1901</v>
      </c>
      <c r="B91" s="530" t="s">
        <v>341</v>
      </c>
      <c r="C91" s="557">
        <f>IF(H91="——",成本法!C33,I91)</f>
        <v>0</v>
      </c>
      <c r="D91" s="558"/>
      <c r="E91" s="3529" t="s">
        <v>798</v>
      </c>
      <c r="F91" s="3530"/>
      <c r="G91" s="3530"/>
      <c r="H91" s="1430" t="s">
        <v>2313</v>
      </c>
      <c r="I91" s="2180"/>
      <c r="J91" s="2133"/>
      <c r="K91" s="2133"/>
      <c r="L91" s="2133"/>
      <c r="M91" s="2133"/>
      <c r="N91" s="2133"/>
      <c r="O91" s="2133"/>
      <c r="P91" s="2133"/>
      <c r="Q91" s="2133"/>
      <c r="R91" s="2133"/>
      <c r="S91" s="2133"/>
      <c r="T91" s="2133"/>
      <c r="U91" s="2133"/>
      <c r="V91" s="2133"/>
      <c r="W91" s="2133"/>
      <c r="X91" s="2133"/>
      <c r="Y91" s="2133"/>
      <c r="Z91" s="2133"/>
      <c r="AA91" s="1435"/>
      <c r="AB91" s="1435"/>
      <c r="AC91" s="1435"/>
      <c r="AD91" s="1435"/>
      <c r="AE91" s="1435"/>
      <c r="AF91" s="1435"/>
      <c r="AG91" s="1435"/>
      <c r="AH91" s="1435"/>
      <c r="AI91" s="1435"/>
    </row>
    <row r="92" spans="1:35" s="1265" customFormat="1" ht="25.5" customHeight="1">
      <c r="A92" s="1799" t="s">
        <v>1902</v>
      </c>
      <c r="B92" s="530" t="s">
        <v>342</v>
      </c>
      <c r="C92" s="557">
        <f>ROUND((C87+C90+C91)*D92,0)</f>
        <v>0</v>
      </c>
      <c r="D92" s="558">
        <v>0.1</v>
      </c>
      <c r="E92" s="3529" t="s">
        <v>343</v>
      </c>
      <c r="F92" s="3530"/>
      <c r="G92" s="3530"/>
      <c r="H92" s="3531"/>
      <c r="I92" s="2283"/>
      <c r="J92" s="2133"/>
      <c r="K92" s="2133"/>
      <c r="L92" s="2133"/>
      <c r="M92" s="2133"/>
      <c r="N92" s="2133"/>
      <c r="O92" s="2133"/>
      <c r="P92" s="2133"/>
      <c r="Q92" s="2133"/>
      <c r="R92" s="2133"/>
      <c r="S92" s="2133"/>
      <c r="T92" s="2133"/>
      <c r="U92" s="2133"/>
      <c r="V92" s="2133"/>
      <c r="W92" s="2133"/>
      <c r="X92" s="2133"/>
      <c r="Y92" s="2133"/>
      <c r="Z92" s="2133"/>
      <c r="AA92" s="1435"/>
      <c r="AB92" s="1435"/>
      <c r="AC92" s="1435"/>
      <c r="AD92" s="1435"/>
      <c r="AE92" s="1435"/>
      <c r="AF92" s="1435"/>
      <c r="AG92" s="1435"/>
      <c r="AH92" s="1435"/>
      <c r="AI92" s="1435"/>
    </row>
    <row r="93" spans="1:35" s="1265" customFormat="1" ht="25.5" customHeight="1">
      <c r="A93" s="1799" t="s">
        <v>1903</v>
      </c>
      <c r="B93" s="530" t="s">
        <v>330</v>
      </c>
      <c r="C93" s="557">
        <f ca="1">ROUND(D45*D93/(1+'数据-取费表'!C42),0)</f>
        <v>40</v>
      </c>
      <c r="D93" s="558">
        <f>'数据-取费表'!B43</f>
        <v>6.000000000000001E-3</v>
      </c>
      <c r="E93" s="3534" t="s">
        <v>2504</v>
      </c>
      <c r="F93" s="3530"/>
      <c r="G93" s="3530"/>
      <c r="H93" s="3531"/>
      <c r="I93" s="2283"/>
      <c r="J93" s="2133"/>
      <c r="K93" s="2133"/>
      <c r="L93" s="2133"/>
      <c r="M93" s="2133"/>
      <c r="N93" s="2133"/>
      <c r="O93" s="2133"/>
      <c r="P93" s="2133"/>
      <c r="Q93" s="2133"/>
      <c r="R93" s="2133"/>
      <c r="S93" s="2133"/>
      <c r="T93" s="2133"/>
      <c r="U93" s="2133"/>
      <c r="V93" s="2133"/>
      <c r="W93" s="2133"/>
      <c r="X93" s="2133"/>
      <c r="Y93" s="2133"/>
      <c r="Z93" s="2133"/>
      <c r="AA93" s="1435"/>
      <c r="AB93" s="1435"/>
      <c r="AC93" s="1435"/>
      <c r="AD93" s="1435"/>
      <c r="AE93" s="1435"/>
      <c r="AF93" s="1435"/>
      <c r="AG93" s="1435"/>
      <c r="AH93" s="1435"/>
      <c r="AI93" s="1435"/>
    </row>
    <row r="94" spans="1:35" s="1265" customFormat="1" ht="36.75" customHeight="1">
      <c r="A94" s="1799" t="s">
        <v>1904</v>
      </c>
      <c r="B94" s="530" t="s">
        <v>344</v>
      </c>
      <c r="C94" s="568">
        <f>ROUND((C87+C90+C91)*D94,0)</f>
        <v>0</v>
      </c>
      <c r="D94" s="558">
        <v>0.2</v>
      </c>
      <c r="E94" s="3582" t="s">
        <v>3050</v>
      </c>
      <c r="F94" s="3583"/>
      <c r="G94" s="3583"/>
      <c r="H94" s="3584"/>
      <c r="I94" s="2283"/>
      <c r="J94" s="2133"/>
      <c r="K94" s="2133"/>
      <c r="L94" s="2133"/>
      <c r="M94" s="2133"/>
      <c r="N94" s="2133"/>
      <c r="O94" s="2133"/>
      <c r="P94" s="2133"/>
      <c r="Q94" s="2133"/>
      <c r="R94" s="2133"/>
      <c r="S94" s="2133"/>
      <c r="T94" s="2133"/>
      <c r="U94" s="2133"/>
      <c r="V94" s="2133"/>
      <c r="W94" s="2133"/>
      <c r="X94" s="2133"/>
      <c r="Y94" s="2133"/>
      <c r="Z94" s="2133"/>
      <c r="AA94" s="1435"/>
      <c r="AB94" s="1435"/>
      <c r="AC94" s="1435"/>
      <c r="AD94" s="1435"/>
      <c r="AE94" s="1435"/>
      <c r="AF94" s="1435"/>
      <c r="AG94" s="1435"/>
      <c r="AH94" s="1435"/>
      <c r="AI94" s="1435"/>
    </row>
    <row r="95" spans="1:35" s="1265" customFormat="1" ht="13.5">
      <c r="A95" s="1797" t="s">
        <v>1898</v>
      </c>
      <c r="B95" s="536" t="s">
        <v>331</v>
      </c>
      <c r="C95" s="539">
        <f ca="1">ROUND(C85-C86,0)</f>
        <v>6545</v>
      </c>
      <c r="D95" s="532" t="s">
        <v>167</v>
      </c>
      <c r="E95" s="1918"/>
      <c r="F95" s="1919"/>
      <c r="G95" s="1919"/>
      <c r="H95" s="566"/>
      <c r="I95" s="2283"/>
      <c r="J95" s="2133"/>
      <c r="K95" s="2133"/>
      <c r="L95" s="2133"/>
      <c r="M95" s="2133"/>
      <c r="N95" s="2133"/>
      <c r="O95" s="2133"/>
      <c r="P95" s="2133"/>
      <c r="Q95" s="2133"/>
      <c r="R95" s="2133"/>
      <c r="S95" s="2133"/>
      <c r="T95" s="2133"/>
      <c r="U95" s="2133"/>
      <c r="V95" s="2133"/>
      <c r="W95" s="2133"/>
      <c r="X95" s="2133"/>
      <c r="Y95" s="2133"/>
      <c r="Z95" s="2133"/>
      <c r="AA95" s="1435"/>
      <c r="AB95" s="1435"/>
      <c r="AC95" s="1435"/>
      <c r="AD95" s="1435"/>
      <c r="AE95" s="1435"/>
      <c r="AF95" s="1435"/>
      <c r="AG95" s="1435"/>
      <c r="AH95" s="1435"/>
      <c r="AI95" s="1435"/>
    </row>
    <row r="96" spans="1:35" s="1265" customFormat="1" ht="24">
      <c r="A96" s="1797" t="s">
        <v>1899</v>
      </c>
      <c r="B96" s="536" t="s">
        <v>332</v>
      </c>
      <c r="C96" s="559">
        <f ca="1">IF(C95&lt;=0,0,C95/C86)</f>
        <v>163.625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83"/>
      <c r="J96" s="2133"/>
      <c r="K96" s="2133"/>
      <c r="L96" s="2133"/>
      <c r="M96" s="2133"/>
      <c r="N96" s="2133"/>
      <c r="O96" s="2133"/>
      <c r="P96" s="2133"/>
      <c r="Q96" s="2133"/>
      <c r="R96" s="2133"/>
      <c r="S96" s="2133"/>
      <c r="T96" s="2133"/>
      <c r="U96" s="2133"/>
      <c r="V96" s="2133"/>
      <c r="W96" s="2133"/>
      <c r="X96" s="2133"/>
      <c r="Y96" s="2133"/>
      <c r="Z96" s="2133"/>
      <c r="AA96" s="1435"/>
      <c r="AB96" s="1435"/>
      <c r="AC96" s="1435"/>
      <c r="AD96" s="1435"/>
      <c r="AE96" s="1435"/>
      <c r="AF96" s="1435"/>
      <c r="AG96" s="1435"/>
      <c r="AH96" s="1435"/>
      <c r="AI96" s="1435"/>
    </row>
    <row r="97" spans="1:35" s="1265" customFormat="1" ht="24.75" thickBot="1">
      <c r="A97" s="1798" t="s">
        <v>1900</v>
      </c>
      <c r="B97" s="541" t="s">
        <v>333</v>
      </c>
      <c r="C97" s="560">
        <f ca="1">ROUND(IF(C95&lt;=0,0,IF(C96&gt;=200%,C95*60%-C86*35%,IF(C96&gt;=100%,C95*50%-C86*15%,IF(C96&gt;=50%,C95*40%-C86*5%,IF(C96&lt;50%,C95*30%,0))))),0)</f>
        <v>3913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5"/>
    </row>
    <row r="99" spans="1:35" ht="21.75" customHeight="1" thickBot="1">
      <c r="A99" s="1252" t="s">
        <v>229</v>
      </c>
      <c r="B99" s="1243"/>
      <c r="C99" s="1243"/>
      <c r="D99" s="1243"/>
      <c r="E99" s="229"/>
      <c r="F99" s="229"/>
      <c r="G99" s="229"/>
      <c r="H99" s="241"/>
      <c r="I99" s="2275"/>
    </row>
    <row r="100" spans="1:35" ht="18.75" customHeight="1">
      <c r="A100" s="3477" t="s">
        <v>230</v>
      </c>
      <c r="B100" s="3478"/>
      <c r="C100" s="3478"/>
      <c r="D100" s="3512"/>
      <c r="E100" s="3478" t="s">
        <v>2902</v>
      </c>
      <c r="F100" s="3478"/>
      <c r="G100" s="3478"/>
      <c r="H100" s="3512"/>
      <c r="I100" s="2275"/>
    </row>
    <row r="101" spans="1:35" ht="18.75" customHeight="1">
      <c r="A101" s="3520" t="s">
        <v>208</v>
      </c>
      <c r="B101" s="3521"/>
      <c r="C101" s="1266" t="str">
        <f>C4</f>
        <v>比较法-办公</v>
      </c>
      <c r="D101" s="1267" t="str">
        <f>D4</f>
        <v>收益法</v>
      </c>
      <c r="E101" s="3489" t="s">
        <v>1906</v>
      </c>
      <c r="F101" s="3490"/>
      <c r="G101" s="1268" t="s">
        <v>210</v>
      </c>
      <c r="H101" s="1983">
        <f ca="1">H118</f>
        <v>6914</v>
      </c>
      <c r="I101" s="2275"/>
    </row>
    <row r="102" spans="1:35" ht="18.75" customHeight="1">
      <c r="A102" s="3522" t="s">
        <v>209</v>
      </c>
      <c r="B102" s="1268" t="s">
        <v>210</v>
      </c>
      <c r="C102" s="1235">
        <f ca="1">C19</f>
        <v>6955</v>
      </c>
      <c r="D102" s="1236">
        <f ca="1">D19</f>
        <v>6873</v>
      </c>
      <c r="E102" s="3489"/>
      <c r="F102" s="3490"/>
      <c r="G102" s="1268" t="s">
        <v>211</v>
      </c>
      <c r="H102" s="711">
        <f ca="1">I118</f>
        <v>32939</v>
      </c>
      <c r="I102" s="2275"/>
    </row>
    <row r="103" spans="1:35" ht="42.75" customHeight="1">
      <c r="A103" s="3522"/>
      <c r="B103" s="1268" t="s">
        <v>211</v>
      </c>
      <c r="C103" s="1237">
        <f ca="1">C20</f>
        <v>33133</v>
      </c>
      <c r="D103" s="1238">
        <f ca="1">D20</f>
        <v>32744</v>
      </c>
      <c r="E103" s="3483" t="s">
        <v>3012</v>
      </c>
      <c r="F103" s="3484"/>
      <c r="G103" s="1269" t="s">
        <v>213</v>
      </c>
      <c r="H103" s="1983">
        <f>IF(D36="正常操作",H104+H105+H106,H105+H106)</f>
        <v>0</v>
      </c>
      <c r="I103" s="2275"/>
    </row>
    <row r="104" spans="1:35" ht="18.75" customHeight="1">
      <c r="A104" s="3522" t="s">
        <v>212</v>
      </c>
      <c r="B104" s="1270" t="s">
        <v>210</v>
      </c>
      <c r="C104" s="1239">
        <f ca="1">H118</f>
        <v>6914</v>
      </c>
      <c r="D104" s="1240"/>
      <c r="E104" s="13" t="s">
        <v>1905</v>
      </c>
      <c r="F104" s="6"/>
      <c r="G104" s="1269" t="s">
        <v>213</v>
      </c>
      <c r="H104" s="1984">
        <f>IF(D36="同一抵押权人同一抵押物续贷",C36&amp;"（未扣减，详见特别提示）",C36)</f>
        <v>0</v>
      </c>
      <c r="I104" s="2275"/>
    </row>
    <row r="105" spans="1:35" ht="18.75" customHeight="1" thickBot="1">
      <c r="A105" s="3536"/>
      <c r="B105" s="1271" t="s">
        <v>211</v>
      </c>
      <c r="C105" s="1241">
        <f ca="1">I118</f>
        <v>32939</v>
      </c>
      <c r="D105" s="1242"/>
      <c r="E105" s="13" t="s">
        <v>1907</v>
      </c>
      <c r="F105" s="6"/>
      <c r="G105" s="1269" t="s">
        <v>213</v>
      </c>
      <c r="H105" s="1984">
        <f>C37</f>
        <v>0</v>
      </c>
      <c r="I105" s="2275"/>
    </row>
    <row r="106" spans="1:35" ht="18.75" customHeight="1">
      <c r="A106" s="1243" t="s">
        <v>2003</v>
      </c>
      <c r="B106" s="1243"/>
      <c r="C106" s="1243"/>
      <c r="D106" s="1243"/>
      <c r="E106" s="467" t="s">
        <v>1908</v>
      </c>
      <c r="F106" s="6"/>
      <c r="G106" s="1269" t="s">
        <v>213</v>
      </c>
      <c r="H106" s="1984">
        <f>C38</f>
        <v>0</v>
      </c>
      <c r="I106" s="2275"/>
    </row>
    <row r="107" spans="1:35" ht="18.75" customHeight="1">
      <c r="A107" s="2275"/>
      <c r="B107" s="2275"/>
      <c r="C107" s="2275"/>
      <c r="D107" s="2275"/>
      <c r="E107" s="3524" t="str">
        <f>IF(项目基本情况!E8="已注销","——","3.房地产抵押价值")</f>
        <v>3.房地产抵押价值</v>
      </c>
      <c r="F107" s="3490"/>
      <c r="G107" s="1268" t="s">
        <v>210</v>
      </c>
      <c r="H107" s="1983">
        <f ca="1">IF(E107="——","——",H101-H103)</f>
        <v>6914</v>
      </c>
      <c r="I107" s="2275"/>
    </row>
    <row r="108" spans="1:35" ht="18.75" customHeight="1">
      <c r="A108" s="2275"/>
      <c r="B108" s="2275"/>
      <c r="C108" s="2275"/>
      <c r="D108" s="2275"/>
      <c r="E108" s="3524"/>
      <c r="F108" s="3490"/>
      <c r="G108" s="1268" t="s">
        <v>211</v>
      </c>
      <c r="H108" s="711">
        <f ca="1">ROUND(H107*10000/'数据-汇总表'!E3,0)</f>
        <v>32939</v>
      </c>
      <c r="I108" s="2275"/>
    </row>
    <row r="109" spans="1:35" ht="18.75" customHeight="1">
      <c r="A109" s="2275"/>
      <c r="B109" s="2275"/>
      <c r="C109" s="2275"/>
      <c r="D109" s="2275"/>
      <c r="E109" s="3524" t="str">
        <f>IF(项目基本情况!E8="已注销及未注销","4.抵押担保权已注销时的房地产抵押价值",IF(项目基本情况!E8="已注销","3.抵押担保权已注销时的房地产抵押价值","——"))</f>
        <v>——</v>
      </c>
      <c r="F109" s="3490"/>
      <c r="G109" s="1268" t="s">
        <v>210</v>
      </c>
      <c r="H109" s="685" t="str">
        <f>IF(E109="——","——",H101-H105-H106)</f>
        <v>——</v>
      </c>
      <c r="I109" s="2275"/>
    </row>
    <row r="110" spans="1:35" ht="18.75" customHeight="1">
      <c r="A110" s="2275"/>
      <c r="B110" s="2275"/>
      <c r="C110" s="2275"/>
      <c r="D110" s="2275"/>
      <c r="E110" s="3524"/>
      <c r="F110" s="3490"/>
      <c r="G110" s="1268" t="s">
        <v>211</v>
      </c>
      <c r="H110" s="711" t="str">
        <f>IF(H109="——","——",ROUND(H109*10000/'数据-汇总表'!E3,0))</f>
        <v>——</v>
      </c>
      <c r="I110" s="2275"/>
    </row>
    <row r="111" spans="1:35" ht="18.75" customHeight="1">
      <c r="A111" s="2275"/>
      <c r="B111" s="2275"/>
      <c r="C111" s="2275"/>
      <c r="D111" s="2275"/>
      <c r="E111" s="3525" t="str">
        <f>IF(项目基本情况!E9="抵押净值",IF(OR(项目基本情况!E8="已注销",项目基本情况!E8="房地产抵押价值"),"4.抵押净值","5.抵押净值"),"——")</f>
        <v>——</v>
      </c>
      <c r="F111" s="3526"/>
      <c r="G111" s="1268" t="s">
        <v>210</v>
      </c>
      <c r="H111" s="1983" t="str">
        <f>IF(E111="——","——",N59)</f>
        <v>——</v>
      </c>
      <c r="I111" s="2275"/>
    </row>
    <row r="112" spans="1:35" ht="18.75" customHeight="1" thickBot="1">
      <c r="A112" s="2275"/>
      <c r="B112" s="2275"/>
      <c r="C112" s="2275"/>
      <c r="D112" s="2275"/>
      <c r="E112" s="3527"/>
      <c r="F112" s="3528"/>
      <c r="G112" s="1272" t="s">
        <v>211</v>
      </c>
      <c r="H112" s="1423" t="str">
        <f>IF(E111="——","——",N61)</f>
        <v>——</v>
      </c>
      <c r="I112" s="2275"/>
    </row>
    <row r="113" spans="1:11" ht="18.75" customHeight="1">
      <c r="A113" s="2275"/>
      <c r="B113" s="2275"/>
      <c r="C113" s="2275"/>
      <c r="D113" s="2275"/>
      <c r="E113" s="3537" t="s">
        <v>2003</v>
      </c>
      <c r="F113" s="3537"/>
      <c r="G113" s="3537"/>
      <c r="H113" s="3537"/>
      <c r="I113" s="2275"/>
    </row>
    <row r="114" spans="1:11" ht="3.75" customHeight="1">
      <c r="A114" s="1243"/>
      <c r="B114" s="1243"/>
      <c r="C114" s="1243"/>
      <c r="D114" s="1243"/>
      <c r="E114" s="1258"/>
      <c r="F114" s="1258"/>
      <c r="G114" s="1258"/>
      <c r="H114" s="1258"/>
      <c r="I114" s="1243"/>
    </row>
    <row r="115" spans="1:11" ht="18.75" customHeight="1">
      <c r="A115" s="3550" t="s">
        <v>226</v>
      </c>
      <c r="B115" s="3551"/>
      <c r="C115" s="3551"/>
      <c r="D115" s="3551"/>
      <c r="E115" s="3551"/>
      <c r="F115" s="3551"/>
      <c r="G115" s="3551"/>
      <c r="H115" s="3551"/>
      <c r="I115" s="3552"/>
    </row>
    <row r="116" spans="1:11" ht="27" customHeight="1">
      <c r="A116" s="3457" t="s">
        <v>5</v>
      </c>
      <c r="B116" s="3499" t="s">
        <v>787</v>
      </c>
      <c r="C116" s="3499" t="s">
        <v>788</v>
      </c>
      <c r="D116" s="3508" t="s">
        <v>206</v>
      </c>
      <c r="E116" s="3509"/>
      <c r="F116" s="3546" t="s">
        <v>2381</v>
      </c>
      <c r="G116" s="3546"/>
      <c r="H116" s="3457" t="s">
        <v>6</v>
      </c>
      <c r="I116" s="3457"/>
    </row>
    <row r="117" spans="1:11" ht="18.75" customHeight="1">
      <c r="A117" s="3457"/>
      <c r="B117" s="3500"/>
      <c r="C117" s="3500"/>
      <c r="D117" s="1912" t="s">
        <v>7</v>
      </c>
      <c r="E117" s="1912" t="s">
        <v>789</v>
      </c>
      <c r="F117" s="1912" t="s">
        <v>7</v>
      </c>
      <c r="G117" s="1912" t="s">
        <v>8</v>
      </c>
      <c r="H117" s="1912" t="s">
        <v>7</v>
      </c>
      <c r="I117" s="1912" t="s">
        <v>8</v>
      </c>
    </row>
    <row r="118" spans="1:11" ht="24.75" customHeight="1">
      <c r="A118" s="2030" t="str">
        <f>项目基本情况!S2</f>
        <v>北京市朝阳区亮马桥路32号房地产</v>
      </c>
      <c r="B118" s="1917">
        <f>M18</f>
        <v>2099.0100000000002</v>
      </c>
      <c r="C118" s="1917">
        <f>M19</f>
        <v>215.3</v>
      </c>
      <c r="D118" s="1917">
        <f ca="1">ROUND(IF(D32="总价",C34,E118*B118/10000),0)</f>
        <v>5877</v>
      </c>
      <c r="E118" s="1917">
        <f ca="1">ROUND(IF(C33="自定义",IF(D32="楼面单价",C34,D118*10000/B118),I118-G118),0)</f>
        <v>27999</v>
      </c>
      <c r="F118" s="1917">
        <f ca="1">ROUND(IF(D32="总价",C35,G118*B118/10000),0)</f>
        <v>1037</v>
      </c>
      <c r="G118" s="1917">
        <f ca="1">ROUND(IF(D32="楼面单价",C35,F118*10000/B118),0)</f>
        <v>4940</v>
      </c>
      <c r="H118" s="1917">
        <f ca="1">ROUND(IF(D32="总价",C32,I118*B118/10000),0)</f>
        <v>6914</v>
      </c>
      <c r="I118" s="1917">
        <f ca="1">ROUND(IF(D32="楼面单价",C32,H118*10000/B118),0)</f>
        <v>32939</v>
      </c>
    </row>
    <row r="119" spans="1:11" ht="18.75" customHeight="1">
      <c r="A119" s="3457" t="s">
        <v>9</v>
      </c>
      <c r="B119" s="3457"/>
      <c r="C119" s="3457"/>
      <c r="D119" s="3501" t="str">
        <f ca="1">NUMBERSTRING(INT(D118*10000),2)&amp;"元整"</f>
        <v>伍仟捌佰柒拾柒万元整</v>
      </c>
      <c r="E119" s="3502"/>
      <c r="F119" s="3501" t="str">
        <f ca="1">NUMBERSTRING(INT(F118*10000),2)&amp;"元整"</f>
        <v>壹仟零叁拾柒万元整</v>
      </c>
      <c r="G119" s="3502"/>
      <c r="H119" s="3501" t="str">
        <f ca="1">NUMBERSTRING(INT(H118*10000),2)&amp;"元整"</f>
        <v>陆仟玖佰壹拾肆万元整</v>
      </c>
      <c r="I119" s="3502"/>
    </row>
    <row r="120" spans="1:11" ht="18.75" customHeight="1">
      <c r="A120" s="3503" t="str">
        <f>IF(项目基本情况!B9="房地产市场价值","",MID(E103,3,LEN(E103)-2))</f>
        <v>估价师知悉的法定优先受偿款</v>
      </c>
      <c r="B120" s="3504"/>
      <c r="C120" s="3505"/>
      <c r="D120" s="3496">
        <f>H103</f>
        <v>0</v>
      </c>
      <c r="E120" s="3497"/>
      <c r="F120" s="3497"/>
      <c r="G120" s="3497"/>
      <c r="H120" s="3497"/>
      <c r="I120" s="3498"/>
      <c r="K120" s="1434" t="str">
        <f>IF(D120=0,"故，本次评估不存在"&amp;A120,"故，本次评估"&amp;A120&amp;"为人民币"&amp;D120&amp;"万元整。")</f>
        <v>故，本次评估不存在估价师知悉的法定优先受偿款</v>
      </c>
    </row>
    <row r="121" spans="1:11" ht="18.75" customHeight="1">
      <c r="A121" s="3547" t="s">
        <v>9</v>
      </c>
      <c r="B121" s="3548"/>
      <c r="C121" s="3549"/>
      <c r="D121" s="3501" t="str">
        <f>IF(D120=0,"零元整",NUMBERSTRING(INT(D120*10000),2)&amp;"元整")</f>
        <v>零元整</v>
      </c>
      <c r="E121" s="3506"/>
      <c r="F121" s="3506"/>
      <c r="G121" s="3506"/>
      <c r="H121" s="3506"/>
      <c r="I121" s="3502"/>
    </row>
    <row r="122" spans="1:11" ht="18.75" customHeight="1">
      <c r="A122" s="3510" t="str">
        <f>IF(项目基本情况!B9="房地产市场价值","",MID(E107,3,LEN(E107)-2))</f>
        <v>房地产抵押价值</v>
      </c>
      <c r="B122" s="3510"/>
      <c r="C122" s="3510"/>
      <c r="D122" s="3496">
        <f ca="1">H107</f>
        <v>6914</v>
      </c>
      <c r="E122" s="3497"/>
      <c r="F122" s="3497"/>
      <c r="G122" s="3497"/>
      <c r="H122" s="3497"/>
      <c r="I122" s="3498"/>
    </row>
    <row r="123" spans="1:11" ht="18.75" customHeight="1">
      <c r="A123" s="3457" t="s">
        <v>9</v>
      </c>
      <c r="B123" s="3457"/>
      <c r="C123" s="3457"/>
      <c r="D123" s="3501" t="str">
        <f ca="1">NUMBERSTRING(INT(D122*10000),2)&amp;"元整"</f>
        <v>陆仟玖佰壹拾肆万元整</v>
      </c>
      <c r="E123" s="3506"/>
      <c r="F123" s="3506"/>
      <c r="G123" s="3506"/>
      <c r="H123" s="3506"/>
      <c r="I123" s="3502"/>
    </row>
    <row r="124" spans="1:11" ht="18.75" customHeight="1">
      <c r="A124" s="3510" t="str">
        <f>IF(项目基本情况!B9="房地产市场价值","",MID(E109,3,LEN(E109)-2))</f>
        <v/>
      </c>
      <c r="B124" s="3510"/>
      <c r="C124" s="3510"/>
      <c r="D124" s="3496" t="str">
        <f>H109</f>
        <v>——</v>
      </c>
      <c r="E124" s="3497"/>
      <c r="F124" s="3497"/>
      <c r="G124" s="3497"/>
      <c r="H124" s="3497"/>
      <c r="I124" s="3498"/>
    </row>
    <row r="125" spans="1:11" ht="18.75" customHeight="1">
      <c r="A125" s="3457" t="s">
        <v>9</v>
      </c>
      <c r="B125" s="3457"/>
      <c r="C125" s="3457"/>
      <c r="D125" s="3501" t="e">
        <f>NUMBERSTRING(INT(D124*10000),2)&amp;"元整"</f>
        <v>#VALUE!</v>
      </c>
      <c r="E125" s="3506"/>
      <c r="F125" s="3506"/>
      <c r="G125" s="3506"/>
      <c r="H125" s="3506"/>
      <c r="I125" s="3502"/>
    </row>
    <row r="126" spans="1:11" ht="18.75" customHeight="1">
      <c r="A126" s="3510" t="str">
        <f>IF(项目基本情况!B9="房地产市场价值","",MID(E111,3,LEN(E111)-2))</f>
        <v/>
      </c>
      <c r="B126" s="3510"/>
      <c r="C126" s="3510"/>
      <c r="D126" s="3496" t="str">
        <f>H111</f>
        <v>——</v>
      </c>
      <c r="E126" s="3497"/>
      <c r="F126" s="3497"/>
      <c r="G126" s="3497"/>
      <c r="H126" s="3497"/>
      <c r="I126" s="3498"/>
    </row>
    <row r="127" spans="1:11" ht="18.75" customHeight="1">
      <c r="A127" s="3457" t="s">
        <v>9</v>
      </c>
      <c r="B127" s="3457"/>
      <c r="C127" s="3457"/>
      <c r="D127" s="3501" t="e">
        <f>NUMBERSTRING(INT(D126*10000),2)&amp;"元整"</f>
        <v>#VALUE!</v>
      </c>
      <c r="E127" s="3506"/>
      <c r="F127" s="3506"/>
      <c r="G127" s="3506"/>
      <c r="H127" s="3506"/>
      <c r="I127" s="3502"/>
    </row>
    <row r="128" spans="1:11" ht="21.75" customHeight="1">
      <c r="A128" s="3507" t="s">
        <v>2002</v>
      </c>
      <c r="B128" s="3507"/>
      <c r="C128" s="3507"/>
      <c r="D128" s="3507"/>
      <c r="E128" s="3507"/>
      <c r="F128" s="3507"/>
      <c r="G128" s="3507"/>
      <c r="H128" s="3507"/>
      <c r="I128" s="3507"/>
    </row>
    <row r="129" spans="1:35" ht="21.75" customHeight="1">
      <c r="A129" s="2025" t="s">
        <v>790</v>
      </c>
      <c r="B129" s="2026"/>
      <c r="C129" s="468" t="s">
        <v>150</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791</v>
      </c>
      <c r="G135" s="1448"/>
      <c r="H135" s="1448"/>
      <c r="I135" s="1449" t="s">
        <v>792</v>
      </c>
    </row>
    <row r="136" spans="1:35" ht="21.75" customHeight="1">
      <c r="A136" s="1446"/>
      <c r="B136" s="1450" t="s">
        <v>793</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794</v>
      </c>
    </row>
    <row r="139" spans="1:35" ht="21.75" customHeight="1">
      <c r="A139" s="1446"/>
      <c r="B139" s="1450" t="s">
        <v>795</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794</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1959</v>
      </c>
      <c r="B36" s="1885" t="s">
        <v>1960</v>
      </c>
    </row>
    <row r="37" spans="1:9" ht="27.75" customHeight="1">
      <c r="A37" s="1885"/>
      <c r="B37" s="3392" t="str">
        <f>项目基本情况!B1</f>
        <v>北京市朝阳区亮马桥路32号房地产抵押价值预评估</v>
      </c>
      <c r="C37" s="3392"/>
      <c r="D37" s="3392"/>
      <c r="E37" s="3392"/>
      <c r="F37" s="3392"/>
      <c r="G37" s="3392"/>
      <c r="H37" s="3392"/>
      <c r="I37" s="3392"/>
    </row>
    <row r="38" spans="1:9">
      <c r="A38" s="1887"/>
      <c r="B38" s="1887"/>
    </row>
    <row r="39" spans="1:9">
      <c r="A39" s="1885" t="s">
        <v>1959</v>
      </c>
      <c r="B39" s="1885" t="s">
        <v>1961</v>
      </c>
    </row>
    <row r="40" spans="1:9">
      <c r="A40" s="1885"/>
      <c r="B40" s="1885" t="str">
        <f>项目基本情况!B5</f>
        <v>北京高斓大厦有限公司</v>
      </c>
    </row>
    <row r="41" spans="1:9">
      <c r="A41" s="1885"/>
      <c r="B41" s="1885"/>
    </row>
    <row r="42" spans="1:9">
      <c r="A42" s="1885" t="s">
        <v>1959</v>
      </c>
      <c r="B42" s="1885" t="s">
        <v>1962</v>
      </c>
    </row>
    <row r="43" spans="1:9">
      <c r="A43" s="1885"/>
      <c r="B43" s="1885" t="s">
        <v>1963</v>
      </c>
    </row>
    <row r="44" spans="1:9">
      <c r="A44" s="1885"/>
      <c r="B44" s="1885"/>
    </row>
    <row r="45" spans="1:9">
      <c r="A45" s="1885" t="s">
        <v>1959</v>
      </c>
      <c r="B45" s="1885" t="s">
        <v>1964</v>
      </c>
    </row>
    <row r="46" spans="1:9" s="1885" customFormat="1" ht="12.75">
      <c r="B46" s="1885" t="str">
        <f ca="1">项目基本情况!K4</f>
        <v>欧红伟（注册号：1120000080)、梁津（注册号：1119970066)</v>
      </c>
    </row>
    <row r="47" spans="1:9">
      <c r="A47" s="1885"/>
      <c r="B47" s="1885" t="str">
        <f>项目基本情况!K5</f>
        <v/>
      </c>
    </row>
    <row r="48" spans="1:9">
      <c r="A48" s="1885" t="s">
        <v>1959</v>
      </c>
      <c r="B48" s="1885" t="s">
        <v>1965</v>
      </c>
    </row>
    <row r="49" spans="2:2">
      <c r="B49" s="1885" t="str">
        <f>"康正预评字"&amp;项目基本情况!B2&amp;"号"</f>
        <v>康正预评字2017-1-0796-P01DYGJ1号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9" sqref="G1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49"/>
      <c r="C1" s="574"/>
      <c r="D1" s="574"/>
      <c r="E1" s="574"/>
      <c r="F1" s="574"/>
      <c r="G1" s="2750">
        <f>MATCH(B1,'数据-取费表'!A6:A16,0)+5</f>
        <v>7</v>
      </c>
    </row>
    <row r="2" spans="1:9" s="576" customFormat="1" ht="18" customHeight="1">
      <c r="A2" s="577" t="s">
        <v>446</v>
      </c>
      <c r="B2" s="578" t="e">
        <f ca="1">IF(D2="——",C52,C52-E2)</f>
        <v>#DIV/0!</v>
      </c>
      <c r="C2" s="85" t="s">
        <v>869</v>
      </c>
      <c r="D2" s="2867" t="s">
        <v>530</v>
      </c>
      <c r="E2" s="2865" t="e">
        <f ca="1">SUMIF(INDIRECT("'"&amp;G2&amp;"'"&amp;"!A:A"),"承租人权益价值",INDIRECT("'"&amp;G2&amp;"'"&amp;"!c:c"))</f>
        <v>#REF!</v>
      </c>
      <c r="F2" s="2863" t="s">
        <v>869</v>
      </c>
      <c r="G2" s="2866"/>
    </row>
    <row r="3" spans="1:9" s="576" customFormat="1" ht="18" customHeight="1" thickBot="1">
      <c r="A3" s="579" t="s">
        <v>447</v>
      </c>
      <c r="B3" s="580" t="e">
        <f ca="1">ROUND(B2*10000/(IF(B1="",'数据-汇总表'!E3,INDIRECT("'数据-取费表'!k"&amp;$G$1))),0)</f>
        <v>#DIV/0!</v>
      </c>
      <c r="C3" s="85" t="s">
        <v>870</v>
      </c>
      <c r="D3" s="575"/>
      <c r="E3" s="575"/>
      <c r="F3" s="575"/>
      <c r="G3" s="575"/>
    </row>
    <row r="4" spans="1:9" s="584" customFormat="1" ht="15.75">
      <c r="A4" s="581" t="s">
        <v>822</v>
      </c>
      <c r="B4" s="582"/>
      <c r="C4" s="582"/>
      <c r="D4" s="582"/>
      <c r="E4" s="582"/>
      <c r="F4" s="582"/>
      <c r="G4" s="583"/>
    </row>
    <row r="5" spans="1:9" s="590" customFormat="1" ht="13.5" customHeight="1">
      <c r="A5" s="631" t="s">
        <v>2505</v>
      </c>
      <c r="B5" s="586" t="s">
        <v>823</v>
      </c>
      <c r="C5" s="587" t="e">
        <f ca="1">C6+C7+C8</f>
        <v>#DIV/0!</v>
      </c>
      <c r="D5" s="587" t="s">
        <v>824</v>
      </c>
      <c r="E5" s="588" t="s">
        <v>825</v>
      </c>
      <c r="F5" s="588" t="s">
        <v>826</v>
      </c>
      <c r="G5" s="589"/>
    </row>
    <row r="6" spans="1:9" s="590" customFormat="1" ht="13.5" customHeight="1">
      <c r="A6" s="1801" t="s">
        <v>1918</v>
      </c>
      <c r="B6" s="591" t="s">
        <v>827</v>
      </c>
      <c r="C6" s="592" t="e">
        <f ca="1">'基准地价（汇总）'!B2</f>
        <v>#DIV/0!</v>
      </c>
      <c r="D6" s="593"/>
      <c r="E6" s="594"/>
      <c r="F6" s="594"/>
      <c r="G6" s="595"/>
    </row>
    <row r="7" spans="1:9" s="590" customFormat="1" ht="13.5" customHeight="1">
      <c r="A7" s="1801" t="s">
        <v>1919</v>
      </c>
      <c r="B7" s="591" t="s">
        <v>347</v>
      </c>
      <c r="C7" s="596" t="e">
        <f ca="1">ROUND(C6*F7,0)</f>
        <v>#DIV/0!</v>
      </c>
      <c r="D7" s="596"/>
      <c r="E7" s="594"/>
      <c r="F7" s="597">
        <f>'数据-取费表'!B48+'数据-取费表'!B49</f>
        <v>0</v>
      </c>
      <c r="G7" s="595"/>
    </row>
    <row r="8" spans="1:9" s="599" customFormat="1">
      <c r="A8" s="1801" t="s">
        <v>1920</v>
      </c>
      <c r="B8" s="591" t="s">
        <v>828</v>
      </c>
      <c r="C8" s="596">
        <f>IF(G8="已包含在土地购买价格中","0",IF(B1="",'数据-取费表'!B29,IF(G9="全部缴纳",C9+C10,H9)))</f>
        <v>0</v>
      </c>
      <c r="D8" s="598"/>
      <c r="E8" s="596"/>
      <c r="F8" s="597"/>
      <c r="G8" s="84" t="s">
        <v>3107</v>
      </c>
    </row>
    <row r="9" spans="1:9" s="590" customFormat="1" ht="13.5" customHeight="1">
      <c r="A9" s="1802" t="s">
        <v>1927</v>
      </c>
      <c r="B9" s="600" t="s">
        <v>829</v>
      </c>
      <c r="C9" s="601">
        <f ca="1">ROUND(D9*E9/10000,0)</f>
        <v>0</v>
      </c>
      <c r="D9" s="1906">
        <f ca="1">IF(B1="",'数据-汇总表'!E5,IF(INDIRECT("'数据-取费表'!c"&amp;$G$1)="住宅",INDIRECT("'数据-取费表'!k"&amp;$G$1),0))</f>
        <v>0</v>
      </c>
      <c r="E9" s="601">
        <f>'数据-取费表'!B27</f>
        <v>190</v>
      </c>
      <c r="F9" s="597"/>
      <c r="G9" s="2797"/>
      <c r="H9" s="2798"/>
      <c r="I9" s="2799" t="s">
        <v>2687</v>
      </c>
    </row>
    <row r="10" spans="1:9" s="590" customFormat="1" ht="13.5" customHeight="1">
      <c r="A10" s="1802" t="s">
        <v>1928</v>
      </c>
      <c r="B10" s="600" t="s">
        <v>830</v>
      </c>
      <c r="C10" s="601">
        <f ca="1">ROUND(D10*E10/10000,0)</f>
        <v>42</v>
      </c>
      <c r="D10" s="1906">
        <f ca="1">IF(B1="",'数据-汇总表'!E6,IF(INDIRECT("'数据-取费表'!c"&amp;$G$1)="住宅",INDIRECT("'数据-取费表'!s"&amp;$G$1),INDIRECT("'数据-取费表'!k"&amp;$G$1)+INDIRECT("'数据-取费表'!s"&amp;$G$1)))</f>
        <v>2099.0100000000002</v>
      </c>
      <c r="E10" s="601">
        <f>'数据-取费表'!B28</f>
        <v>200</v>
      </c>
      <c r="F10" s="597"/>
      <c r="G10" s="602"/>
    </row>
    <row r="11" spans="1:9" s="590" customFormat="1" ht="13.5" hidden="1" customHeight="1">
      <c r="A11" s="603" t="s">
        <v>42</v>
      </c>
      <c r="B11" s="591" t="s">
        <v>831</v>
      </c>
      <c r="C11" s="587"/>
      <c r="D11" s="1908"/>
      <c r="E11" s="594"/>
      <c r="F11" s="594"/>
      <c r="G11" s="595"/>
    </row>
    <row r="12" spans="1:9" s="590" customFormat="1" ht="13.5" hidden="1" customHeight="1">
      <c r="A12" s="603" t="s">
        <v>43</v>
      </c>
      <c r="B12" s="591" t="s">
        <v>832</v>
      </c>
      <c r="C12" s="587">
        <v>0</v>
      </c>
      <c r="D12" s="1908"/>
      <c r="E12" s="604"/>
      <c r="F12" s="597">
        <v>3.0499999999999999E-2</v>
      </c>
      <c r="G12" s="595"/>
    </row>
    <row r="13" spans="1:9" s="590" customFormat="1" ht="13.5" hidden="1" customHeight="1">
      <c r="A13" s="603" t="s">
        <v>44</v>
      </c>
      <c r="B13" s="591" t="s">
        <v>833</v>
      </c>
      <c r="C13" s="587"/>
      <c r="D13" s="1908"/>
      <c r="E13" s="594"/>
      <c r="F13" s="594"/>
      <c r="G13" s="595"/>
    </row>
    <row r="14" spans="1:9" s="590" customFormat="1" ht="13.5" hidden="1" customHeight="1">
      <c r="A14" s="603" t="s">
        <v>45</v>
      </c>
      <c r="B14" s="591" t="s">
        <v>828</v>
      </c>
      <c r="C14" s="587"/>
      <c r="D14" s="1908"/>
      <c r="E14" s="594"/>
      <c r="F14" s="594"/>
      <c r="G14" s="595" t="s">
        <v>834</v>
      </c>
    </row>
    <row r="15" spans="1:9" s="590" customFormat="1" ht="13.5" hidden="1" customHeight="1">
      <c r="A15" s="603" t="s">
        <v>46</v>
      </c>
      <c r="B15" s="591" t="s">
        <v>835</v>
      </c>
      <c r="C15" s="596"/>
      <c r="D15" s="1908"/>
      <c r="E15" s="594"/>
      <c r="F15" s="594"/>
      <c r="G15" s="595" t="s">
        <v>836</v>
      </c>
    </row>
    <row r="16" spans="1:9"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2506</v>
      </c>
      <c r="B19" s="586" t="s">
        <v>847</v>
      </c>
      <c r="C19" s="587" t="str">
        <f>IF(G19="已包含在土地取得成本中","0",ROUND(D19*E19/10000,0))</f>
        <v>0</v>
      </c>
      <c r="D19" s="1910">
        <f ca="1">D9+D10</f>
        <v>2099.0100000000002</v>
      </c>
      <c r="E19" s="587">
        <f>'数据-取费表'!B31</f>
        <v>200</v>
      </c>
      <c r="F19" s="607"/>
      <c r="G19" s="84" t="s">
        <v>3108</v>
      </c>
    </row>
    <row r="20" spans="1:7" s="590" customFormat="1" ht="13.5" customHeight="1">
      <c r="A20" s="1800" t="s">
        <v>2508</v>
      </c>
      <c r="B20" s="586" t="s">
        <v>840</v>
      </c>
      <c r="C20" s="608" t="e">
        <f ca="1">ROUND((C5+C19)*F20,0)</f>
        <v>#DIV/0!</v>
      </c>
      <c r="D20" s="608"/>
      <c r="E20" s="608"/>
      <c r="F20" s="609">
        <f>'数据-取费表'!B37</f>
        <v>0.02</v>
      </c>
      <c r="G20" s="2617" t="s">
        <v>2519</v>
      </c>
    </row>
    <row r="21" spans="1:7" s="590" customFormat="1" ht="13.5" customHeight="1">
      <c r="A21" s="1800" t="s">
        <v>2510</v>
      </c>
      <c r="B21" s="586" t="s">
        <v>841</v>
      </c>
      <c r="C21" s="611">
        <f>F21</f>
        <v>0.02</v>
      </c>
      <c r="D21" s="612" t="s">
        <v>862</v>
      </c>
      <c r="E21" s="608"/>
      <c r="F21" s="609">
        <f>'数据-取费表'!B38</f>
        <v>0.02</v>
      </c>
      <c r="G21" s="610" t="s">
        <v>842</v>
      </c>
    </row>
    <row r="22" spans="1:7" s="590" customFormat="1" ht="13.5" customHeight="1">
      <c r="A22" s="1800" t="s">
        <v>1913</v>
      </c>
      <c r="B22" s="586" t="s">
        <v>843</v>
      </c>
      <c r="C22" s="2696" t="e">
        <f ca="1">ROUND(SUM(C23:C25),0)</f>
        <v>#DIV/0!</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1918</v>
      </c>
      <c r="B23" s="591" t="s">
        <v>2512</v>
      </c>
      <c r="C23" s="2697" t="e">
        <f ca="1">ROUND(IF('数据-取费表'!B22&lt;=1,C5*F22*'数据-取费表'!B23,C5*(POWER((1+F22),'数据-取费表'!B23)-1)),0)</f>
        <v>#DIV/0!</v>
      </c>
      <c r="D23" s="614"/>
      <c r="E23" s="614"/>
      <c r="F23" s="615"/>
      <c r="G23" s="616" t="s">
        <v>844</v>
      </c>
    </row>
    <row r="24" spans="1:7" s="590" customFormat="1" ht="13.5" customHeight="1">
      <c r="A24" s="1803" t="s">
        <v>1919</v>
      </c>
      <c r="B24" s="591" t="s">
        <v>2507</v>
      </c>
      <c r="C24" s="2697">
        <f ca="1">ROUND(IF('数据-取费表'!B22&lt;=1,C19*F22*('数据-取费表'!B19/2+'数据-取费表'!B21),C19*(POWER((1+F22),('数据-取费表'!B19/2+'数据-取费表'!B21))-1)),0)</f>
        <v>0</v>
      </c>
      <c r="D24" s="614"/>
      <c r="E24" s="614"/>
      <c r="F24" s="615"/>
      <c r="G24" s="616" t="s">
        <v>845</v>
      </c>
    </row>
    <row r="25" spans="1:7" s="590" customFormat="1" ht="24">
      <c r="A25" s="1803" t="s">
        <v>1920</v>
      </c>
      <c r="B25" s="591" t="s">
        <v>2509</v>
      </c>
      <c r="C25" s="2697" t="e">
        <f ca="1">ROUND(IF('数据-取费表'!B22&lt;=1,C20*F22*'数据-取费表'!B23/2,C20*(POWER((1+F22),'数据-取费表'!B23/2)-1)),0)</f>
        <v>#DIV/0!</v>
      </c>
      <c r="D25" s="614"/>
      <c r="E25" s="617"/>
      <c r="F25" s="615"/>
      <c r="G25" s="618" t="s">
        <v>846</v>
      </c>
    </row>
    <row r="26" spans="1:7" s="590" customFormat="1">
      <c r="A26" s="1803" t="s">
        <v>1922</v>
      </c>
      <c r="B26" s="591" t="s">
        <v>2511</v>
      </c>
      <c r="C26" s="614">
        <f ca="1">ROUND(IF('数据-取费表'!B22&lt;=1,F21*F22*'数据-取费表'!B23/2,F21*(POWER((1+F22),'数据-取费表'!B23/2)-1)),4)</f>
        <v>1E-3</v>
      </c>
      <c r="D26" s="614"/>
      <c r="E26" s="617"/>
      <c r="F26" s="615"/>
      <c r="G26" s="619"/>
    </row>
    <row r="27" spans="1:7" s="590" customFormat="1" ht="24.75">
      <c r="A27" s="1800" t="s">
        <v>1914</v>
      </c>
      <c r="B27" s="620" t="s">
        <v>848</v>
      </c>
      <c r="C27" s="621" t="e">
        <f ca="1">C28</f>
        <v>#DIV/0!</v>
      </c>
      <c r="D27" s="611">
        <f ca="1">C29</f>
        <v>4.0000000000000001E-3</v>
      </c>
      <c r="E27" s="612" t="s">
        <v>862</v>
      </c>
      <c r="F27" s="622">
        <f ca="1">IF(B1="",'数据-取费表'!Q16,INDIRECT("'数据-取费表'!q"&amp;$G$1))</f>
        <v>0.2</v>
      </c>
      <c r="G27" s="623" t="s">
        <v>2520</v>
      </c>
    </row>
    <row r="28" spans="1:7" s="590" customFormat="1" ht="13.5" customHeight="1">
      <c r="A28" s="1803" t="s">
        <v>1918</v>
      </c>
      <c r="B28" s="624" t="s">
        <v>2513</v>
      </c>
      <c r="C28" s="625" t="e">
        <f ca="1">ROUND((C5+C19+C20)*F27*'数据-取费表'!B21/'数据-取费表'!B20,0)</f>
        <v>#DIV/0!</v>
      </c>
      <c r="D28" s="611"/>
      <c r="E28" s="612"/>
      <c r="F28" s="622"/>
      <c r="G28" s="623"/>
    </row>
    <row r="29" spans="1:7" s="590" customFormat="1" ht="13.5" customHeight="1">
      <c r="A29" s="1803" t="s">
        <v>1919</v>
      </c>
      <c r="B29" s="624" t="s">
        <v>2514</v>
      </c>
      <c r="C29" s="614">
        <f ca="1">ROUND(C21*F27*'数据-取费表'!B21/'数据-取费表'!B20,4)</f>
        <v>4.0000000000000001E-3</v>
      </c>
      <c r="D29" s="611"/>
      <c r="E29" s="612"/>
      <c r="F29" s="622"/>
      <c r="G29" s="623"/>
    </row>
    <row r="30" spans="1:7" s="590" customFormat="1" ht="13.5" customHeight="1">
      <c r="A30" s="1800" t="s">
        <v>1915</v>
      </c>
      <c r="B30" s="586" t="s">
        <v>348</v>
      </c>
      <c r="C30" s="611">
        <f>ROUND(F30/(1+'数据-取费表'!C42),4)</f>
        <v>5.33E-2</v>
      </c>
      <c r="D30" s="612" t="s">
        <v>2939</v>
      </c>
      <c r="E30" s="617"/>
      <c r="F30" s="613">
        <f>'数据-取费表'!B41</f>
        <v>5.6000000000000001E-2</v>
      </c>
      <c r="G30" s="2617" t="s">
        <v>2940</v>
      </c>
    </row>
    <row r="31" spans="1:7" ht="16.5" customHeight="1">
      <c r="A31" s="585">
        <v>1</v>
      </c>
      <c r="B31" s="586" t="s">
        <v>864</v>
      </c>
      <c r="C31" s="587" t="e">
        <f ca="1">ROUND((C5+C19+C20+C22+C27)/(1-C21-D22-D27-C30),0)</f>
        <v>#DIV/0!</v>
      </c>
      <c r="D31" s="606"/>
      <c r="E31" s="587"/>
      <c r="F31" s="626"/>
      <c r="G31" s="610" t="s">
        <v>2521</v>
      </c>
    </row>
    <row r="32" spans="1:7" s="584" customFormat="1" ht="15.75">
      <c r="A32" s="628" t="s">
        <v>850</v>
      </c>
      <c r="B32" s="629"/>
      <c r="C32" s="629"/>
      <c r="D32" s="629"/>
      <c r="E32" s="629"/>
      <c r="F32" s="629"/>
      <c r="G32" s="630"/>
    </row>
    <row r="33" spans="1:7" s="590" customFormat="1" ht="13.5" customHeight="1">
      <c r="A33" s="631" t="s">
        <v>1909</v>
      </c>
      <c r="B33" s="586" t="s">
        <v>851</v>
      </c>
      <c r="C33" s="632">
        <f ca="1">SUM(C34:C38)</f>
        <v>713</v>
      </c>
      <c r="D33" s="608"/>
      <c r="E33" s="588"/>
      <c r="F33" s="617"/>
      <c r="G33" s="610"/>
    </row>
    <row r="34" spans="1:7" s="634" customFormat="1" ht="13.5" customHeight="1">
      <c r="A34" s="1803" t="s">
        <v>1918</v>
      </c>
      <c r="B34" s="591" t="s">
        <v>349</v>
      </c>
      <c r="C34" s="596">
        <f ca="1">IF(B1="",IF(F34=100%,'数据-取费表'!M16,'数据-取费表'!O16),IF(F34=100%,INDIRECT("'数据-取费表'!m"&amp;$G$1)+INDIRECT("'数据-取费表'!t"&amp;$G$1),INDIRECT("'数据-取费表'!o"&amp;$G$1)+INDIRECT("'数据-取费表'!aq"&amp;$G$1)))</f>
        <v>630</v>
      </c>
      <c r="D34" s="593"/>
      <c r="E34" s="596"/>
      <c r="F34" s="633">
        <f ca="1">IF('数据-取费表'!B24=0,1,IF(B1="",'数据-取费表'!N16,INDIRECT("'数据-取费表'!n"&amp;$G$1)))</f>
        <v>1</v>
      </c>
      <c r="G34" s="595" t="s">
        <v>852</v>
      </c>
    </row>
    <row r="35" spans="1:7" ht="13.5" customHeight="1">
      <c r="A35" s="1803" t="s">
        <v>1923</v>
      </c>
      <c r="B35" s="591" t="s">
        <v>350</v>
      </c>
      <c r="C35" s="596">
        <f ca="1">ROUND(C34*F35,0)</f>
        <v>32</v>
      </c>
      <c r="D35" s="596"/>
      <c r="E35" s="596"/>
      <c r="F35" s="635">
        <f>'数据-取费表'!B33</f>
        <v>0.05</v>
      </c>
      <c r="G35" s="595" t="s">
        <v>853</v>
      </c>
    </row>
    <row r="36" spans="1:7" ht="24">
      <c r="A36" s="1803" t="s">
        <v>1924</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3" t="s">
        <v>1925</v>
      </c>
      <c r="B37" s="591" t="s">
        <v>854</v>
      </c>
      <c r="C37" s="625">
        <f ca="1">ROUND(E37*D37*F34/10000,0)</f>
        <v>42</v>
      </c>
      <c r="D37" s="593">
        <f ca="1">D19</f>
        <v>2099.0100000000002</v>
      </c>
      <c r="E37" s="625">
        <f>'数据-取费表'!B35</f>
        <v>200</v>
      </c>
      <c r="F37" s="635"/>
      <c r="G37" s="637" t="s">
        <v>855</v>
      </c>
    </row>
    <row r="38" spans="1:7" ht="13.5" customHeight="1">
      <c r="A38" s="1803" t="s">
        <v>1926</v>
      </c>
      <c r="B38" s="591" t="s">
        <v>353</v>
      </c>
      <c r="C38" s="596">
        <f ca="1">ROUND(C34*F38,0)</f>
        <v>9</v>
      </c>
      <c r="D38" s="596"/>
      <c r="E38" s="596"/>
      <c r="F38" s="635">
        <f>'数据-取费表'!B36</f>
        <v>1.4999999999999999E-2</v>
      </c>
      <c r="G38" s="595" t="s">
        <v>853</v>
      </c>
    </row>
    <row r="39" spans="1:7" s="590" customFormat="1" ht="13.5" customHeight="1">
      <c r="A39" s="1800" t="s">
        <v>1910</v>
      </c>
      <c r="B39" s="586" t="s">
        <v>840</v>
      </c>
      <c r="C39" s="608">
        <f ca="1">ROUND(C33*F20,0)</f>
        <v>14</v>
      </c>
      <c r="D39" s="608"/>
      <c r="E39" s="608"/>
      <c r="F39" s="609"/>
      <c r="G39" s="2617" t="s">
        <v>2522</v>
      </c>
    </row>
    <row r="40" spans="1:7" s="590" customFormat="1" ht="13.5" customHeight="1">
      <c r="A40" s="1800" t="s">
        <v>1911</v>
      </c>
      <c r="B40" s="586" t="s">
        <v>841</v>
      </c>
      <c r="C40" s="3230">
        <f>F21</f>
        <v>0.02</v>
      </c>
      <c r="D40" s="612" t="s">
        <v>865</v>
      </c>
      <c r="E40" s="608"/>
      <c r="F40" s="609"/>
      <c r="G40" s="610" t="s">
        <v>856</v>
      </c>
    </row>
    <row r="41" spans="1:7" s="590" customFormat="1" ht="13.5" customHeight="1">
      <c r="A41" s="1800" t="s">
        <v>1912</v>
      </c>
      <c r="B41" s="586" t="s">
        <v>843</v>
      </c>
      <c r="C41" s="608">
        <f ca="1">ROUND(SUM(C42:C43),0)</f>
        <v>35</v>
      </c>
      <c r="D41" s="611">
        <f ca="1">C44</f>
        <v>1E-3</v>
      </c>
      <c r="E41" s="612" t="s">
        <v>865</v>
      </c>
      <c r="F41" s="613"/>
      <c r="G41" s="2617" t="str">
        <f>IF('数据-取费表'!B22&lt;=1,"单利计息","复利计息")</f>
        <v>复利计息</v>
      </c>
    </row>
    <row r="42" spans="1:7" ht="13.5" customHeight="1">
      <c r="A42" s="1803" t="s">
        <v>1918</v>
      </c>
      <c r="B42" s="591" t="s">
        <v>2512</v>
      </c>
      <c r="C42" s="614">
        <f ca="1">ROUND(IF('数据-取费表'!B22&lt;=1,C33*F22*'数据-取费表'!B21/2,C33*(POWER((1+F22),'数据-取费表'!B21/2)-1)),0)</f>
        <v>34</v>
      </c>
      <c r="D42" s="614"/>
      <c r="E42" s="614"/>
      <c r="F42" s="615"/>
      <c r="G42" s="3585" t="s">
        <v>857</v>
      </c>
    </row>
    <row r="43" spans="1:7" ht="13.5" customHeight="1">
      <c r="A43" s="1803" t="s">
        <v>1919</v>
      </c>
      <c r="B43" s="591" t="s">
        <v>2515</v>
      </c>
      <c r="C43" s="614">
        <f ca="1">ROUND(IF('数据-取费表'!B22&lt;=1,C39*F22*'数据-取费表'!B21/2,C39*(POWER((1+F22),'数据-取费表'!B21/2)-1)),0)</f>
        <v>1</v>
      </c>
      <c r="D43" s="614"/>
      <c r="E43" s="614"/>
      <c r="F43" s="615"/>
      <c r="G43" s="3586"/>
    </row>
    <row r="44" spans="1:7" ht="13.5" customHeight="1">
      <c r="A44" s="1803" t="s">
        <v>1920</v>
      </c>
      <c r="B44" s="591" t="s">
        <v>2517</v>
      </c>
      <c r="C44" s="614">
        <f ca="1">ROUND(IF('数据-取费表'!B22&lt;=1,C40*F22*'数据-取费表'!B21/2,C40*(POWER((1+F22),'数据-取费表'!B21/2)-1)),4)</f>
        <v>1E-3</v>
      </c>
      <c r="D44" s="614"/>
      <c r="E44" s="614"/>
      <c r="F44" s="615"/>
      <c r="G44" s="3587"/>
    </row>
    <row r="45" spans="1:7" s="590" customFormat="1" ht="13.5" customHeight="1">
      <c r="A45" s="1800" t="s">
        <v>1913</v>
      </c>
      <c r="B45" s="620" t="s">
        <v>848</v>
      </c>
      <c r="C45" s="621">
        <f ca="1">C46</f>
        <v>145</v>
      </c>
      <c r="D45" s="611">
        <f ca="1">C47</f>
        <v>4.0000000000000001E-3</v>
      </c>
      <c r="E45" s="612" t="s">
        <v>865</v>
      </c>
      <c r="F45" s="622"/>
      <c r="G45" s="623" t="s">
        <v>2523</v>
      </c>
    </row>
    <row r="46" spans="1:7" s="590" customFormat="1" ht="13.5" customHeight="1">
      <c r="A46" s="1803" t="s">
        <v>1918</v>
      </c>
      <c r="B46" s="624" t="s">
        <v>2516</v>
      </c>
      <c r="C46" s="625">
        <f ca="1">ROUND((C33+C39)*F27,0)</f>
        <v>145</v>
      </c>
      <c r="D46" s="639"/>
      <c r="E46" s="612"/>
      <c r="F46" s="622"/>
      <c r="G46" s="623"/>
    </row>
    <row r="47" spans="1:7" s="590" customFormat="1" ht="13.5" customHeight="1">
      <c r="A47" s="1803" t="s">
        <v>1919</v>
      </c>
      <c r="B47" s="624" t="s">
        <v>2518</v>
      </c>
      <c r="C47" s="614">
        <f ca="1">ROUND(C40*F27,4)</f>
        <v>4.0000000000000001E-3</v>
      </c>
      <c r="D47" s="639"/>
      <c r="E47" s="612"/>
      <c r="F47" s="622"/>
      <c r="G47" s="623"/>
    </row>
    <row r="48" spans="1:7" s="590" customFormat="1" ht="13.5" customHeight="1">
      <c r="A48" s="1800" t="s">
        <v>1914</v>
      </c>
      <c r="B48" s="586" t="s">
        <v>858</v>
      </c>
      <c r="C48" s="3230">
        <f>ROUND(F30/(1+'数据-取费表'!C42),4)</f>
        <v>5.33E-2</v>
      </c>
      <c r="D48" s="612" t="s">
        <v>2941</v>
      </c>
      <c r="E48" s="608"/>
      <c r="F48" s="613"/>
      <c r="G48" s="2617" t="s">
        <v>2942</v>
      </c>
    </row>
    <row r="49" spans="1:7" ht="16.5" customHeight="1">
      <c r="A49" s="1800" t="s">
        <v>1915</v>
      </c>
      <c r="B49" s="586" t="s">
        <v>867</v>
      </c>
      <c r="C49" s="608">
        <f ca="1">ROUND((C33+C39+C41+C45)/(1-C40-D41-D45-C48),0)</f>
        <v>984</v>
      </c>
      <c r="D49" s="608"/>
      <c r="E49" s="608"/>
      <c r="F49" s="640"/>
      <c r="G49" s="610" t="s">
        <v>2524</v>
      </c>
    </row>
    <row r="50" spans="1:7" s="634" customFormat="1" ht="24">
      <c r="A50" s="1800" t="s">
        <v>1916</v>
      </c>
      <c r="B50" s="586" t="s">
        <v>860</v>
      </c>
      <c r="C50" s="608"/>
      <c r="D50" s="608"/>
      <c r="E50" s="608"/>
      <c r="F50" s="640">
        <f>IF('数据-取费表'!B24=0,'数据-取费表'!N16,1)</f>
        <v>0.65</v>
      </c>
      <c r="G50" s="623" t="s">
        <v>861</v>
      </c>
    </row>
    <row r="51" spans="1:7" ht="16.5" customHeight="1">
      <c r="A51" s="1800" t="s">
        <v>1917</v>
      </c>
      <c r="B51" s="586" t="s">
        <v>868</v>
      </c>
      <c r="C51" s="608">
        <f ca="1">ROUND(C49*F50,0)</f>
        <v>640</v>
      </c>
      <c r="D51" s="608"/>
      <c r="E51" s="608"/>
      <c r="F51" s="640"/>
      <c r="G51" s="610" t="s">
        <v>354</v>
      </c>
    </row>
    <row r="52" spans="1:7" s="584" customFormat="1" ht="16.5" thickBot="1">
      <c r="A52" s="641" t="s">
        <v>355</v>
      </c>
      <c r="B52" s="642"/>
      <c r="C52" s="643" t="e">
        <f ca="1">C31+C51</f>
        <v>#DIV/0!</v>
      </c>
      <c r="D52" s="642"/>
      <c r="E52" s="642"/>
      <c r="F52" s="642"/>
      <c r="G52" s="644"/>
    </row>
    <row r="55" spans="1:7" ht="15">
      <c r="B55" s="646" t="s">
        <v>356</v>
      </c>
      <c r="C55" s="647"/>
    </row>
    <row r="56" spans="1:7">
      <c r="B56" s="2869" t="s">
        <v>2699</v>
      </c>
      <c r="C56" s="651" t="e">
        <f ca="1">1-C57</f>
        <v>#DIV/0!</v>
      </c>
    </row>
    <row r="57" spans="1:7">
      <c r="B57" s="2869" t="s">
        <v>2698</v>
      </c>
      <c r="C57" s="650" t="e">
        <f ca="1">ROUND(C51/C52,3)</f>
        <v>#DIV/0!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26" sqref="C26"/>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49"/>
      <c r="C1" s="2754" t="s">
        <v>2629</v>
      </c>
      <c r="D1" s="574"/>
      <c r="E1" s="574"/>
      <c r="F1" s="574"/>
      <c r="G1" s="2750">
        <f>MATCH(B1,'数据-取费表'!A6:A16,0)+5</f>
        <v>7</v>
      </c>
      <c r="H1" s="2581" t="str">
        <f>IF(ISERROR(FIND("住宅",B1)),"非住宅","住宅")</f>
        <v>非住宅</v>
      </c>
    </row>
    <row r="2" spans="1:8" s="576" customFormat="1" ht="18" customHeight="1">
      <c r="A2" s="577" t="s">
        <v>345</v>
      </c>
      <c r="B2" s="578">
        <f ca="1">ROUND(IF(D2="——",C52/10000,C52/10000-E2),0)</f>
        <v>760</v>
      </c>
      <c r="C2" s="85" t="s">
        <v>869</v>
      </c>
      <c r="D2" s="2867" t="s">
        <v>530</v>
      </c>
      <c r="E2" s="2865" t="e">
        <f ca="1">SUMIF(INDIRECT("'"&amp;G2&amp;"'"&amp;"!A:A"),"承租人权益价值",INDIRECT("'"&amp;G2&amp;"'"&amp;"!c:c"))</f>
        <v>#REF!</v>
      </c>
      <c r="F2" s="2863" t="s">
        <v>869</v>
      </c>
      <c r="G2" s="2866"/>
    </row>
    <row r="3" spans="1:8" s="576" customFormat="1" ht="18" customHeight="1" thickBot="1">
      <c r="A3" s="579" t="s">
        <v>346</v>
      </c>
      <c r="B3" s="580">
        <f ca="1">ROUND(B2*10000/(IF(B1="",'数据-汇总表'!E3,INDIRECT("'数据-取费表'!k"&amp;$G$1))),0)</f>
        <v>3621</v>
      </c>
      <c r="C3" s="85" t="s">
        <v>870</v>
      </c>
      <c r="D3" s="575"/>
      <c r="E3" s="575"/>
      <c r="F3" s="575"/>
      <c r="G3" s="575"/>
    </row>
    <row r="4" spans="1:8" s="584" customFormat="1" ht="15.75">
      <c r="A4" s="581" t="s">
        <v>822</v>
      </c>
      <c r="B4" s="582"/>
      <c r="C4" s="582"/>
      <c r="D4" s="582"/>
      <c r="E4" s="582"/>
      <c r="F4" s="582"/>
      <c r="G4" s="583"/>
    </row>
    <row r="5" spans="1:8" s="590" customFormat="1" ht="13.5" customHeight="1">
      <c r="A5" s="631" t="s">
        <v>1909</v>
      </c>
      <c r="B5" s="586" t="s">
        <v>823</v>
      </c>
      <c r="C5" s="587">
        <f ca="1">C6+C7+C8</f>
        <v>419802</v>
      </c>
      <c r="D5" s="587" t="s">
        <v>824</v>
      </c>
      <c r="E5" s="588" t="s">
        <v>825</v>
      </c>
      <c r="F5" s="588" t="s">
        <v>826</v>
      </c>
      <c r="G5" s="589"/>
    </row>
    <row r="6" spans="1:8" s="590" customFormat="1" ht="13.5" customHeight="1">
      <c r="A6" s="1801" t="s">
        <v>1918</v>
      </c>
      <c r="B6" s="591" t="s">
        <v>827</v>
      </c>
      <c r="C6" s="592"/>
      <c r="D6" s="593"/>
      <c r="E6" s="594"/>
      <c r="F6" s="594"/>
      <c r="G6" s="595"/>
    </row>
    <row r="7" spans="1:8" s="590" customFormat="1" ht="13.5" customHeight="1">
      <c r="A7" s="1801" t="s">
        <v>1919</v>
      </c>
      <c r="B7" s="591" t="s">
        <v>347</v>
      </c>
      <c r="C7" s="596">
        <f>ROUND(C6*F7,0)</f>
        <v>0</v>
      </c>
      <c r="D7" s="596"/>
      <c r="E7" s="594"/>
      <c r="F7" s="597">
        <f>'数据-取费表'!B48+'数据-取费表'!B49</f>
        <v>0</v>
      </c>
      <c r="G7" s="595"/>
    </row>
    <row r="8" spans="1:8" s="599" customFormat="1">
      <c r="A8" s="1801" t="s">
        <v>1920</v>
      </c>
      <c r="B8" s="591" t="s">
        <v>828</v>
      </c>
      <c r="C8" s="596">
        <f ca="1">IF(G8="已包含在土地购买价格中",0,C9+C10)</f>
        <v>419802</v>
      </c>
      <c r="D8" s="598"/>
      <c r="E8" s="596"/>
      <c r="F8" s="597"/>
      <c r="G8" s="84"/>
    </row>
    <row r="9" spans="1:8" s="590" customFormat="1" ht="13.5" customHeight="1">
      <c r="A9" s="1802" t="s">
        <v>1927</v>
      </c>
      <c r="B9" s="600" t="s">
        <v>829</v>
      </c>
      <c r="C9" s="601">
        <f ca="1">ROUND(D9*E9,0)</f>
        <v>0</v>
      </c>
      <c r="D9" s="1906">
        <f ca="1">IF(B1="",'数据-汇总表'!E5,IF(INDIRECT("'数据-取费表'!c"&amp;$G$1)="住宅",INDIRECT("'数据-取费表'!k"&amp;$G$1),0))</f>
        <v>0</v>
      </c>
      <c r="E9" s="601">
        <f>'数据-取费表'!B27</f>
        <v>190</v>
      </c>
      <c r="F9" s="597"/>
      <c r="G9" s="602"/>
    </row>
    <row r="10" spans="1:8" s="590" customFormat="1" ht="13.5" customHeight="1">
      <c r="A10" s="1802" t="s">
        <v>1928</v>
      </c>
      <c r="B10" s="600" t="s">
        <v>830</v>
      </c>
      <c r="C10" s="601">
        <f ca="1">ROUND(D10*E10,0)</f>
        <v>419802</v>
      </c>
      <c r="D10" s="1906">
        <f ca="1">IF(B1="",'数据-汇总表'!E6,IF(INDIRECT("'数据-取费表'!c"&amp;$G$1)="住宅",INDIRECT("'数据-取费表'!s"&amp;$G$1),INDIRECT("'数据-取费表'!k"&amp;$G$1)+INDIRECT("'数据-取费表'!s"&amp;$G$1)))</f>
        <v>2099.0100000000002</v>
      </c>
      <c r="E10" s="601">
        <f>'数据-取费表'!B28</f>
        <v>200</v>
      </c>
      <c r="F10" s="597"/>
      <c r="G10" s="602"/>
    </row>
    <row r="11" spans="1:8" s="590" customFormat="1" ht="13.5" hidden="1" customHeight="1">
      <c r="A11" s="603" t="s">
        <v>42</v>
      </c>
      <c r="B11" s="591" t="s">
        <v>831</v>
      </c>
      <c r="C11" s="587"/>
      <c r="D11" s="1908"/>
      <c r="E11" s="594"/>
      <c r="F11" s="594"/>
      <c r="G11" s="595"/>
    </row>
    <row r="12" spans="1:8" s="590" customFormat="1" ht="13.5" hidden="1" customHeight="1">
      <c r="A12" s="603" t="s">
        <v>43</v>
      </c>
      <c r="B12" s="591" t="s">
        <v>832</v>
      </c>
      <c r="C12" s="587">
        <v>0</v>
      </c>
      <c r="D12" s="1908"/>
      <c r="E12" s="604"/>
      <c r="F12" s="597">
        <v>3.0499999999999999E-2</v>
      </c>
      <c r="G12" s="595"/>
    </row>
    <row r="13" spans="1:8" s="590" customFormat="1" ht="13.5" hidden="1" customHeight="1">
      <c r="A13" s="603" t="s">
        <v>44</v>
      </c>
      <c r="B13" s="591" t="s">
        <v>833</v>
      </c>
      <c r="C13" s="587"/>
      <c r="D13" s="1908"/>
      <c r="E13" s="594"/>
      <c r="F13" s="594"/>
      <c r="G13" s="595"/>
    </row>
    <row r="14" spans="1:8" s="590" customFormat="1" ht="13.5" hidden="1" customHeight="1">
      <c r="A14" s="603" t="s">
        <v>45</v>
      </c>
      <c r="B14" s="591" t="s">
        <v>828</v>
      </c>
      <c r="C14" s="587"/>
      <c r="D14" s="1908"/>
      <c r="E14" s="594"/>
      <c r="F14" s="594"/>
      <c r="G14" s="595" t="s">
        <v>834</v>
      </c>
    </row>
    <row r="15" spans="1:8" s="590" customFormat="1" ht="13.5" hidden="1" customHeight="1">
      <c r="A15" s="603" t="s">
        <v>46</v>
      </c>
      <c r="B15" s="591" t="s">
        <v>835</v>
      </c>
      <c r="C15" s="596"/>
      <c r="D15" s="1908"/>
      <c r="E15" s="594"/>
      <c r="F15" s="594"/>
      <c r="G15" s="595" t="s">
        <v>836</v>
      </c>
    </row>
    <row r="16" spans="1:8"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1910</v>
      </c>
      <c r="B19" s="586" t="s">
        <v>847</v>
      </c>
      <c r="C19" s="587">
        <f ca="1">IF(G19="已包含在土地取得成本中","0",ROUND(D19*E19,0))</f>
        <v>419802</v>
      </c>
      <c r="D19" s="1910">
        <f ca="1">D9+D10</f>
        <v>2099.0100000000002</v>
      </c>
      <c r="E19" s="587">
        <f>'数据-取费表'!B31</f>
        <v>200</v>
      </c>
      <c r="F19" s="607"/>
      <c r="G19" s="84"/>
    </row>
    <row r="20" spans="1:7" s="590" customFormat="1" ht="13.5" customHeight="1">
      <c r="A20" s="1800" t="s">
        <v>1911</v>
      </c>
      <c r="B20" s="586" t="s">
        <v>840</v>
      </c>
      <c r="C20" s="608">
        <f ca="1">ROUND((C5+C19)*F20,0)</f>
        <v>16792</v>
      </c>
      <c r="D20" s="608"/>
      <c r="E20" s="608"/>
      <c r="F20" s="609">
        <f>'数据-取费表'!B37</f>
        <v>0.02</v>
      </c>
      <c r="G20" s="2617" t="s">
        <v>2519</v>
      </c>
    </row>
    <row r="21" spans="1:7" s="590" customFormat="1" ht="13.5" customHeight="1">
      <c r="A21" s="1800" t="s">
        <v>1912</v>
      </c>
      <c r="B21" s="586" t="s">
        <v>841</v>
      </c>
      <c r="C21" s="611">
        <f>F21</f>
        <v>0.02</v>
      </c>
      <c r="D21" s="612" t="s">
        <v>862</v>
      </c>
      <c r="E21" s="608"/>
      <c r="F21" s="609">
        <f>'数据-取费表'!B38</f>
        <v>0.02</v>
      </c>
      <c r="G21" s="610" t="s">
        <v>842</v>
      </c>
    </row>
    <row r="22" spans="1:7" s="590" customFormat="1" ht="13.5" customHeight="1">
      <c r="A22" s="1800" t="s">
        <v>1913</v>
      </c>
      <c r="B22" s="586" t="s">
        <v>843</v>
      </c>
      <c r="C22" s="2751">
        <f ca="1">ROUND(SUM(C23:C25),0)</f>
        <v>82454</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1918</v>
      </c>
      <c r="B23" s="591" t="s">
        <v>2512</v>
      </c>
      <c r="C23" s="2752">
        <f ca="1">ROUND(IF('数据-取费表'!B22&lt;=1,C5*F22*'数据-取费表'!B22,C5*(POWER((1+F22),'数据-取费表'!B22)-1)),0)</f>
        <v>40828</v>
      </c>
      <c r="D23" s="614"/>
      <c r="E23" s="614"/>
      <c r="F23" s="615"/>
      <c r="G23" s="616" t="s">
        <v>844</v>
      </c>
    </row>
    <row r="24" spans="1:7" s="590" customFormat="1" ht="13.5" customHeight="1">
      <c r="A24" s="1803" t="s">
        <v>1919</v>
      </c>
      <c r="B24" s="591" t="s">
        <v>2507</v>
      </c>
      <c r="C24" s="2752">
        <f ca="1">ROUND(IF('数据-取费表'!B22&lt;=1,C19*F22*('数据-取费表'!B19/2+'数据-取费表'!B20),C19*(POWER((1+F22),('数据-取费表'!B19/2+'数据-取费表'!B20))-1)),0)</f>
        <v>40828</v>
      </c>
      <c r="D24" s="614"/>
      <c r="E24" s="614"/>
      <c r="F24" s="615"/>
      <c r="G24" s="616" t="s">
        <v>845</v>
      </c>
    </row>
    <row r="25" spans="1:7" s="590" customFormat="1" ht="24">
      <c r="A25" s="1803" t="s">
        <v>1920</v>
      </c>
      <c r="B25" s="591" t="s">
        <v>2509</v>
      </c>
      <c r="C25" s="2752">
        <f ca="1">ROUND(IF('数据-取费表'!B22&lt;=1,C20*F22*'数据-取费表'!B22/2,C20*(POWER((1+F22),'数据-取费表'!B22/2)-1)),0)</f>
        <v>798</v>
      </c>
      <c r="D25" s="614"/>
      <c r="E25" s="617"/>
      <c r="F25" s="615"/>
      <c r="G25" s="618" t="s">
        <v>846</v>
      </c>
    </row>
    <row r="26" spans="1:7" s="590" customFormat="1">
      <c r="A26" s="1803" t="s">
        <v>1922</v>
      </c>
      <c r="B26" s="591" t="s">
        <v>2511</v>
      </c>
      <c r="C26" s="614">
        <f ca="1">ROUND(IF('数据-取费表'!B22&lt;=1,F21*F22*'数据-取费表'!B22/2,F21*(POWER((1+F22),'数据-取费表'!B22/2)-1)),4)</f>
        <v>1E-3</v>
      </c>
      <c r="D26" s="614"/>
      <c r="E26" s="617"/>
      <c r="F26" s="615"/>
      <c r="G26" s="619"/>
    </row>
    <row r="27" spans="1:7" s="590" customFormat="1" ht="24.75">
      <c r="A27" s="1800" t="s">
        <v>1914</v>
      </c>
      <c r="B27" s="620" t="s">
        <v>848</v>
      </c>
      <c r="C27" s="621">
        <f ca="1">C28</f>
        <v>171279</v>
      </c>
      <c r="D27" s="611">
        <f ca="1">C29</f>
        <v>4.0000000000000001E-3</v>
      </c>
      <c r="E27" s="612" t="s">
        <v>862</v>
      </c>
      <c r="F27" s="622">
        <f ca="1">IF(B1="",'数据-取费表'!Q16,INDIRECT("'数据-取费表'!q"&amp;$G$1))</f>
        <v>0.2</v>
      </c>
      <c r="G27" s="623" t="s">
        <v>2520</v>
      </c>
    </row>
    <row r="28" spans="1:7" s="590" customFormat="1" ht="13.5" customHeight="1">
      <c r="A28" s="1803" t="s">
        <v>1918</v>
      </c>
      <c r="B28" s="624" t="s">
        <v>2513</v>
      </c>
      <c r="C28" s="625">
        <f ca="1">ROUND((C5+C19+C20)*F27,0)</f>
        <v>171279</v>
      </c>
      <c r="D28" s="611"/>
      <c r="E28" s="612"/>
      <c r="F28" s="622"/>
      <c r="G28" s="623"/>
    </row>
    <row r="29" spans="1:7" s="590" customFormat="1" ht="13.5" customHeight="1">
      <c r="A29" s="1803" t="s">
        <v>1919</v>
      </c>
      <c r="B29" s="624" t="s">
        <v>2514</v>
      </c>
      <c r="C29" s="614">
        <f ca="1">ROUND(C21*F27,4)</f>
        <v>4.0000000000000001E-3</v>
      </c>
      <c r="D29" s="611"/>
      <c r="E29" s="612"/>
      <c r="F29" s="622"/>
      <c r="G29" s="623"/>
    </row>
    <row r="30" spans="1:7" s="590" customFormat="1" ht="13.5" customHeight="1">
      <c r="A30" s="1800" t="s">
        <v>1915</v>
      </c>
      <c r="B30" s="586" t="s">
        <v>348</v>
      </c>
      <c r="C30" s="611">
        <f>ROUND(F30/(1+'数据-取费表'!C42),4)</f>
        <v>5.33E-2</v>
      </c>
      <c r="D30" s="612" t="s">
        <v>2943</v>
      </c>
      <c r="E30" s="617"/>
      <c r="F30" s="613">
        <f>'数据-取费表'!B41</f>
        <v>5.6000000000000001E-2</v>
      </c>
      <c r="G30" s="2617" t="s">
        <v>2944</v>
      </c>
    </row>
    <row r="31" spans="1:7" ht="16.5" customHeight="1">
      <c r="A31" s="585">
        <v>1</v>
      </c>
      <c r="B31" s="586" t="s">
        <v>864</v>
      </c>
      <c r="C31" s="587">
        <f ca="1">ROUND((C5+C19+C20+C22+C27)/(1-C21-D22-D27-C30),0)</f>
        <v>1204436</v>
      </c>
      <c r="D31" s="606"/>
      <c r="E31" s="587"/>
      <c r="F31" s="626"/>
      <c r="G31" s="610" t="s">
        <v>2521</v>
      </c>
    </row>
    <row r="32" spans="1:7" s="584" customFormat="1" ht="15.75">
      <c r="A32" s="628" t="s">
        <v>2624</v>
      </c>
      <c r="B32" s="629"/>
      <c r="C32" s="629"/>
      <c r="D32" s="629"/>
      <c r="E32" s="629"/>
      <c r="F32" s="629"/>
      <c r="G32" s="630"/>
    </row>
    <row r="33" spans="1:7" s="590" customFormat="1" ht="13.5" customHeight="1">
      <c r="A33" s="631" t="s">
        <v>1909</v>
      </c>
      <c r="B33" s="2753" t="s">
        <v>2625</v>
      </c>
      <c r="C33" s="632">
        <f ca="1">SUM(C34:C38)</f>
        <v>7126139</v>
      </c>
      <c r="D33" s="608"/>
      <c r="E33" s="588"/>
      <c r="F33" s="617"/>
      <c r="G33" s="610"/>
    </row>
    <row r="34" spans="1:7" s="634" customFormat="1" ht="13.5" customHeight="1">
      <c r="A34" s="1803" t="s">
        <v>1918</v>
      </c>
      <c r="B34" s="591" t="s">
        <v>349</v>
      </c>
      <c r="C34" s="596">
        <f ca="1">ROUND(IF(B1="",SUMPRODUCT('数据-取费表'!K6:K14,'数据-取费表'!L6:L14),INDIRECT("'数据-取费表'!l"&amp;$G$1)*INDIRECT("'数据-取费表'!k"&amp;$G$1)+'数据-取费表'!L14*INDIRECT("'数据-取费表'!S"&amp;$G$1)),0)</f>
        <v>6297030</v>
      </c>
      <c r="D34" s="593"/>
      <c r="E34" s="596"/>
      <c r="F34" s="633"/>
      <c r="G34" s="595"/>
    </row>
    <row r="35" spans="1:7" ht="13.5" customHeight="1">
      <c r="A35" s="1803" t="s">
        <v>1923</v>
      </c>
      <c r="B35" s="591" t="s">
        <v>350</v>
      </c>
      <c r="C35" s="596">
        <f ca="1">ROUND(C34*F35,0)</f>
        <v>314852</v>
      </c>
      <c r="D35" s="596"/>
      <c r="E35" s="596"/>
      <c r="F35" s="635">
        <f>'数据-取费表'!B33</f>
        <v>0.05</v>
      </c>
      <c r="G35" s="595" t="s">
        <v>853</v>
      </c>
    </row>
    <row r="36" spans="1:7" ht="24">
      <c r="A36" s="1803" t="s">
        <v>1924</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3" t="s">
        <v>1925</v>
      </c>
      <c r="B37" s="591" t="s">
        <v>854</v>
      </c>
      <c r="C37" s="625">
        <f ca="1">ROUND(E37*D37,0)</f>
        <v>419802</v>
      </c>
      <c r="D37" s="593">
        <f ca="1">D19</f>
        <v>2099.0100000000002</v>
      </c>
      <c r="E37" s="625">
        <f>'数据-取费表'!B35</f>
        <v>200</v>
      </c>
      <c r="F37" s="635"/>
      <c r="G37" s="637"/>
    </row>
    <row r="38" spans="1:7" ht="13.5" customHeight="1">
      <c r="A38" s="1803" t="s">
        <v>1926</v>
      </c>
      <c r="B38" s="591" t="s">
        <v>353</v>
      </c>
      <c r="C38" s="596">
        <f ca="1">ROUND(C34*F38,0)</f>
        <v>94455</v>
      </c>
      <c r="D38" s="596"/>
      <c r="E38" s="596"/>
      <c r="F38" s="635">
        <f>'数据-取费表'!B36</f>
        <v>1.4999999999999999E-2</v>
      </c>
      <c r="G38" s="595" t="s">
        <v>853</v>
      </c>
    </row>
    <row r="39" spans="1:7" s="590" customFormat="1" ht="13.5" customHeight="1">
      <c r="A39" s="1800" t="s">
        <v>1910</v>
      </c>
      <c r="B39" s="586" t="s">
        <v>840</v>
      </c>
      <c r="C39" s="608">
        <f ca="1">ROUND(C33*F20,0)</f>
        <v>142523</v>
      </c>
      <c r="D39" s="608"/>
      <c r="E39" s="608"/>
      <c r="F39" s="609"/>
      <c r="G39" s="2617" t="s">
        <v>2522</v>
      </c>
    </row>
    <row r="40" spans="1:7" s="590" customFormat="1" ht="13.5" customHeight="1">
      <c r="A40" s="1800" t="s">
        <v>1911</v>
      </c>
      <c r="B40" s="586" t="s">
        <v>841</v>
      </c>
      <c r="C40" s="3230">
        <f>F21</f>
        <v>0.02</v>
      </c>
      <c r="D40" s="612" t="s">
        <v>865</v>
      </c>
      <c r="E40" s="608"/>
      <c r="F40" s="609"/>
      <c r="G40" s="610" t="s">
        <v>856</v>
      </c>
    </row>
    <row r="41" spans="1:7" s="590" customFormat="1" ht="13.5" customHeight="1">
      <c r="A41" s="1800" t="s">
        <v>1912</v>
      </c>
      <c r="B41" s="586" t="s">
        <v>843</v>
      </c>
      <c r="C41" s="608">
        <f ca="1">ROUND(SUM(C42:C43),0)</f>
        <v>345262</v>
      </c>
      <c r="D41" s="611">
        <f ca="1">C44</f>
        <v>1E-3</v>
      </c>
      <c r="E41" s="612" t="s">
        <v>865</v>
      </c>
      <c r="F41" s="613"/>
      <c r="G41" s="2617" t="str">
        <f>IF('数据-取费表'!B22&lt;=1,"单利计息","复利计息")</f>
        <v>复利计息</v>
      </c>
    </row>
    <row r="42" spans="1:7" ht="13.5" customHeight="1">
      <c r="A42" s="1803" t="s">
        <v>1918</v>
      </c>
      <c r="B42" s="591" t="s">
        <v>2512</v>
      </c>
      <c r="C42" s="614">
        <f ca="1">ROUND(IF('数据-取费表'!B22&lt;=1,C33*F22*'数据-取费表'!B20/2,C33*(POWER((1+F22),'数据-取费表'!B20/2)-1)),0)</f>
        <v>338492</v>
      </c>
      <c r="D42" s="614"/>
      <c r="E42" s="614"/>
      <c r="F42" s="615"/>
      <c r="G42" s="3588" t="s">
        <v>2628</v>
      </c>
    </row>
    <row r="43" spans="1:7" ht="13.5" customHeight="1">
      <c r="A43" s="1803" t="s">
        <v>1919</v>
      </c>
      <c r="B43" s="591" t="s">
        <v>2507</v>
      </c>
      <c r="C43" s="614">
        <f ca="1">ROUND(IF('数据-取费表'!B22&lt;=1,C39*F22*'数据-取费表'!B20/2,C39*(POWER((1+F22),'数据-取费表'!B20/2)-1)),0)</f>
        <v>6770</v>
      </c>
      <c r="D43" s="614"/>
      <c r="E43" s="614"/>
      <c r="F43" s="615"/>
      <c r="G43" s="3586"/>
    </row>
    <row r="44" spans="1:7" ht="13.5" customHeight="1">
      <c r="A44" s="1803" t="s">
        <v>1920</v>
      </c>
      <c r="B44" s="591" t="s">
        <v>2509</v>
      </c>
      <c r="C44" s="614">
        <f ca="1">ROUND(IF('数据-取费表'!B22&lt;=1,C40*F22*'数据-取费表'!B20/2,C40*(POWER((1+F22),'数据-取费表'!B20/2)-1)),4)</f>
        <v>1E-3</v>
      </c>
      <c r="D44" s="614"/>
      <c r="E44" s="614"/>
      <c r="F44" s="615"/>
      <c r="G44" s="3587"/>
    </row>
    <row r="45" spans="1:7" s="590" customFormat="1" ht="13.5" customHeight="1">
      <c r="A45" s="1800" t="s">
        <v>1913</v>
      </c>
      <c r="B45" s="620" t="s">
        <v>848</v>
      </c>
      <c r="C45" s="621">
        <f ca="1">C46</f>
        <v>1453732</v>
      </c>
      <c r="D45" s="611">
        <f ca="1">C47</f>
        <v>4.0000000000000001E-3</v>
      </c>
      <c r="E45" s="612" t="s">
        <v>865</v>
      </c>
      <c r="F45" s="622"/>
      <c r="G45" s="623" t="s">
        <v>2523</v>
      </c>
    </row>
    <row r="46" spans="1:7" s="590" customFormat="1" ht="13.5" customHeight="1">
      <c r="A46" s="1803" t="s">
        <v>1918</v>
      </c>
      <c r="B46" s="624" t="s">
        <v>2516</v>
      </c>
      <c r="C46" s="625">
        <f ca="1">ROUND((C33+C39)*F27,0)</f>
        <v>1453732</v>
      </c>
      <c r="D46" s="639"/>
      <c r="E46" s="612"/>
      <c r="F46" s="622"/>
      <c r="G46" s="623"/>
    </row>
    <row r="47" spans="1:7" s="590" customFormat="1" ht="13.5" customHeight="1">
      <c r="A47" s="1803" t="s">
        <v>1919</v>
      </c>
      <c r="B47" s="624" t="s">
        <v>2518</v>
      </c>
      <c r="C47" s="614">
        <f ca="1">ROUND(C40*F27,4)</f>
        <v>4.0000000000000001E-3</v>
      </c>
      <c r="D47" s="639"/>
      <c r="E47" s="612"/>
      <c r="F47" s="622"/>
      <c r="G47" s="623"/>
    </row>
    <row r="48" spans="1:7" s="590" customFormat="1" ht="13.5" customHeight="1">
      <c r="A48" s="1800" t="s">
        <v>1914</v>
      </c>
      <c r="B48" s="586" t="s">
        <v>858</v>
      </c>
      <c r="C48" s="638">
        <f>ROUND(F30/(1+'数据-取费表'!C42),4)</f>
        <v>5.33E-2</v>
      </c>
      <c r="D48" s="612" t="s">
        <v>2941</v>
      </c>
      <c r="E48" s="608"/>
      <c r="F48" s="613"/>
      <c r="G48" s="2617" t="s">
        <v>2942</v>
      </c>
    </row>
    <row r="49" spans="1:7" ht="16.5" customHeight="1">
      <c r="A49" s="1800" t="s">
        <v>1915</v>
      </c>
      <c r="B49" s="586" t="s">
        <v>2626</v>
      </c>
      <c r="C49" s="608">
        <f ca="1">ROUND((C33+C39+C41+C45)/(1-C40-D41-D45-C48),0)</f>
        <v>9837969</v>
      </c>
      <c r="D49" s="608"/>
      <c r="E49" s="608"/>
      <c r="F49" s="640"/>
      <c r="G49" s="610" t="s">
        <v>2524</v>
      </c>
    </row>
    <row r="50" spans="1:7" s="634" customFormat="1">
      <c r="A50" s="1800" t="s">
        <v>1916</v>
      </c>
      <c r="B50" s="586" t="s">
        <v>860</v>
      </c>
      <c r="C50" s="608"/>
      <c r="D50" s="608"/>
      <c r="E50" s="608"/>
      <c r="F50" s="640">
        <f>IF('数据-取费表'!B24=0,'数据-取费表'!N16,1)</f>
        <v>0.65</v>
      </c>
      <c r="G50" s="623"/>
    </row>
    <row r="51" spans="1:7" ht="16.5" customHeight="1">
      <c r="A51" s="1800" t="s">
        <v>1917</v>
      </c>
      <c r="B51" s="586" t="s">
        <v>2627</v>
      </c>
      <c r="C51" s="608">
        <f ca="1">ROUND(C49*F50,0)</f>
        <v>6394680</v>
      </c>
      <c r="D51" s="608"/>
      <c r="E51" s="608"/>
      <c r="F51" s="640"/>
      <c r="G51" s="610" t="s">
        <v>354</v>
      </c>
    </row>
    <row r="52" spans="1:7" s="584" customFormat="1" ht="16.5" thickBot="1">
      <c r="A52" s="641" t="s">
        <v>355</v>
      </c>
      <c r="B52" s="642"/>
      <c r="C52" s="643">
        <f ca="1">C31+C51</f>
        <v>7599116</v>
      </c>
      <c r="D52" s="642"/>
      <c r="E52" s="642"/>
      <c r="F52" s="642"/>
      <c r="G52" s="644"/>
    </row>
    <row r="55" spans="1:7" ht="15">
      <c r="B55" s="646" t="s">
        <v>356</v>
      </c>
      <c r="C55" s="647"/>
    </row>
    <row r="56" spans="1:7">
      <c r="B56" s="2869" t="s">
        <v>2699</v>
      </c>
      <c r="C56" s="651">
        <f ca="1">1-C57</f>
        <v>0.15800000000000003</v>
      </c>
    </row>
    <row r="57" spans="1:7">
      <c r="B57" s="2869" t="s">
        <v>2698</v>
      </c>
      <c r="C57" s="650">
        <f ca="1">ROUND(C51/C52,3)</f>
        <v>0.84199999999999997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4" customWidth="1"/>
    <col min="3" max="3" width="10.375" style="1848" customWidth="1"/>
    <col min="4" max="4" width="9.875" style="1804" customWidth="1"/>
    <col min="5" max="5" width="9.5" style="1466"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871</v>
      </c>
      <c r="B1" s="3047"/>
      <c r="C1" s="3048"/>
      <c r="D1" s="3046"/>
      <c r="E1" s="652"/>
      <c r="F1" s="652"/>
      <c r="G1" s="3047"/>
      <c r="H1" s="652"/>
      <c r="I1" s="652"/>
      <c r="J1" s="652"/>
      <c r="K1" s="652">
        <f>MATCH(C1,'数据-取费表'!A6:A16,0)+5</f>
        <v>7</v>
      </c>
    </row>
    <row r="2" spans="1:33" ht="18" customHeight="1">
      <c r="A2" s="577" t="s">
        <v>820</v>
      </c>
      <c r="B2" s="580">
        <f ca="1">C32</f>
        <v>-52</v>
      </c>
      <c r="C2" s="88" t="s">
        <v>1097</v>
      </c>
      <c r="D2" s="652"/>
      <c r="E2" s="652"/>
      <c r="F2" s="652"/>
      <c r="G2" s="652"/>
      <c r="H2" s="652"/>
      <c r="I2" s="652"/>
      <c r="J2" s="652"/>
      <c r="K2" s="652"/>
    </row>
    <row r="3" spans="1:33" ht="18" customHeight="1" thickBot="1">
      <c r="A3" s="579" t="s">
        <v>821</v>
      </c>
      <c r="B3" s="580">
        <f ca="1">ROUND(B2*10000/IF(C1="",'数据-汇总表'!E3,INDIRECT("'数据-取费表'!K"&amp;$K$1)),0)</f>
        <v>-248</v>
      </c>
      <c r="C3" s="88" t="s">
        <v>870</v>
      </c>
      <c r="D3" s="652"/>
      <c r="E3" s="652"/>
      <c r="F3" s="652"/>
      <c r="G3" s="652"/>
      <c r="H3" s="652"/>
      <c r="I3" s="652"/>
      <c r="J3" s="652"/>
      <c r="K3" s="652"/>
    </row>
    <row r="4" spans="1:33" s="1808" customFormat="1" ht="16.5" customHeight="1">
      <c r="A4" s="1805" t="s">
        <v>872</v>
      </c>
      <c r="B4" s="1806"/>
      <c r="C4" s="1849">
        <f>SUM(C8:K8)</f>
        <v>0</v>
      </c>
      <c r="D4" s="1806"/>
      <c r="E4" s="1806"/>
      <c r="F4" s="1806"/>
      <c r="G4" s="1806"/>
      <c r="H4" s="1806"/>
      <c r="I4" s="1806"/>
      <c r="J4" s="1806"/>
      <c r="K4" s="1807"/>
    </row>
    <row r="5" spans="1:33" s="1812" customFormat="1" ht="24">
      <c r="A5" s="1809" t="s">
        <v>873</v>
      </c>
      <c r="B5" s="1810" t="s">
        <v>874</v>
      </c>
      <c r="C5" s="1273" t="s">
        <v>204</v>
      </c>
      <c r="D5" s="1273" t="s">
        <v>205</v>
      </c>
      <c r="E5" s="1273" t="s">
        <v>195</v>
      </c>
      <c r="F5" s="1273"/>
      <c r="G5" s="1273"/>
      <c r="H5" s="1273"/>
      <c r="I5" s="1273"/>
      <c r="J5" s="1273"/>
      <c r="K5" s="1273"/>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1929</v>
      </c>
      <c r="B6" s="471" t="s">
        <v>875</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1910</v>
      </c>
      <c r="B7" s="471" t="s">
        <v>876</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1911</v>
      </c>
      <c r="B8" s="509" t="s">
        <v>877</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878</v>
      </c>
      <c r="B9" s="1806"/>
      <c r="C9" s="1806"/>
      <c r="D9" s="1806"/>
      <c r="E9" s="1806"/>
      <c r="F9" s="1806"/>
      <c r="G9" s="1806"/>
      <c r="H9" s="1806"/>
      <c r="I9" s="1806"/>
      <c r="J9" s="1806"/>
      <c r="K9" s="1807"/>
    </row>
    <row r="10" spans="1:33" s="1823" customFormat="1" ht="13.5" customHeight="1">
      <c r="A10" s="1809" t="s">
        <v>873</v>
      </c>
      <c r="B10" s="295" t="s">
        <v>874</v>
      </c>
      <c r="C10" s="1819" t="s">
        <v>879</v>
      </c>
      <c r="D10" s="1820" t="s">
        <v>880</v>
      </c>
      <c r="E10" s="1820" t="s">
        <v>881</v>
      </c>
      <c r="F10" s="1820" t="s">
        <v>882</v>
      </c>
      <c r="G10" s="295"/>
      <c r="H10" s="1821"/>
      <c r="I10" s="1821"/>
      <c r="J10" s="1821"/>
      <c r="K10" s="1822"/>
    </row>
    <row r="11" spans="1:33" s="1828" customFormat="1" ht="13.5" customHeight="1">
      <c r="A11" s="1824" t="s">
        <v>2947</v>
      </c>
      <c r="B11" s="1825" t="s">
        <v>883</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2948</v>
      </c>
      <c r="B12" s="1825" t="s">
        <v>884</v>
      </c>
      <c r="C12" s="313">
        <f ca="1">ROUND(C11*F12,0)</f>
        <v>0</v>
      </c>
      <c r="D12" s="1826"/>
      <c r="E12" s="715"/>
      <c r="F12" s="1829">
        <f>'数据-取费表'!B33</f>
        <v>0.05</v>
      </c>
      <c r="G12" s="295" t="s">
        <v>885</v>
      </c>
      <c r="H12" s="1821"/>
      <c r="I12" s="1821"/>
      <c r="J12" s="1821"/>
      <c r="K12" s="1822"/>
    </row>
    <row r="13" spans="1:33" s="1828" customFormat="1" ht="13.5" customHeight="1">
      <c r="A13" s="1824" t="s">
        <v>2949</v>
      </c>
      <c r="B13" s="1825" t="s">
        <v>886</v>
      </c>
      <c r="C13" s="313">
        <f ca="1">ROUND(IF(C1="",SUMIF('数据-取费表'!C:C,"住宅",'数据-取费表'!P:P)*F13,IF(INDIRECT("'数据-取费表'!c"&amp;$K$1)="住宅",INDIRECT("'数据-取费表'!P"&amp;$K$1)*F13,0)),0)</f>
        <v>0</v>
      </c>
      <c r="D13" s="1907"/>
      <c r="E13" s="715"/>
      <c r="F13" s="1829">
        <f>'数据-取费表'!B34</f>
        <v>0</v>
      </c>
      <c r="G13" s="295" t="s">
        <v>887</v>
      </c>
      <c r="H13" s="1821"/>
      <c r="I13" s="1821"/>
      <c r="J13" s="1821"/>
      <c r="K13" s="1822"/>
    </row>
    <row r="14" spans="1:33" s="1830" customFormat="1" ht="13.5" customHeight="1">
      <c r="A14" s="1824" t="s">
        <v>2950</v>
      </c>
      <c r="B14" s="1825" t="s">
        <v>888</v>
      </c>
      <c r="C14" s="313">
        <f ca="1">ROUND(D14*E14*F11/10000,0)</f>
        <v>0</v>
      </c>
      <c r="D14" s="1907">
        <f ca="1">IF(C1="",'数据-汇总表'!E3,INDIRECT("'数据-取费表'!K"&amp;$K$1)+INDIRECT("'数据-取费表'!S"&amp;$K$1))</f>
        <v>2099.0100000000002</v>
      </c>
      <c r="E14" s="313">
        <f>'数据-取费表'!B35</f>
        <v>200</v>
      </c>
      <c r="F14" s="1829"/>
      <c r="G14" s="295" t="s">
        <v>889</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2951</v>
      </c>
      <c r="B15" s="1825" t="s">
        <v>895</v>
      </c>
      <c r="C15" s="1836">
        <f ca="1">ROUND(C11*F15,0)</f>
        <v>0</v>
      </c>
      <c r="D15" s="1831"/>
      <c r="E15" s="1836"/>
      <c r="F15" s="1837">
        <f>'数据-取费表'!B36</f>
        <v>1.4999999999999999E-2</v>
      </c>
      <c r="G15" s="471" t="s">
        <v>896</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1930</v>
      </c>
      <c r="B16" s="3231" t="s">
        <v>2952</v>
      </c>
      <c r="C16" s="1836">
        <f ca="1">SUM(C11:C15)</f>
        <v>0</v>
      </c>
      <c r="D16" s="1831"/>
      <c r="E16" s="1836"/>
      <c r="F16" s="1837"/>
      <c r="G16" s="471"/>
      <c r="H16" s="3044"/>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1931</v>
      </c>
      <c r="B17" s="1825" t="s">
        <v>890</v>
      </c>
      <c r="C17" s="313">
        <f ca="1">ROUND(D17*E17/10000,0)</f>
        <v>0</v>
      </c>
      <c r="D17" s="1907">
        <f ca="1">D14</f>
        <v>2099.0100000000002</v>
      </c>
      <c r="E17" s="313">
        <f>'数据-取费表'!B32</f>
        <v>0</v>
      </c>
      <c r="F17" s="1831"/>
      <c r="G17" s="471" t="s">
        <v>891</v>
      </c>
      <c r="H17" s="3044"/>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2953</v>
      </c>
      <c r="B18" s="1825" t="s">
        <v>892</v>
      </c>
      <c r="C18" s="313">
        <f ca="1">C19+C20-IF(C1="",'数据-取费表'!B29,IF(G18="已全部缴纳",C19+C20,H18))</f>
        <v>42</v>
      </c>
      <c r="D18" s="1907"/>
      <c r="E18" s="313"/>
      <c r="F18" s="1829"/>
      <c r="G18" s="3043"/>
      <c r="H18" s="3041"/>
      <c r="I18" s="3042" t="s">
        <v>2798</v>
      </c>
      <c r="J18" s="1832"/>
      <c r="K18" s="1833"/>
    </row>
    <row r="19" spans="1:33" s="1828" customFormat="1" ht="13.5" customHeight="1">
      <c r="A19" s="1824" t="s">
        <v>1932</v>
      </c>
      <c r="B19" s="1825" t="s">
        <v>893</v>
      </c>
      <c r="C19" s="313">
        <f ca="1">ROUND(D19*E19/10000,0)</f>
        <v>0</v>
      </c>
      <c r="D19" s="1907">
        <f ca="1">IF(C1="",'数据-汇总表'!E5,IF(INDIRECT("'数据-取费表'!c"&amp;$K$1)="住宅",INDIRECT("'数据-取费表'!k"&amp;$K$1),0))</f>
        <v>0</v>
      </c>
      <c r="E19" s="313">
        <f>'数据-取费表'!B27</f>
        <v>190</v>
      </c>
      <c r="F19" s="1829"/>
      <c r="G19" s="303"/>
      <c r="H19" s="3045"/>
      <c r="I19" s="1834"/>
      <c r="J19" s="1834"/>
      <c r="K19" s="1835"/>
    </row>
    <row r="20" spans="1:33" s="1828" customFormat="1" ht="13.5" customHeight="1">
      <c r="A20" s="1824" t="s">
        <v>1933</v>
      </c>
      <c r="B20" s="1825" t="s">
        <v>894</v>
      </c>
      <c r="C20" s="313">
        <f ca="1">ROUND(D20*E20/10000,0)</f>
        <v>42</v>
      </c>
      <c r="D20" s="1907">
        <f ca="1">IF(C1="",'数据-汇总表'!E6,IF(INDIRECT("'数据-取费表'!c"&amp;$K$1)="住宅",INDIRECT("'数据-取费表'!s"&amp;$K$1),INDIRECT("'数据-取费表'!k"&amp;$K$1)+INDIRECT("'数据-取费表'!s"&amp;$K$1)))</f>
        <v>2099.0100000000002</v>
      </c>
      <c r="E20" s="313">
        <f>'数据-取费表'!B28</f>
        <v>200</v>
      </c>
      <c r="F20" s="1829"/>
      <c r="G20" s="303"/>
      <c r="H20" s="1834"/>
      <c r="I20" s="1834"/>
      <c r="J20" s="1834"/>
      <c r="K20" s="1835"/>
    </row>
    <row r="21" spans="1:33" s="1828" customFormat="1" ht="13.5" customHeight="1">
      <c r="A21" s="1813" t="s">
        <v>1929</v>
      </c>
      <c r="B21" s="1838" t="s">
        <v>897</v>
      </c>
      <c r="C21" s="1839">
        <f ca="1">C16+C17+C18</f>
        <v>42</v>
      </c>
      <c r="D21" s="1840"/>
      <c r="E21" s="657"/>
      <c r="F21" s="657"/>
      <c r="G21" s="471" t="s">
        <v>2525</v>
      </c>
      <c r="H21" s="1832"/>
      <c r="I21" s="1832"/>
      <c r="J21" s="1832"/>
      <c r="K21" s="1833"/>
    </row>
    <row r="22" spans="1:33" s="1828" customFormat="1" ht="13.5" customHeight="1">
      <c r="A22" s="1818" t="s">
        <v>1910</v>
      </c>
      <c r="B22" s="1838" t="s">
        <v>898</v>
      </c>
      <c r="C22" s="1839">
        <f ca="1">ROUND(C21*F22,0)</f>
        <v>1</v>
      </c>
      <c r="D22" s="657"/>
      <c r="E22" s="657"/>
      <c r="F22" s="1841">
        <f>'数据-取费表'!B37</f>
        <v>0.02</v>
      </c>
      <c r="G22" s="295" t="s">
        <v>899</v>
      </c>
      <c r="H22" s="1821"/>
      <c r="I22" s="1821"/>
      <c r="J22" s="1821"/>
      <c r="K22" s="1822"/>
    </row>
    <row r="23" spans="1:33" s="1828" customFormat="1" ht="13.5" customHeight="1">
      <c r="A23" s="1818" t="s">
        <v>1911</v>
      </c>
      <c r="B23" s="1838" t="s">
        <v>900</v>
      </c>
      <c r="C23" s="1839">
        <f ca="1">ROUND(C4*F23*F11,0)</f>
        <v>0</v>
      </c>
      <c r="D23" s="657"/>
      <c r="E23" s="657"/>
      <c r="F23" s="1841">
        <f>'数据-取费表'!B38</f>
        <v>0.02</v>
      </c>
      <c r="G23" s="295" t="s">
        <v>901</v>
      </c>
      <c r="H23" s="1821"/>
      <c r="I23" s="1821"/>
      <c r="J23" s="1821"/>
      <c r="K23" s="1822"/>
    </row>
    <row r="24" spans="1:33" s="1828" customFormat="1" ht="13.5" customHeight="1">
      <c r="A24" s="1818" t="s">
        <v>1912</v>
      </c>
      <c r="B24" s="1838" t="s">
        <v>902</v>
      </c>
      <c r="C24" s="656">
        <f>ROUND(F24/(1+'数据-取费表'!C42),4)</f>
        <v>0</v>
      </c>
      <c r="D24" s="657" t="s">
        <v>50</v>
      </c>
      <c r="E24" s="657"/>
      <c r="F24" s="1841">
        <f>'数据-取费表'!B48+'数据-取费表'!B49</f>
        <v>0</v>
      </c>
      <c r="G24" s="2020" t="s">
        <v>2945</v>
      </c>
      <c r="H24" s="1843"/>
      <c r="I24" s="1843"/>
      <c r="J24" s="1843"/>
      <c r="K24" s="1844"/>
    </row>
    <row r="25" spans="1:33" s="1828" customFormat="1" ht="13.5" customHeight="1">
      <c r="A25" s="1818" t="s">
        <v>1913</v>
      </c>
      <c r="B25" s="1840" t="s">
        <v>903</v>
      </c>
      <c r="C25" s="2699">
        <f ca="1">C27</f>
        <v>0</v>
      </c>
      <c r="D25" s="656">
        <f ca="1">C26</f>
        <v>0</v>
      </c>
      <c r="E25" s="658" t="s">
        <v>50</v>
      </c>
      <c r="F25" s="659">
        <f ca="1">'数据-取费表'!B40</f>
        <v>4.7500000000000001E-2</v>
      </c>
      <c r="G25" s="2698"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1930</v>
      </c>
      <c r="B26" s="1845" t="s">
        <v>904</v>
      </c>
      <c r="C26" s="2700">
        <f ca="1">ROUND(IF('数据-取费表'!B22&lt;=1,(1+C24)*F25*'数据-取费表'!B24,(1+C24)*(POWER((1+F25),'数据-取费表'!B24)-1)),4)</f>
        <v>0</v>
      </c>
      <c r="D26" s="660"/>
      <c r="E26" s="661"/>
      <c r="F26" s="662"/>
      <c r="G26" s="2705"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1931</v>
      </c>
      <c r="B27" s="1845" t="s">
        <v>2615</v>
      </c>
      <c r="C27" s="2701">
        <f ca="1">ROUND(IF('数据-取费表'!B22&lt;=1,(C21+C22+C23)*F25*'数据-取费表'!B24/2,(C21+C22+C23)*(POWER((1+F25),'数据-取费表'!B24/2)-1)),0)</f>
        <v>0</v>
      </c>
      <c r="D27" s="660"/>
      <c r="E27" s="661"/>
      <c r="F27" s="662"/>
      <c r="G27" s="2705" t="str">
        <f>IF('数据-取费表'!B22&lt;=1,"（1）-（3）项×年利率×建设期÷2","（1）-（3）项×((1+年利率)^(建设期÷2)-1)")</f>
        <v>（1）-（3）项×((1+年利率)^(建设期÷2)-1)</v>
      </c>
      <c r="H27" s="1832"/>
      <c r="I27" s="1832"/>
      <c r="J27" s="1832"/>
      <c r="K27" s="1833"/>
    </row>
    <row r="28" spans="1:33" s="665" customFormat="1" ht="13.5" customHeight="1">
      <c r="A28" s="1818" t="s">
        <v>1914</v>
      </c>
      <c r="B28" s="3232" t="s">
        <v>2954</v>
      </c>
      <c r="C28" s="663">
        <f ca="1">C30</f>
        <v>9</v>
      </c>
      <c r="D28" s="656">
        <f ca="1">C29</f>
        <v>0</v>
      </c>
      <c r="E28" s="658" t="s">
        <v>50</v>
      </c>
      <c r="F28" s="664">
        <f ca="1">IF(C1="",'数据-取费表'!Q16,INDIRECT("'数据-取费表'!q"&amp;$K$1))</f>
        <v>0.2</v>
      </c>
      <c r="G28" s="1842"/>
      <c r="H28" s="1843"/>
      <c r="I28" s="1843"/>
      <c r="J28" s="1843"/>
      <c r="K28" s="1844"/>
    </row>
    <row r="29" spans="1:33" s="667" customFormat="1" ht="13.5" customHeight="1">
      <c r="A29" s="1824" t="s">
        <v>1930</v>
      </c>
      <c r="B29" s="1847" t="s">
        <v>905</v>
      </c>
      <c r="C29" s="660">
        <f ca="1">ROUND((1+C24)*F28*'数据-取费表'!B24/'数据-取费表'!B20,4)</f>
        <v>0</v>
      </c>
      <c r="D29" s="660"/>
      <c r="E29" s="661"/>
      <c r="F29" s="666"/>
      <c r="G29" s="471" t="s">
        <v>906</v>
      </c>
      <c r="H29" s="1832"/>
      <c r="I29" s="1832"/>
      <c r="J29" s="1832"/>
      <c r="K29" s="1833"/>
    </row>
    <row r="30" spans="1:33" s="667" customFormat="1" ht="13.5" customHeight="1">
      <c r="A30" s="1824" t="s">
        <v>1931</v>
      </c>
      <c r="B30" s="2706" t="s">
        <v>2616</v>
      </c>
      <c r="C30" s="668">
        <f ca="1">ROUND((C21+C22+C23)*F28,0)</f>
        <v>9</v>
      </c>
      <c r="D30" s="660"/>
      <c r="E30" s="661"/>
      <c r="F30" s="666"/>
      <c r="G30" s="471"/>
      <c r="H30" s="1832"/>
      <c r="I30" s="1832"/>
      <c r="J30" s="1832"/>
      <c r="K30" s="1833"/>
    </row>
    <row r="31" spans="1:33" s="1828" customFormat="1" ht="13.5" customHeight="1" thickBot="1">
      <c r="A31" s="1859" t="s">
        <v>1915</v>
      </c>
      <c r="B31" s="1860" t="s">
        <v>907</v>
      </c>
      <c r="C31" s="1861">
        <f>ROUND(C4*F31/(1+'数据-取费表'!C42),0)</f>
        <v>0</v>
      </c>
      <c r="D31" s="1862"/>
      <c r="E31" s="1863"/>
      <c r="F31" s="1864">
        <f>'数据-取费表'!B41</f>
        <v>5.6000000000000001E-2</v>
      </c>
      <c r="G31" s="1865" t="s">
        <v>908</v>
      </c>
      <c r="H31" s="1866"/>
      <c r="I31" s="1866"/>
      <c r="J31" s="1866"/>
      <c r="K31" s="1867"/>
    </row>
    <row r="32" spans="1:33" s="1823" customFormat="1" ht="13.5" customHeight="1" thickBot="1">
      <c r="A32" s="1854" t="s">
        <v>2946</v>
      </c>
      <c r="B32" s="1855"/>
      <c r="C32" s="1856">
        <f ca="1">ROUND((C4-C21-C22-C23-C25-C28-C31)/(1+C24+D25+D28),0)</f>
        <v>-52</v>
      </c>
      <c r="D32" s="1855"/>
      <c r="E32" s="1855"/>
      <c r="F32" s="1855"/>
      <c r="G32" s="1857" t="s">
        <v>909</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8" sqref="E4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1069</v>
      </c>
      <c r="B1" s="3115" t="s">
        <v>1070</v>
      </c>
      <c r="C1" s="3109" t="s">
        <v>1071</v>
      </c>
      <c r="D1" s="3100" t="s">
        <v>141</v>
      </c>
      <c r="E1" s="3105"/>
      <c r="F1" s="3102" t="s">
        <v>2695</v>
      </c>
      <c r="G1" s="3104" t="s">
        <v>1072</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1073</v>
      </c>
      <c r="B2" s="2841">
        <f>IF(C2="——",ROUND(C50*D3/10000,0),ROUND(C50*D3/10000,0)-D2)</f>
        <v>6955</v>
      </c>
      <c r="C2" s="3094" t="s">
        <v>530</v>
      </c>
      <c r="D2" s="2721" t="e">
        <f ca="1">SUMIF(INDIRECT("'"&amp;F2&amp;"'"&amp;"!A:A"),"承租人权益价值",INDIRECT("'"&amp;F2&amp;"'"&amp;"!c:c"))</f>
        <v>#REF!</v>
      </c>
      <c r="E2" s="3095" t="s">
        <v>869</v>
      </c>
      <c r="F2" s="3096"/>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1074</v>
      </c>
      <c r="B3" s="952">
        <f>IF(C2="——",C50,ROUND(B2*10000/D3,0))</f>
        <v>33133</v>
      </c>
      <c r="C3" s="142" t="s">
        <v>1075</v>
      </c>
      <c r="D3" s="742">
        <f>IF(D1="",'数据-汇总表'!E3,SUMIF('数据-汇总表'!$C19:$C33,D1,'数据-汇总表'!$E19:$E33))</f>
        <v>2099.0100000000002</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1076</v>
      </c>
      <c r="B4" s="144"/>
      <c r="C4" s="3606" t="s">
        <v>1077</v>
      </c>
      <c r="D4" s="3607"/>
      <c r="E4" s="3608" t="s">
        <v>1078</v>
      </c>
      <c r="F4" s="3609"/>
      <c r="G4" s="3606" t="s">
        <v>1079</v>
      </c>
      <c r="H4" s="3607"/>
      <c r="I4" s="3606" t="s">
        <v>1080</v>
      </c>
      <c r="J4" s="3607"/>
      <c r="K4" s="187" t="s">
        <v>1081</v>
      </c>
      <c r="L4" s="2293"/>
      <c r="M4" s="2294"/>
      <c r="N4" s="2294"/>
      <c r="O4" s="2294"/>
      <c r="P4" s="3610" t="s">
        <v>1076</v>
      </c>
      <c r="Q4" s="3611"/>
      <c r="R4" s="3594" t="s">
        <v>1078</v>
      </c>
      <c r="S4" s="3595"/>
      <c r="T4" s="3594" t="s">
        <v>1079</v>
      </c>
      <c r="U4" s="3595"/>
      <c r="V4" s="3618" t="s">
        <v>1080</v>
      </c>
      <c r="W4" s="3618"/>
      <c r="X4" s="2333"/>
      <c r="Y4" s="3594" t="s">
        <v>1076</v>
      </c>
      <c r="Z4" s="3595"/>
      <c r="AA4" s="3589" t="s">
        <v>1078</v>
      </c>
      <c r="AB4" s="3589" t="s">
        <v>1079</v>
      </c>
      <c r="AC4" s="3603" t="s">
        <v>1080</v>
      </c>
    </row>
    <row r="5" spans="1:29">
      <c r="A5" s="146"/>
      <c r="B5" s="147"/>
      <c r="C5" s="3598" t="s">
        <v>3124</v>
      </c>
      <c r="D5" s="3599"/>
      <c r="E5" s="3598" t="s">
        <v>3124</v>
      </c>
      <c r="F5" s="3599"/>
      <c r="G5" s="3598" t="s">
        <v>3125</v>
      </c>
      <c r="H5" s="3599"/>
      <c r="I5" s="3598" t="s">
        <v>3126</v>
      </c>
      <c r="J5" s="3599"/>
      <c r="K5" s="187"/>
      <c r="L5" s="2293"/>
      <c r="M5" s="2294"/>
      <c r="N5" s="2294"/>
      <c r="O5" s="2294"/>
      <c r="P5" s="3612"/>
      <c r="Q5" s="3613"/>
      <c r="R5" s="3596"/>
      <c r="S5" s="3597"/>
      <c r="T5" s="3596"/>
      <c r="U5" s="3597"/>
      <c r="V5" s="3619"/>
      <c r="W5" s="3619"/>
      <c r="X5" s="2219"/>
      <c r="Y5" s="3596"/>
      <c r="Z5" s="3597"/>
      <c r="AA5" s="3590"/>
      <c r="AB5" s="3590"/>
      <c r="AC5" s="3604"/>
    </row>
    <row r="6" spans="1:29" ht="14.25" thickBot="1">
      <c r="A6" s="148"/>
      <c r="B6" s="149"/>
      <c r="C6" s="3600" t="s">
        <v>3127</v>
      </c>
      <c r="D6" s="3601"/>
      <c r="E6" s="3600" t="s">
        <v>3127</v>
      </c>
      <c r="F6" s="3601"/>
      <c r="G6" s="3600" t="s">
        <v>3128</v>
      </c>
      <c r="H6" s="3601"/>
      <c r="I6" s="3600" t="s">
        <v>3129</v>
      </c>
      <c r="J6" s="3601"/>
      <c r="K6" s="187" t="s">
        <v>1082</v>
      </c>
      <c r="L6" s="2293"/>
      <c r="M6" s="2294"/>
      <c r="N6" s="2294"/>
      <c r="O6" s="2294"/>
      <c r="P6" s="3614"/>
      <c r="Q6" s="3615"/>
      <c r="R6" s="3596"/>
      <c r="S6" s="3597"/>
      <c r="T6" s="3616"/>
      <c r="U6" s="3617"/>
      <c r="V6" s="3619"/>
      <c r="W6" s="3619"/>
      <c r="X6" s="2219"/>
      <c r="Y6" s="3616"/>
      <c r="Z6" s="3617"/>
      <c r="AA6" s="3591"/>
      <c r="AB6" s="3591"/>
      <c r="AC6" s="3605"/>
    </row>
    <row r="7" spans="1:29" s="40" customFormat="1" ht="15" thickBot="1">
      <c r="A7" s="1014" t="s">
        <v>1083</v>
      </c>
      <c r="B7" s="1015"/>
      <c r="C7" s="753">
        <f>'数据-取费表'!B2</f>
        <v>42963</v>
      </c>
      <c r="D7" s="754">
        <v>100</v>
      </c>
      <c r="E7" s="1017">
        <v>42951</v>
      </c>
      <c r="F7" s="756">
        <f>SUMIF(59:59,YEAR(E7)&amp;"-"&amp;MONTH(E7),60:60)</f>
        <v>100</v>
      </c>
      <c r="G7" s="1018">
        <v>42942</v>
      </c>
      <c r="H7" s="754">
        <f>SUMIF(59:59,YEAR(G7)&amp;"-"&amp;MONTH(G7),60:60)</f>
        <v>100</v>
      </c>
      <c r="I7" s="1018">
        <v>42920</v>
      </c>
      <c r="J7" s="754">
        <f>SUMIF(59:59,YEAR(I7)&amp;"-"&amp;MONTH(I7),60:60)</f>
        <v>100</v>
      </c>
      <c r="K7" s="1019"/>
      <c r="L7" s="2295"/>
      <c r="M7" s="2257"/>
      <c r="N7" s="2257"/>
      <c r="O7" s="2257"/>
      <c r="P7" s="3620" t="s">
        <v>1083</v>
      </c>
      <c r="Q7" s="3621"/>
      <c r="R7" s="1342" t="s">
        <v>65</v>
      </c>
      <c r="S7" s="1343">
        <f t="shared" ref="S7:S15" si="0">F7</f>
        <v>100</v>
      </c>
      <c r="T7" s="1342" t="s">
        <v>65</v>
      </c>
      <c r="U7" s="1343">
        <f t="shared" ref="U7:U15" si="1">H7</f>
        <v>100</v>
      </c>
      <c r="V7" s="1342" t="s">
        <v>65</v>
      </c>
      <c r="W7" s="1343">
        <f t="shared" ref="W7:W15" si="2">J7</f>
        <v>100</v>
      </c>
      <c r="X7" s="287"/>
      <c r="Y7" s="3592" t="s">
        <v>1083</v>
      </c>
      <c r="Z7" s="3593"/>
      <c r="AA7" s="1344">
        <f>D7/F7</f>
        <v>1</v>
      </c>
      <c r="AB7" s="1344">
        <f>D7/H7</f>
        <v>1</v>
      </c>
      <c r="AC7" s="2334">
        <f>D7/J7</f>
        <v>1</v>
      </c>
    </row>
    <row r="8" spans="1:29" s="40" customFormat="1" ht="15" thickBot="1">
      <c r="A8" s="1014" t="s">
        <v>1084</v>
      </c>
      <c r="B8" s="1015"/>
      <c r="C8" s="1020" t="s">
        <v>3130</v>
      </c>
      <c r="D8" s="754">
        <v>100</v>
      </c>
      <c r="E8" s="1020" t="s">
        <v>3130</v>
      </c>
      <c r="F8" s="756">
        <f>SUMIF(62:62,E8,63:63)-SUMIF(62:62,C8,63:63)+100</f>
        <v>100</v>
      </c>
      <c r="G8" s="1020" t="s">
        <v>3130</v>
      </c>
      <c r="H8" s="754">
        <f>SUMIF(62:62,G8,63:63)-SUMIF(62:62,C8,63:63)+100</f>
        <v>100</v>
      </c>
      <c r="I8" s="1020" t="s">
        <v>3130</v>
      </c>
      <c r="J8" s="754">
        <f>SUMIF(62:62,I8,63:63)-SUMIF(62:62,C8,63:63)+100</f>
        <v>100</v>
      </c>
      <c r="K8" s="1019"/>
      <c r="L8" s="2295"/>
      <c r="M8" s="2257"/>
      <c r="N8" s="2257"/>
      <c r="O8" s="2257"/>
      <c r="P8" s="3620" t="s">
        <v>1022</v>
      </c>
      <c r="Q8" s="3593"/>
      <c r="R8" s="1342" t="s">
        <v>65</v>
      </c>
      <c r="S8" s="1343">
        <f t="shared" si="0"/>
        <v>100</v>
      </c>
      <c r="T8" s="1342" t="s">
        <v>65</v>
      </c>
      <c r="U8" s="1343">
        <f t="shared" si="1"/>
        <v>100</v>
      </c>
      <c r="V8" s="1342" t="s">
        <v>65</v>
      </c>
      <c r="W8" s="1343">
        <f t="shared" si="2"/>
        <v>100</v>
      </c>
      <c r="X8" s="287"/>
      <c r="Y8" s="3592" t="s">
        <v>1022</v>
      </c>
      <c r="Z8" s="3593"/>
      <c r="AA8" s="1344">
        <f t="shared" ref="AA8:AA47" si="3">D8/F8</f>
        <v>1</v>
      </c>
      <c r="AB8" s="1344">
        <f t="shared" ref="AB8:AB47" si="4">D8/H8</f>
        <v>1</v>
      </c>
      <c r="AC8" s="2334">
        <f t="shared" ref="AC8:AC47" si="5">D8/J8</f>
        <v>1</v>
      </c>
    </row>
    <row r="9" spans="1:29" s="40" customFormat="1" ht="14.25">
      <c r="A9" s="1021" t="s">
        <v>1023</v>
      </c>
      <c r="B9" s="62" t="s">
        <v>1024</v>
      </c>
      <c r="C9" s="1346" t="s">
        <v>3131</v>
      </c>
      <c r="D9" s="425">
        <v>100</v>
      </c>
      <c r="E9" s="1348" t="s">
        <v>141</v>
      </c>
      <c r="F9" s="425">
        <f>SUMIF(64:64,E9,65:65)-SUMIF(64:64,C9,65:65)+100</f>
        <v>100</v>
      </c>
      <c r="G9" s="1347" t="s">
        <v>141</v>
      </c>
      <c r="H9" s="425">
        <f>SUMIF(64:64,G9,65:65)-SUMIF(64:64,C9,65:65)+100</f>
        <v>100</v>
      </c>
      <c r="I9" s="1347" t="s">
        <v>141</v>
      </c>
      <c r="J9" s="425">
        <f>SUMIF(64:64,I9,65:65)-SUMIF(64:64,C9,65:65)+100</f>
        <v>100</v>
      </c>
      <c r="K9" s="1019"/>
      <c r="L9" s="2295"/>
      <c r="M9" s="2257"/>
      <c r="N9" s="2257"/>
      <c r="O9" s="2257"/>
      <c r="P9" s="3602" t="s">
        <v>67</v>
      </c>
      <c r="Q9" s="2210" t="str">
        <f t="shared" ref="Q9:Q15" si="6">B9</f>
        <v>用途</v>
      </c>
      <c r="R9" s="1342" t="s">
        <v>65</v>
      </c>
      <c r="S9" s="1343">
        <f t="shared" si="0"/>
        <v>100</v>
      </c>
      <c r="T9" s="1342" t="s">
        <v>65</v>
      </c>
      <c r="U9" s="1343">
        <f t="shared" si="1"/>
        <v>100</v>
      </c>
      <c r="V9" s="1342" t="s">
        <v>65</v>
      </c>
      <c r="W9" s="1343">
        <f t="shared" si="2"/>
        <v>100</v>
      </c>
      <c r="X9" s="287"/>
      <c r="Y9" s="3457" t="s">
        <v>67</v>
      </c>
      <c r="Z9" s="2209" t="str">
        <f t="shared" ref="Z9:Z15" si="7">Q9</f>
        <v>用途</v>
      </c>
      <c r="AA9" s="1344">
        <f t="shared" si="3"/>
        <v>1</v>
      </c>
      <c r="AB9" s="1344">
        <f t="shared" si="4"/>
        <v>1</v>
      </c>
      <c r="AC9" s="2334">
        <f t="shared" si="5"/>
        <v>1</v>
      </c>
    </row>
    <row r="10" spans="1:29" s="92" customFormat="1" ht="27">
      <c r="A10" s="150"/>
      <c r="B10" s="12" t="s">
        <v>106</v>
      </c>
      <c r="C10" s="1349" t="s">
        <v>3132</v>
      </c>
      <c r="D10" s="426">
        <v>100</v>
      </c>
      <c r="E10" s="1349" t="s">
        <v>3132</v>
      </c>
      <c r="F10" s="426">
        <f>SUMIF(66:66,E10,67:67)-SUMIF(66:66,C10,67:67)+100</f>
        <v>100</v>
      </c>
      <c r="G10" s="1350" t="s">
        <v>3132</v>
      </c>
      <c r="H10" s="426">
        <f>SUMIF(66:66,G10,67:67)-SUMIF(66:66,C10,67:67)+100</f>
        <v>100</v>
      </c>
      <c r="I10" s="1349" t="s">
        <v>3133</v>
      </c>
      <c r="J10" s="426">
        <f>SUMIF(66:66,I10,67:67)-SUMIF(66:66,C10,67:67)+100</f>
        <v>101</v>
      </c>
      <c r="K10" s="955">
        <v>1</v>
      </c>
      <c r="L10" s="2296"/>
      <c r="M10" s="2297"/>
      <c r="N10" s="2297"/>
      <c r="O10" s="2297"/>
      <c r="P10" s="3602"/>
      <c r="Q10" s="2210" t="str">
        <f t="shared" si="6"/>
        <v>土地使用年限（年）</v>
      </c>
      <c r="R10" s="1342" t="s">
        <v>65</v>
      </c>
      <c r="S10" s="1343">
        <f t="shared" si="0"/>
        <v>100</v>
      </c>
      <c r="T10" s="1342" t="s">
        <v>65</v>
      </c>
      <c r="U10" s="1343">
        <f t="shared" si="1"/>
        <v>100</v>
      </c>
      <c r="V10" s="1342" t="s">
        <v>65</v>
      </c>
      <c r="W10" s="1343">
        <f t="shared" si="2"/>
        <v>101</v>
      </c>
      <c r="X10" s="287"/>
      <c r="Y10" s="3457"/>
      <c r="Z10" s="2209" t="str">
        <f t="shared" si="7"/>
        <v>土地使用年限（年）</v>
      </c>
      <c r="AA10" s="1344">
        <f t="shared" si="3"/>
        <v>1</v>
      </c>
      <c r="AB10" s="1344">
        <f t="shared" si="4"/>
        <v>1</v>
      </c>
      <c r="AC10" s="2334">
        <f t="shared" si="5"/>
        <v>0.99009900990099009</v>
      </c>
    </row>
    <row r="11" spans="1:29" ht="15.75" thickBot="1">
      <c r="A11" s="151"/>
      <c r="B11" s="12" t="s">
        <v>93</v>
      </c>
      <c r="C11" s="772">
        <v>1</v>
      </c>
      <c r="D11" s="426">
        <v>100</v>
      </c>
      <c r="E11" s="772">
        <v>1</v>
      </c>
      <c r="F11" s="426">
        <f>LOOKUP(E11,69:69,70:70)-LOOKUP(C11,69:69,70:70)+100</f>
        <v>100</v>
      </c>
      <c r="G11" s="772">
        <v>1</v>
      </c>
      <c r="H11" s="426">
        <f>LOOKUP(G11,69:69,70:70)-LOOKUP(C11,69:69,70:70)+100</f>
        <v>100</v>
      </c>
      <c r="I11" s="772">
        <v>1</v>
      </c>
      <c r="J11" s="426">
        <f>LOOKUP(I11,69:69,70:70)-LOOKUP(C11,69:69,70:70)+100</f>
        <v>100</v>
      </c>
      <c r="K11" s="955">
        <v>1</v>
      </c>
      <c r="L11" s="2298"/>
      <c r="M11" s="2294"/>
      <c r="N11" s="2294"/>
      <c r="O11" s="2294"/>
      <c r="P11" s="3602"/>
      <c r="Q11" s="2210" t="str">
        <f t="shared" si="6"/>
        <v>容积率</v>
      </c>
      <c r="R11" s="1342" t="s">
        <v>65</v>
      </c>
      <c r="S11" s="1343">
        <f t="shared" si="0"/>
        <v>100</v>
      </c>
      <c r="T11" s="1342" t="s">
        <v>65</v>
      </c>
      <c r="U11" s="1343">
        <f t="shared" si="1"/>
        <v>100</v>
      </c>
      <c r="V11" s="1342" t="s">
        <v>65</v>
      </c>
      <c r="W11" s="1343">
        <f t="shared" si="2"/>
        <v>100</v>
      </c>
      <c r="X11" s="287"/>
      <c r="Y11" s="3457"/>
      <c r="Z11" s="2209" t="str">
        <f t="shared" si="7"/>
        <v>容积率</v>
      </c>
      <c r="AA11" s="1344">
        <f t="shared" si="3"/>
        <v>1</v>
      </c>
      <c r="AB11" s="1344">
        <f t="shared" si="4"/>
        <v>1</v>
      </c>
      <c r="AC11" s="2334">
        <f t="shared" si="5"/>
        <v>1</v>
      </c>
    </row>
    <row r="12" spans="1:29" s="40" customFormat="1" ht="14.25" hidden="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602"/>
      <c r="Q12" s="2210">
        <f t="shared" si="6"/>
        <v>111</v>
      </c>
      <c r="R12" s="1342" t="s">
        <v>65</v>
      </c>
      <c r="S12" s="1343">
        <f t="shared" si="0"/>
        <v>100</v>
      </c>
      <c r="T12" s="1342" t="s">
        <v>65</v>
      </c>
      <c r="U12" s="1343">
        <f t="shared" si="1"/>
        <v>100</v>
      </c>
      <c r="V12" s="1342" t="s">
        <v>65</v>
      </c>
      <c r="W12" s="1343">
        <f t="shared" si="2"/>
        <v>100</v>
      </c>
      <c r="X12" s="287"/>
      <c r="Y12" s="3457"/>
      <c r="Z12" s="2209">
        <f t="shared" si="7"/>
        <v>111</v>
      </c>
      <c r="AA12" s="1344">
        <f>D12/F12</f>
        <v>1</v>
      </c>
      <c r="AB12" s="1344">
        <f>D12/H12</f>
        <v>1</v>
      </c>
      <c r="AC12" s="2334">
        <f>D12/J12</f>
        <v>1</v>
      </c>
    </row>
    <row r="13" spans="1:29" ht="14.25" hidden="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602"/>
      <c r="Q13" s="2210">
        <f t="shared" si="6"/>
        <v>111</v>
      </c>
      <c r="R13" s="1342" t="s">
        <v>65</v>
      </c>
      <c r="S13" s="1343">
        <f t="shared" si="0"/>
        <v>100</v>
      </c>
      <c r="T13" s="1342" t="s">
        <v>65</v>
      </c>
      <c r="U13" s="1343">
        <f t="shared" si="1"/>
        <v>100</v>
      </c>
      <c r="V13" s="1342" t="s">
        <v>65</v>
      </c>
      <c r="W13" s="1343">
        <f t="shared" si="2"/>
        <v>100</v>
      </c>
      <c r="X13" s="287"/>
      <c r="Y13" s="3457"/>
      <c r="Z13" s="2209">
        <f t="shared" si="7"/>
        <v>111</v>
      </c>
      <c r="AA13" s="1344">
        <f t="shared" si="3"/>
        <v>1</v>
      </c>
      <c r="AB13" s="1344">
        <f t="shared" si="4"/>
        <v>1</v>
      </c>
      <c r="AC13" s="2334">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602"/>
      <c r="Q14" s="2210">
        <f t="shared" si="6"/>
        <v>111</v>
      </c>
      <c r="R14" s="1342" t="s">
        <v>65</v>
      </c>
      <c r="S14" s="1343">
        <f t="shared" si="0"/>
        <v>100</v>
      </c>
      <c r="T14" s="1342" t="s">
        <v>65</v>
      </c>
      <c r="U14" s="1343">
        <f t="shared" si="1"/>
        <v>100</v>
      </c>
      <c r="V14" s="1342" t="s">
        <v>65</v>
      </c>
      <c r="W14" s="1343">
        <f t="shared" si="2"/>
        <v>100</v>
      </c>
      <c r="X14" s="287"/>
      <c r="Y14" s="3457"/>
      <c r="Z14" s="2209">
        <f t="shared" si="7"/>
        <v>111</v>
      </c>
      <c r="AA14" s="1344">
        <f t="shared" si="3"/>
        <v>1</v>
      </c>
      <c r="AB14" s="1344">
        <f t="shared" si="4"/>
        <v>1</v>
      </c>
      <c r="AC14" s="2334">
        <f t="shared" si="5"/>
        <v>1</v>
      </c>
    </row>
    <row r="15" spans="1:29" ht="67.5">
      <c r="A15" s="155" t="s">
        <v>69</v>
      </c>
      <c r="B15" s="1033" t="s">
        <v>142</v>
      </c>
      <c r="C15" s="208" t="str">
        <f>估价对象房地状况!C5</f>
        <v>估价对象位于XX商圈，周边办公楼项目较多，入驻率高，办公集聚程度较好</v>
      </c>
      <c r="D15" s="784">
        <v>100</v>
      </c>
      <c r="E15" s="96" t="str">
        <f>C15</f>
        <v>估价对象位于XX商圈，周边办公楼项目较多，入驻率高，办公集聚程度较好</v>
      </c>
      <c r="F15" s="784">
        <f>SUMIF(77:77,E16,78:78)-SUMIF(77:77,C16,78:78)+100</f>
        <v>100</v>
      </c>
      <c r="G15" s="96" t="str">
        <f>E15</f>
        <v>估价对象位于XX商圈，周边办公楼项目较多，入驻率高，办公集聚程度较好</v>
      </c>
      <c r="H15" s="784">
        <f>SUMIF(77:77,G16,78:78)-SUMIF(77:77,C16,78:78)+100</f>
        <v>100</v>
      </c>
      <c r="I15" s="96" t="str">
        <f>G15</f>
        <v>估价对象位于XX商圈，周边办公楼项目较多，入驻率高，办公集聚程度较好</v>
      </c>
      <c r="J15" s="784">
        <f>SUMIF(77:77,I16,78:78)-SUMIF(77:77,C16,78:78)+100</f>
        <v>100</v>
      </c>
      <c r="K15" s="957">
        <v>2</v>
      </c>
      <c r="L15" s="2299"/>
      <c r="M15" s="2294"/>
      <c r="N15" s="2294"/>
      <c r="O15" s="2294"/>
      <c r="P15" s="3622" t="s">
        <v>69</v>
      </c>
      <c r="Q15" s="2217" t="str">
        <f t="shared" si="6"/>
        <v>办公集聚程度</v>
      </c>
      <c r="R15" s="1352" t="s">
        <v>65</v>
      </c>
      <c r="S15" s="1353">
        <f t="shared" si="0"/>
        <v>100</v>
      </c>
      <c r="T15" s="1352" t="s">
        <v>65</v>
      </c>
      <c r="U15" s="1353">
        <f t="shared" si="1"/>
        <v>100</v>
      </c>
      <c r="V15" s="1352" t="s">
        <v>65</v>
      </c>
      <c r="W15" s="1353">
        <f t="shared" si="2"/>
        <v>100</v>
      </c>
      <c r="X15" s="2219"/>
      <c r="Y15" s="3624" t="s">
        <v>69</v>
      </c>
      <c r="Z15" s="2218" t="str">
        <f t="shared" si="7"/>
        <v>办公集聚程度</v>
      </c>
      <c r="AA15" s="1355">
        <f t="shared" si="3"/>
        <v>1</v>
      </c>
      <c r="AB15" s="1355">
        <f t="shared" si="4"/>
        <v>1</v>
      </c>
      <c r="AC15" s="2335">
        <f t="shared" si="5"/>
        <v>1</v>
      </c>
    </row>
    <row r="16" spans="1:29" ht="15" thickBot="1">
      <c r="A16" s="151"/>
      <c r="B16" s="209"/>
      <c r="C16" s="192" t="s">
        <v>3104</v>
      </c>
      <c r="D16" s="791"/>
      <c r="E16" s="97" t="s">
        <v>3104</v>
      </c>
      <c r="F16" s="791"/>
      <c r="G16" s="192" t="s">
        <v>3104</v>
      </c>
      <c r="H16" s="793"/>
      <c r="I16" s="97" t="s">
        <v>3104</v>
      </c>
      <c r="J16" s="791"/>
      <c r="K16" s="189"/>
      <c r="L16" s="2299"/>
      <c r="M16" s="2294"/>
      <c r="N16" s="2294"/>
      <c r="O16" s="2294"/>
      <c r="P16" s="3623"/>
      <c r="Q16" s="2217"/>
      <c r="R16" s="1352"/>
      <c r="S16" s="1353"/>
      <c r="T16" s="1352"/>
      <c r="U16" s="1353"/>
      <c r="V16" s="1352"/>
      <c r="W16" s="1353"/>
      <c r="X16" s="2219"/>
      <c r="Y16" s="3625"/>
      <c r="Z16" s="2218"/>
      <c r="AA16" s="1355">
        <v>1</v>
      </c>
      <c r="AB16" s="1355">
        <v>1</v>
      </c>
      <c r="AC16" s="2335">
        <v>1</v>
      </c>
    </row>
    <row r="17" spans="1:29" ht="81">
      <c r="A17" s="151"/>
      <c r="B17" s="1034" t="s">
        <v>72</v>
      </c>
      <c r="C17" s="210" t="str">
        <f>估价对象房地状况!C6</f>
        <v>估价对象周边道路状况、公共交通通达情况、停车便捷程度，综合评价交通便捷度较好</v>
      </c>
      <c r="D17" s="793">
        <v>100</v>
      </c>
      <c r="E17" s="3372" t="str">
        <f>C17</f>
        <v>估价对象周边道路状况、公共交通通达情况、停车便捷程度，综合评价交通便捷度较好</v>
      </c>
      <c r="F17" s="793">
        <f>SUMIF(79:79,E18,80:80)-SUMIF(79:79,C18,80:80)+100</f>
        <v>100</v>
      </c>
      <c r="G17" s="3372" t="str">
        <f>E17</f>
        <v>估价对象周边道路状况、公共交通通达情况、停车便捷程度，综合评价交通便捷度较好</v>
      </c>
      <c r="H17" s="798">
        <f>SUMIF(79:79,G18,80:80)-SUMIF(79:79,C18,80:80)+100</f>
        <v>100</v>
      </c>
      <c r="I17" s="3372" t="str">
        <f>G17</f>
        <v>估价对象周边道路状况、公共交通通达情况、停车便捷程度，综合评价交通便捷度较好</v>
      </c>
      <c r="J17" s="798">
        <f>SUMIF(79:79,I18,80:80)-SUMIF(79:79,C18,80:80)+100</f>
        <v>100</v>
      </c>
      <c r="K17" s="957">
        <v>2</v>
      </c>
      <c r="L17" s="2299"/>
      <c r="M17" s="2294"/>
      <c r="N17" s="2294"/>
      <c r="O17" s="2294"/>
      <c r="P17" s="3623"/>
      <c r="Q17" s="2217" t="str">
        <f>B17</f>
        <v>交通便捷度</v>
      </c>
      <c r="R17" s="1352" t="s">
        <v>65</v>
      </c>
      <c r="S17" s="1353">
        <f>F17</f>
        <v>100</v>
      </c>
      <c r="T17" s="1352" t="s">
        <v>65</v>
      </c>
      <c r="U17" s="1353">
        <f>H17</f>
        <v>100</v>
      </c>
      <c r="V17" s="1352" t="s">
        <v>65</v>
      </c>
      <c r="W17" s="1353">
        <f>J17</f>
        <v>100</v>
      </c>
      <c r="X17" s="2219"/>
      <c r="Y17" s="3625"/>
      <c r="Z17" s="2218" t="str">
        <f>Q17</f>
        <v>交通便捷度</v>
      </c>
      <c r="AA17" s="1355">
        <f t="shared" si="3"/>
        <v>1</v>
      </c>
      <c r="AB17" s="1355">
        <f t="shared" si="4"/>
        <v>1</v>
      </c>
      <c r="AC17" s="2335">
        <f t="shared" si="5"/>
        <v>1</v>
      </c>
    </row>
    <row r="18" spans="1:29" ht="14.25">
      <c r="A18" s="151"/>
      <c r="B18" s="1035"/>
      <c r="C18" s="192" t="s">
        <v>3104</v>
      </c>
      <c r="D18" s="793"/>
      <c r="E18" s="193" t="s">
        <v>3104</v>
      </c>
      <c r="F18" s="793"/>
      <c r="G18" s="193" t="s">
        <v>3104</v>
      </c>
      <c r="H18" s="791"/>
      <c r="I18" s="193" t="s">
        <v>3104</v>
      </c>
      <c r="J18" s="791"/>
      <c r="K18" s="189"/>
      <c r="L18" s="2299"/>
      <c r="M18" s="2294"/>
      <c r="N18" s="2294"/>
      <c r="O18" s="2294"/>
      <c r="P18" s="3623"/>
      <c r="Q18" s="2217"/>
      <c r="R18" s="1352"/>
      <c r="S18" s="1353"/>
      <c r="T18" s="1352"/>
      <c r="U18" s="1353"/>
      <c r="V18" s="1352"/>
      <c r="W18" s="1353"/>
      <c r="X18" s="2219"/>
      <c r="Y18" s="3625"/>
      <c r="Z18" s="2218"/>
      <c r="AA18" s="1355">
        <v>1</v>
      </c>
      <c r="AB18" s="1355">
        <v>1</v>
      </c>
      <c r="AC18" s="2335">
        <v>1</v>
      </c>
    </row>
    <row r="19" spans="1:29" ht="40.5">
      <c r="A19" s="151"/>
      <c r="B19" s="1034" t="s">
        <v>2660</v>
      </c>
      <c r="C19" s="210" t="str">
        <f>估价对象房地状况!C7</f>
        <v>估价对象所在区域公共配套设施齐备情况</v>
      </c>
      <c r="D19" s="798">
        <v>100</v>
      </c>
      <c r="E19" s="3373" t="str">
        <f>C19</f>
        <v>估价对象所在区域公共配套设施齐备情况</v>
      </c>
      <c r="F19" s="798">
        <f>SUMIF(81:81,E20,82:82)-SUMIF(81:81,C20,82:82)+100</f>
        <v>100</v>
      </c>
      <c r="G19" s="3373" t="str">
        <f>E19</f>
        <v>估价对象所在区域公共配套设施齐备情况</v>
      </c>
      <c r="H19" s="793">
        <f>SUMIF(81:81,G20,82:82)-SUMIF(81:81,C20,82:82)+100</f>
        <v>100</v>
      </c>
      <c r="I19" s="3373" t="str">
        <f>G19</f>
        <v>估价对象所在区域公共配套设施齐备情况</v>
      </c>
      <c r="J19" s="793">
        <f>SUMIF(81:81,I20,82:82)-SUMIF(81:81,C20,82:82)+100</f>
        <v>100</v>
      </c>
      <c r="K19" s="957">
        <v>2</v>
      </c>
      <c r="L19" s="2299"/>
      <c r="M19" s="2294"/>
      <c r="N19" s="2294"/>
      <c r="O19" s="2294"/>
      <c r="P19" s="3623"/>
      <c r="Q19" s="2217" t="str">
        <f>B19</f>
        <v>公共配套设施</v>
      </c>
      <c r="R19" s="1352" t="s">
        <v>65</v>
      </c>
      <c r="S19" s="1353">
        <f>F19</f>
        <v>100</v>
      </c>
      <c r="T19" s="1352" t="s">
        <v>65</v>
      </c>
      <c r="U19" s="1353">
        <f>H19</f>
        <v>100</v>
      </c>
      <c r="V19" s="1352" t="s">
        <v>65</v>
      </c>
      <c r="W19" s="1353">
        <f>J19</f>
        <v>100</v>
      </c>
      <c r="X19" s="2219"/>
      <c r="Y19" s="3625"/>
      <c r="Z19" s="2218" t="str">
        <f>Q19</f>
        <v>公共配套设施</v>
      </c>
      <c r="AA19" s="1355">
        <f t="shared" si="3"/>
        <v>1</v>
      </c>
      <c r="AB19" s="1355">
        <f t="shared" si="4"/>
        <v>1</v>
      </c>
      <c r="AC19" s="2335">
        <f t="shared" si="5"/>
        <v>1</v>
      </c>
    </row>
    <row r="20" spans="1:29" ht="14.25">
      <c r="A20" s="151"/>
      <c r="B20" s="1035"/>
      <c r="C20" s="192" t="s">
        <v>3104</v>
      </c>
      <c r="D20" s="791"/>
      <c r="E20" s="192" t="s">
        <v>3104</v>
      </c>
      <c r="F20" s="791"/>
      <c r="G20" s="192" t="s">
        <v>3104</v>
      </c>
      <c r="H20" s="791"/>
      <c r="I20" s="192" t="s">
        <v>3104</v>
      </c>
      <c r="J20" s="791"/>
      <c r="K20" s="189"/>
      <c r="L20" s="2299"/>
      <c r="M20" s="2294"/>
      <c r="N20" s="2294"/>
      <c r="O20" s="2294"/>
      <c r="P20" s="3623"/>
      <c r="Q20" s="2217"/>
      <c r="R20" s="1352"/>
      <c r="S20" s="1353"/>
      <c r="T20" s="1352"/>
      <c r="U20" s="1353"/>
      <c r="V20" s="1352"/>
      <c r="W20" s="1353"/>
      <c r="X20" s="2219"/>
      <c r="Y20" s="3625"/>
      <c r="Z20" s="2218"/>
      <c r="AA20" s="1355">
        <v>1</v>
      </c>
      <c r="AB20" s="1355">
        <v>1</v>
      </c>
      <c r="AC20" s="2335">
        <v>1</v>
      </c>
    </row>
    <row r="21" spans="1:29" ht="27">
      <c r="A21" s="151"/>
      <c r="B21" s="1036" t="s">
        <v>2661</v>
      </c>
      <c r="C21" s="210" t="str">
        <f>估价对象房地状况!C8</f>
        <v>估价对象所在区域基础设施水平</v>
      </c>
      <c r="D21" s="793">
        <v>100</v>
      </c>
      <c r="E21" s="3373" t="str">
        <f>C21</f>
        <v>估价对象所在区域基础设施水平</v>
      </c>
      <c r="F21" s="798">
        <f>SUMIF(83:83,E22,84:84)-SUMIF(83:83,C22,84:84)+100</f>
        <v>100</v>
      </c>
      <c r="G21" s="3373" t="str">
        <f>E21</f>
        <v>估价对象所在区域基础设施水平</v>
      </c>
      <c r="H21" s="793">
        <f>SUMIF(83:83,G22,84:84)-SUMIF(83:83,C22,84:84)+100</f>
        <v>100</v>
      </c>
      <c r="I21" s="3373" t="str">
        <f>G21</f>
        <v>估价对象所在区域基础设施水平</v>
      </c>
      <c r="J21" s="793">
        <f>SUMIF(83:83,I22,84:84)-SUMIF(83:83,C22,84:84)+100</f>
        <v>100</v>
      </c>
      <c r="K21" s="957">
        <v>1</v>
      </c>
      <c r="L21" s="2299"/>
      <c r="M21" s="2294"/>
      <c r="N21" s="2294"/>
      <c r="O21" s="2294"/>
      <c r="P21" s="3623"/>
      <c r="Q21" s="2743" t="str">
        <f>B21</f>
        <v>基础设施水平</v>
      </c>
      <c r="R21" s="1352" t="s">
        <v>65</v>
      </c>
      <c r="S21" s="1353">
        <f>F21</f>
        <v>100</v>
      </c>
      <c r="T21" s="1352" t="s">
        <v>65</v>
      </c>
      <c r="U21" s="1353">
        <f>H21</f>
        <v>100</v>
      </c>
      <c r="V21" s="1352" t="s">
        <v>65</v>
      </c>
      <c r="W21" s="1353">
        <f>J21</f>
        <v>100</v>
      </c>
      <c r="X21" s="2745"/>
      <c r="Y21" s="3625"/>
      <c r="Z21" s="2744" t="str">
        <f>Q21</f>
        <v>基础设施水平</v>
      </c>
      <c r="AA21" s="1355">
        <f t="shared" ref="AA21" si="8">D21/F21</f>
        <v>1</v>
      </c>
      <c r="AB21" s="1355">
        <f t="shared" ref="AB21" si="9">D21/H21</f>
        <v>1</v>
      </c>
      <c r="AC21" s="2335">
        <f t="shared" ref="AC21" si="10">D21/J21</f>
        <v>1</v>
      </c>
    </row>
    <row r="22" spans="1:29" ht="14.25">
      <c r="A22" s="151"/>
      <c r="B22" s="1036"/>
      <c r="C22" s="193" t="s">
        <v>3134</v>
      </c>
      <c r="D22" s="791"/>
      <c r="E22" s="193" t="s">
        <v>3134</v>
      </c>
      <c r="F22" s="791"/>
      <c r="G22" s="193" t="s">
        <v>3134</v>
      </c>
      <c r="H22" s="791"/>
      <c r="I22" s="193" t="s">
        <v>3134</v>
      </c>
      <c r="J22" s="791"/>
      <c r="K22" s="2763"/>
      <c r="L22" s="2299"/>
      <c r="M22" s="2294"/>
      <c r="N22" s="2294"/>
      <c r="O22" s="2294"/>
      <c r="P22" s="3623"/>
      <c r="Q22" s="2743"/>
      <c r="R22" s="1352"/>
      <c r="S22" s="1353"/>
      <c r="T22" s="1352"/>
      <c r="U22" s="1353"/>
      <c r="V22" s="1352"/>
      <c r="W22" s="1353"/>
      <c r="X22" s="2745"/>
      <c r="Y22" s="3625"/>
      <c r="Z22" s="2744"/>
      <c r="AA22" s="1355">
        <v>1</v>
      </c>
      <c r="AB22" s="1355">
        <v>1</v>
      </c>
      <c r="AC22" s="2335">
        <v>1</v>
      </c>
    </row>
    <row r="23" spans="1:29" ht="54">
      <c r="A23" s="151"/>
      <c r="B23" s="1034" t="s">
        <v>143</v>
      </c>
      <c r="C23" s="210" t="str">
        <f>估价对象房地状况!C9</f>
        <v>区域自然环境：；人文环境；综合评价环境状况一般</v>
      </c>
      <c r="D23" s="793">
        <v>100</v>
      </c>
      <c r="E23" s="3373" t="str">
        <f>C23</f>
        <v>区域自然环境：；人文环境；综合评价环境状况一般</v>
      </c>
      <c r="F23" s="793">
        <f>SUMIF(85:85,E24,86:86)-SUMIF(85:85,C24,86:86)+100</f>
        <v>100</v>
      </c>
      <c r="G23" s="3373" t="str">
        <f>E23</f>
        <v>区域自然环境：；人文环境；综合评价环境状况一般</v>
      </c>
      <c r="H23" s="793">
        <f>SUMIF(85:85,G24,86:86)-SUMIF(85:85,C24,86:86)+100</f>
        <v>100</v>
      </c>
      <c r="I23" s="3373" t="str">
        <f>G23</f>
        <v>区域自然环境：；人文环境；综合评价环境状况一般</v>
      </c>
      <c r="J23" s="793">
        <f>SUMIF(85:85,I24,86:86)-SUMIF(85:85,C24,86:86)+100</f>
        <v>100</v>
      </c>
      <c r="K23" s="957">
        <v>2</v>
      </c>
      <c r="L23" s="2299"/>
      <c r="M23" s="2294"/>
      <c r="N23" s="2294"/>
      <c r="O23" s="2294"/>
      <c r="P23" s="3623"/>
      <c r="Q23" s="2217" t="str">
        <f>B23</f>
        <v>环境质量</v>
      </c>
      <c r="R23" s="1352" t="s">
        <v>65</v>
      </c>
      <c r="S23" s="1353">
        <f>F23</f>
        <v>100</v>
      </c>
      <c r="T23" s="1352" t="s">
        <v>65</v>
      </c>
      <c r="U23" s="1353">
        <f>H23</f>
        <v>100</v>
      </c>
      <c r="V23" s="1352" t="s">
        <v>65</v>
      </c>
      <c r="W23" s="1353">
        <f>J23</f>
        <v>100</v>
      </c>
      <c r="X23" s="2219"/>
      <c r="Y23" s="3625"/>
      <c r="Z23" s="2218" t="str">
        <f>Q23</f>
        <v>环境质量</v>
      </c>
      <c r="AA23" s="1355">
        <f t="shared" si="3"/>
        <v>1</v>
      </c>
      <c r="AB23" s="1355">
        <f t="shared" si="4"/>
        <v>1</v>
      </c>
      <c r="AC23" s="2335">
        <f t="shared" si="5"/>
        <v>1</v>
      </c>
    </row>
    <row r="24" spans="1:29" ht="14.25">
      <c r="A24" s="151"/>
      <c r="B24" s="1036"/>
      <c r="C24" s="192" t="s">
        <v>3104</v>
      </c>
      <c r="D24" s="791"/>
      <c r="E24" s="192" t="s">
        <v>3104</v>
      </c>
      <c r="F24" s="791"/>
      <c r="G24" s="192" t="s">
        <v>3104</v>
      </c>
      <c r="H24" s="791"/>
      <c r="I24" s="192" t="s">
        <v>3104</v>
      </c>
      <c r="J24" s="791"/>
      <c r="K24" s="189"/>
      <c r="L24" s="2299"/>
      <c r="M24" s="2294"/>
      <c r="N24" s="2294"/>
      <c r="O24" s="2294"/>
      <c r="P24" s="3623"/>
      <c r="Q24" s="2217"/>
      <c r="R24" s="1352"/>
      <c r="S24" s="1353"/>
      <c r="T24" s="1352"/>
      <c r="U24" s="1353"/>
      <c r="V24" s="1352"/>
      <c r="W24" s="1353"/>
      <c r="X24" s="2219"/>
      <c r="Y24" s="3625"/>
      <c r="Z24" s="2218"/>
      <c r="AA24" s="1355">
        <v>1</v>
      </c>
      <c r="AB24" s="1355">
        <v>1</v>
      </c>
      <c r="AC24" s="2335">
        <v>1</v>
      </c>
    </row>
    <row r="25" spans="1:29" ht="27">
      <c r="A25" s="146"/>
      <c r="B25" s="1034" t="s">
        <v>144</v>
      </c>
      <c r="C25" s="194" t="str">
        <f>C26</f>
        <v>主干道</v>
      </c>
      <c r="D25" s="778">
        <v>100</v>
      </c>
      <c r="E25" s="194" t="str">
        <f>E26</f>
        <v>主干道</v>
      </c>
      <c r="F25" s="778">
        <f>SUMIF(87:87,E26,88:88)-SUMIF(87:87,C26,88:88)+100</f>
        <v>100</v>
      </c>
      <c r="G25" s="194" t="str">
        <f>G26</f>
        <v>次干道</v>
      </c>
      <c r="H25" s="778">
        <f>SUMIF(87:87,G26,88:88)-SUMIF(87:87,C26,88:88)+100</f>
        <v>99</v>
      </c>
      <c r="I25" s="194" t="str">
        <f>I26</f>
        <v>次干道</v>
      </c>
      <c r="J25" s="778">
        <f>SUMIF(87:87,I26,88:88)-SUMIF(87:87,C26,88:88)+100</f>
        <v>99</v>
      </c>
      <c r="K25" s="957">
        <v>1</v>
      </c>
      <c r="L25" s="2299"/>
      <c r="M25" s="2294"/>
      <c r="N25" s="2294"/>
      <c r="O25" s="2294"/>
      <c r="P25" s="3623"/>
      <c r="Q25" s="2217" t="str">
        <f>B25</f>
        <v>毗邻道路的类型与等级</v>
      </c>
      <c r="R25" s="1352" t="s">
        <v>65</v>
      </c>
      <c r="S25" s="1353">
        <f>F25</f>
        <v>100</v>
      </c>
      <c r="T25" s="1352" t="s">
        <v>65</v>
      </c>
      <c r="U25" s="1353">
        <f>H25</f>
        <v>99</v>
      </c>
      <c r="V25" s="1352" t="s">
        <v>65</v>
      </c>
      <c r="W25" s="1353">
        <f>J25</f>
        <v>99</v>
      </c>
      <c r="X25" s="2219"/>
      <c r="Y25" s="3625"/>
      <c r="Z25" s="2218" t="str">
        <f>Q25</f>
        <v>毗邻道路的类型与等级</v>
      </c>
      <c r="AA25" s="1355">
        <f t="shared" si="3"/>
        <v>1</v>
      </c>
      <c r="AB25" s="1355">
        <f t="shared" si="4"/>
        <v>1.0101010101010102</v>
      </c>
      <c r="AC25" s="2335">
        <f t="shared" si="5"/>
        <v>1.0101010101010102</v>
      </c>
    </row>
    <row r="26" spans="1:29" ht="14.25">
      <c r="A26" s="146"/>
      <c r="B26" s="1035"/>
      <c r="C26" s="195" t="s">
        <v>3135</v>
      </c>
      <c r="D26" s="778"/>
      <c r="E26" s="182" t="s">
        <v>3135</v>
      </c>
      <c r="F26" s="778"/>
      <c r="G26" s="195" t="s">
        <v>3142</v>
      </c>
      <c r="H26" s="778"/>
      <c r="I26" s="182" t="s">
        <v>3142</v>
      </c>
      <c r="J26" s="778"/>
      <c r="K26" s="189"/>
      <c r="L26" s="2299"/>
      <c r="M26" s="2294"/>
      <c r="N26" s="2294"/>
      <c r="O26" s="2294"/>
      <c r="P26" s="3623"/>
      <c r="Q26" s="2217"/>
      <c r="R26" s="1352"/>
      <c r="S26" s="1353"/>
      <c r="T26" s="1352"/>
      <c r="U26" s="1353"/>
      <c r="V26" s="1352"/>
      <c r="W26" s="1353"/>
      <c r="X26" s="2219"/>
      <c r="Y26" s="3625"/>
      <c r="Z26" s="2218"/>
      <c r="AA26" s="1355">
        <v>1</v>
      </c>
      <c r="AB26" s="1355">
        <v>1</v>
      </c>
      <c r="AC26" s="2335">
        <v>1</v>
      </c>
    </row>
    <row r="27" spans="1:29" ht="15">
      <c r="A27" s="151"/>
      <c r="B27" s="1035" t="s">
        <v>1085</v>
      </c>
      <c r="C27" s="195" t="s">
        <v>3144</v>
      </c>
      <c r="D27" s="778">
        <v>100</v>
      </c>
      <c r="E27" s="182" t="s">
        <v>3136</v>
      </c>
      <c r="F27" s="778">
        <f>SUMIF(89:89,E27,90:90)-SUMIF(89:89,C27,90:90)+100</f>
        <v>104</v>
      </c>
      <c r="G27" s="195" t="s">
        <v>3143</v>
      </c>
      <c r="H27" s="778">
        <f>SUMIF(89:89,G27,90:90)-SUMIF(89:89,C27,90:90)+100</f>
        <v>102</v>
      </c>
      <c r="I27" s="182" t="s">
        <v>3136</v>
      </c>
      <c r="J27" s="778">
        <f>SUMIF(89:89,I27,90:90)-SUMIF(89:89,C27,90:90)+100</f>
        <v>104</v>
      </c>
      <c r="K27" s="955">
        <v>2</v>
      </c>
      <c r="L27" s="2299"/>
      <c r="M27" s="2294"/>
      <c r="N27" s="2294"/>
      <c r="O27" s="2294"/>
      <c r="P27" s="3623"/>
      <c r="Q27" s="2217" t="str">
        <f t="shared" ref="Q27:Q47" si="11">B27</f>
        <v>楼层</v>
      </c>
      <c r="R27" s="1352" t="s">
        <v>65</v>
      </c>
      <c r="S27" s="1353">
        <f>F27</f>
        <v>104</v>
      </c>
      <c r="T27" s="1352" t="s">
        <v>65</v>
      </c>
      <c r="U27" s="1353">
        <f>H27</f>
        <v>102</v>
      </c>
      <c r="V27" s="1352" t="s">
        <v>65</v>
      </c>
      <c r="W27" s="1353">
        <f>J27</f>
        <v>104</v>
      </c>
      <c r="X27" s="2219"/>
      <c r="Y27" s="3625"/>
      <c r="Z27" s="2218" t="str">
        <f>Q27</f>
        <v>楼层</v>
      </c>
      <c r="AA27" s="1355">
        <f t="shared" si="3"/>
        <v>0.96153846153846156</v>
      </c>
      <c r="AB27" s="1355">
        <f t="shared" si="4"/>
        <v>0.98039215686274506</v>
      </c>
      <c r="AC27" s="2335">
        <f t="shared" si="5"/>
        <v>0.96153846153846156</v>
      </c>
    </row>
    <row r="28" spans="1:29" s="40" customFormat="1" ht="15.75" thickBot="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623"/>
      <c r="Q28" s="2210" t="str">
        <f t="shared" si="11"/>
        <v>朝向</v>
      </c>
      <c r="R28" s="1342" t="s">
        <v>65</v>
      </c>
      <c r="S28" s="1343">
        <f>F28</f>
        <v>100</v>
      </c>
      <c r="T28" s="1342" t="s">
        <v>65</v>
      </c>
      <c r="U28" s="1343">
        <f>H28</f>
        <v>100</v>
      </c>
      <c r="V28" s="1342" t="s">
        <v>65</v>
      </c>
      <c r="W28" s="1343">
        <f>J28</f>
        <v>100</v>
      </c>
      <c r="X28" s="287"/>
      <c r="Y28" s="3625"/>
      <c r="Z28" s="2209" t="str">
        <f>Q28</f>
        <v>朝向</v>
      </c>
      <c r="AA28" s="1355">
        <f>D28/F28</f>
        <v>1</v>
      </c>
      <c r="AB28" s="1355">
        <f>D28/H28</f>
        <v>1</v>
      </c>
      <c r="AC28" s="2335">
        <f>D28/J28</f>
        <v>1</v>
      </c>
    </row>
    <row r="29" spans="1:29" ht="14.25" hidden="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623"/>
      <c r="Q29" s="2217">
        <f t="shared" si="11"/>
        <v>111</v>
      </c>
      <c r="R29" s="1352" t="s">
        <v>65</v>
      </c>
      <c r="S29" s="1353">
        <f t="shared" ref="S29:S47" si="12">F29</f>
        <v>100</v>
      </c>
      <c r="T29" s="1352" t="s">
        <v>65</v>
      </c>
      <c r="U29" s="1353">
        <f t="shared" ref="U29:U47" si="13">H29</f>
        <v>100</v>
      </c>
      <c r="V29" s="1352" t="s">
        <v>65</v>
      </c>
      <c r="W29" s="1353">
        <f t="shared" ref="W29:W47" si="14">J29</f>
        <v>100</v>
      </c>
      <c r="X29" s="2219"/>
      <c r="Y29" s="3625"/>
      <c r="Z29" s="2218">
        <f t="shared" ref="Z29:Z47" si="15">Q29</f>
        <v>111</v>
      </c>
      <c r="AA29" s="1355">
        <f t="shared" si="3"/>
        <v>1</v>
      </c>
      <c r="AB29" s="1355">
        <f t="shared" si="4"/>
        <v>1</v>
      </c>
      <c r="AC29" s="2335">
        <f t="shared" si="5"/>
        <v>1</v>
      </c>
    </row>
    <row r="30" spans="1:29" ht="14.25" hidden="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623"/>
      <c r="Q30" s="2217">
        <f t="shared" si="11"/>
        <v>111</v>
      </c>
      <c r="R30" s="1352" t="s">
        <v>65</v>
      </c>
      <c r="S30" s="1353">
        <f t="shared" si="12"/>
        <v>100</v>
      </c>
      <c r="T30" s="1352" t="s">
        <v>65</v>
      </c>
      <c r="U30" s="1353">
        <f t="shared" si="13"/>
        <v>100</v>
      </c>
      <c r="V30" s="1352" t="s">
        <v>65</v>
      </c>
      <c r="W30" s="1353">
        <f t="shared" si="14"/>
        <v>100</v>
      </c>
      <c r="X30" s="2219"/>
      <c r="Y30" s="3625"/>
      <c r="Z30" s="2218">
        <f t="shared" si="15"/>
        <v>111</v>
      </c>
      <c r="AA30" s="1355">
        <f t="shared" si="3"/>
        <v>1</v>
      </c>
      <c r="AB30" s="1355">
        <f t="shared" si="4"/>
        <v>1</v>
      </c>
      <c r="AC30" s="2335">
        <f t="shared" si="5"/>
        <v>1</v>
      </c>
    </row>
    <row r="31" spans="1:29" ht="14.25" hidden="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623"/>
      <c r="Q31" s="2217">
        <f t="shared" si="11"/>
        <v>111</v>
      </c>
      <c r="R31" s="1352" t="s">
        <v>65</v>
      </c>
      <c r="S31" s="1353">
        <f t="shared" si="12"/>
        <v>100</v>
      </c>
      <c r="T31" s="1352" t="s">
        <v>65</v>
      </c>
      <c r="U31" s="1353">
        <f t="shared" si="13"/>
        <v>100</v>
      </c>
      <c r="V31" s="1352" t="s">
        <v>65</v>
      </c>
      <c r="W31" s="1353">
        <f t="shared" si="14"/>
        <v>100</v>
      </c>
      <c r="X31" s="2219"/>
      <c r="Y31" s="3625"/>
      <c r="Z31" s="2218">
        <f t="shared" si="15"/>
        <v>111</v>
      </c>
      <c r="AA31" s="1355">
        <f t="shared" si="3"/>
        <v>1</v>
      </c>
      <c r="AB31" s="1355">
        <f t="shared" si="4"/>
        <v>1</v>
      </c>
      <c r="AC31" s="2335">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623"/>
      <c r="Q32" s="2217">
        <f t="shared" si="11"/>
        <v>111</v>
      </c>
      <c r="R32" s="1352" t="s">
        <v>65</v>
      </c>
      <c r="S32" s="1353">
        <f t="shared" si="12"/>
        <v>100</v>
      </c>
      <c r="T32" s="1352" t="s">
        <v>65</v>
      </c>
      <c r="U32" s="1353">
        <f t="shared" si="13"/>
        <v>100</v>
      </c>
      <c r="V32" s="1352" t="s">
        <v>65</v>
      </c>
      <c r="W32" s="1353">
        <f t="shared" si="14"/>
        <v>100</v>
      </c>
      <c r="X32" s="2219"/>
      <c r="Y32" s="3625"/>
      <c r="Z32" s="2218">
        <f t="shared" si="15"/>
        <v>111</v>
      </c>
      <c r="AA32" s="1355">
        <f t="shared" si="3"/>
        <v>1</v>
      </c>
      <c r="AB32" s="1355">
        <f t="shared" si="4"/>
        <v>1</v>
      </c>
      <c r="AC32" s="2335">
        <f t="shared" si="5"/>
        <v>1</v>
      </c>
    </row>
    <row r="33" spans="1:29" ht="15">
      <c r="A33" s="155" t="s">
        <v>1086</v>
      </c>
      <c r="B33" s="62" t="s">
        <v>1087</v>
      </c>
      <c r="C33" s="197" t="s">
        <v>3137</v>
      </c>
      <c r="D33" s="810">
        <v>100</v>
      </c>
      <c r="E33" s="197" t="s">
        <v>3137</v>
      </c>
      <c r="F33" s="804">
        <f>SUMIF(101:101,E33,102:102)-SUMIF(101:101,C33,102:102)+100</f>
        <v>100</v>
      </c>
      <c r="G33" s="197" t="s">
        <v>3137</v>
      </c>
      <c r="H33" s="778">
        <f>SUMIF(101:101,G33,102:102)-SUMIF(101:101,C33,102:102)+100</f>
        <v>100</v>
      </c>
      <c r="I33" s="197" t="s">
        <v>3137</v>
      </c>
      <c r="J33" s="810">
        <f>SUMIF(101:101,I33,102:102)-SUMIF(101:101,C33,102:102)+100</f>
        <v>100</v>
      </c>
      <c r="K33" s="955">
        <v>5</v>
      </c>
      <c r="L33" s="2299"/>
      <c r="M33" s="2294"/>
      <c r="N33" s="2294"/>
      <c r="O33" s="2294"/>
      <c r="P33" s="3626" t="s">
        <v>1088</v>
      </c>
      <c r="Q33" s="2217" t="str">
        <f t="shared" si="11"/>
        <v>建筑类型</v>
      </c>
      <c r="R33" s="1352" t="s">
        <v>65</v>
      </c>
      <c r="S33" s="1353">
        <f t="shared" si="12"/>
        <v>100</v>
      </c>
      <c r="T33" s="1352" t="s">
        <v>65</v>
      </c>
      <c r="U33" s="1353">
        <f t="shared" si="13"/>
        <v>100</v>
      </c>
      <c r="V33" s="1352" t="s">
        <v>65</v>
      </c>
      <c r="W33" s="1353">
        <f t="shared" si="14"/>
        <v>100</v>
      </c>
      <c r="X33" s="2219"/>
      <c r="Y33" s="3629" t="s">
        <v>1088</v>
      </c>
      <c r="Z33" s="2218" t="str">
        <f t="shared" si="15"/>
        <v>建筑类型</v>
      </c>
      <c r="AA33" s="1355">
        <f t="shared" si="3"/>
        <v>1</v>
      </c>
      <c r="AB33" s="1355">
        <f t="shared" si="4"/>
        <v>1</v>
      </c>
      <c r="AC33" s="2335">
        <f t="shared" si="5"/>
        <v>1</v>
      </c>
    </row>
    <row r="34" spans="1:29" s="1039" customFormat="1" ht="14.25">
      <c r="A34" s="1043"/>
      <c r="B34" s="12" t="s">
        <v>76</v>
      </c>
      <c r="C34" s="812"/>
      <c r="D34" s="426">
        <v>100</v>
      </c>
      <c r="E34" s="812"/>
      <c r="F34" s="768">
        <f>LOOKUP(E34,104:104,105:105)-LOOKUP(C34,104:104,105:105)+100</f>
        <v>100</v>
      </c>
      <c r="G34" s="812"/>
      <c r="H34" s="426">
        <f>LOOKUP(G34,104:104,105:105)-LOOKUP(C34,104:104,105:105)+100</f>
        <v>100</v>
      </c>
      <c r="I34" s="812"/>
      <c r="J34" s="426">
        <f>LOOKUP(I34,104:104,105:105)-LOOKUP(C34,104:104,105:105)+100</f>
        <v>100</v>
      </c>
      <c r="K34" s="188"/>
      <c r="L34" s="2298"/>
      <c r="M34" s="2300"/>
      <c r="N34" s="2300"/>
      <c r="O34" s="2300"/>
      <c r="P34" s="3627"/>
      <c r="Q34" s="1359" t="str">
        <f t="shared" si="11"/>
        <v>项目建筑规模</v>
      </c>
      <c r="R34" s="1360" t="s">
        <v>65</v>
      </c>
      <c r="S34" s="1361">
        <f t="shared" si="12"/>
        <v>100</v>
      </c>
      <c r="T34" s="1360" t="s">
        <v>65</v>
      </c>
      <c r="U34" s="1361">
        <f t="shared" si="13"/>
        <v>100</v>
      </c>
      <c r="V34" s="1360" t="s">
        <v>65</v>
      </c>
      <c r="W34" s="1361">
        <f t="shared" si="14"/>
        <v>100</v>
      </c>
      <c r="X34" s="1362"/>
      <c r="Y34" s="3629"/>
      <c r="Z34" s="1363" t="str">
        <f t="shared" si="15"/>
        <v>项目建筑规模</v>
      </c>
      <c r="AA34" s="1355">
        <f t="shared" si="3"/>
        <v>1</v>
      </c>
      <c r="AB34" s="1355">
        <f t="shared" si="4"/>
        <v>1</v>
      </c>
      <c r="AC34" s="2335">
        <f t="shared" si="5"/>
        <v>1</v>
      </c>
    </row>
    <row r="35" spans="1:29" ht="15">
      <c r="A35" s="161"/>
      <c r="B35" s="12" t="s">
        <v>77</v>
      </c>
      <c r="C35" s="107" t="s">
        <v>3092</v>
      </c>
      <c r="D35" s="778">
        <v>100</v>
      </c>
      <c r="E35" s="107" t="s">
        <v>3092</v>
      </c>
      <c r="F35" s="804">
        <f>SUMIF(106:106,E35,107:107)-SUMIF(106:106,C35,107:107)+100</f>
        <v>100</v>
      </c>
      <c r="G35" s="107" t="s">
        <v>3092</v>
      </c>
      <c r="H35" s="778">
        <f>SUMIF(106:106,G35,107:107)-SUMIF(106:106,C35,107:107)+100</f>
        <v>100</v>
      </c>
      <c r="I35" s="107" t="s">
        <v>3092</v>
      </c>
      <c r="J35" s="778">
        <f>SUMIF(106:106,I35,107:107)-SUMIF(106:106,C35,107:107)+100</f>
        <v>100</v>
      </c>
      <c r="K35" s="955">
        <v>1</v>
      </c>
      <c r="L35" s="2299"/>
      <c r="M35" s="2294"/>
      <c r="N35" s="2294"/>
      <c r="O35" s="2294"/>
      <c r="P35" s="3627"/>
      <c r="Q35" s="2217" t="str">
        <f t="shared" si="11"/>
        <v>建筑结构</v>
      </c>
      <c r="R35" s="1352" t="s">
        <v>65</v>
      </c>
      <c r="S35" s="1353">
        <f t="shared" si="12"/>
        <v>100</v>
      </c>
      <c r="T35" s="1352" t="s">
        <v>65</v>
      </c>
      <c r="U35" s="1353">
        <f t="shared" si="13"/>
        <v>100</v>
      </c>
      <c r="V35" s="1352" t="s">
        <v>65</v>
      </c>
      <c r="W35" s="1353">
        <f t="shared" si="14"/>
        <v>100</v>
      </c>
      <c r="X35" s="2219"/>
      <c r="Y35" s="3629"/>
      <c r="Z35" s="2218" t="str">
        <f t="shared" si="15"/>
        <v>建筑结构</v>
      </c>
      <c r="AA35" s="1355">
        <f t="shared" si="3"/>
        <v>1</v>
      </c>
      <c r="AB35" s="1355">
        <f t="shared" si="4"/>
        <v>1</v>
      </c>
      <c r="AC35" s="2335">
        <f t="shared" si="5"/>
        <v>1</v>
      </c>
    </row>
    <row r="36" spans="1:29" ht="15">
      <c r="A36" s="161"/>
      <c r="B36" s="12" t="s">
        <v>133</v>
      </c>
      <c r="C36" s="107" t="s">
        <v>3138</v>
      </c>
      <c r="D36" s="778">
        <v>100</v>
      </c>
      <c r="E36" s="107" t="s">
        <v>3138</v>
      </c>
      <c r="F36" s="804">
        <f>SUMIF(108:108,E36,109:109)-SUMIF(108:108,C36,109:109)+100</f>
        <v>100</v>
      </c>
      <c r="G36" s="107" t="s">
        <v>3138</v>
      </c>
      <c r="H36" s="778">
        <f>SUMIF(108:108,G36,109:109)-SUMIF(108:108,C36,109:109)+100</f>
        <v>100</v>
      </c>
      <c r="I36" s="107" t="s">
        <v>3138</v>
      </c>
      <c r="J36" s="778">
        <f>SUMIF(108:108,I36,109:109)-SUMIF(108:108,C36,109:109)+100</f>
        <v>100</v>
      </c>
      <c r="K36" s="955">
        <v>1</v>
      </c>
      <c r="L36" s="2299"/>
      <c r="M36" s="2294"/>
      <c r="N36" s="2294"/>
      <c r="O36" s="2294"/>
      <c r="P36" s="3627"/>
      <c r="Q36" s="2217" t="str">
        <f t="shared" si="11"/>
        <v>公共部分装修</v>
      </c>
      <c r="R36" s="1352" t="s">
        <v>65</v>
      </c>
      <c r="S36" s="1353">
        <f t="shared" si="12"/>
        <v>100</v>
      </c>
      <c r="T36" s="1352" t="s">
        <v>65</v>
      </c>
      <c r="U36" s="1353">
        <f t="shared" si="13"/>
        <v>100</v>
      </c>
      <c r="V36" s="1352" t="s">
        <v>65</v>
      </c>
      <c r="W36" s="1353">
        <f t="shared" si="14"/>
        <v>100</v>
      </c>
      <c r="X36" s="2219"/>
      <c r="Y36" s="3629"/>
      <c r="Z36" s="2218" t="str">
        <f t="shared" si="15"/>
        <v>公共部分装修</v>
      </c>
      <c r="AA36" s="1355">
        <f t="shared" si="3"/>
        <v>1</v>
      </c>
      <c r="AB36" s="1355">
        <f t="shared" si="4"/>
        <v>1</v>
      </c>
      <c r="AC36" s="2335">
        <f t="shared" si="5"/>
        <v>1</v>
      </c>
    </row>
    <row r="37" spans="1:29" ht="15">
      <c r="A37" s="161"/>
      <c r="B37" s="12" t="s">
        <v>134</v>
      </c>
      <c r="C37" s="817">
        <f>'[1]数据-取费表'!E20</f>
        <v>0.65</v>
      </c>
      <c r="D37" s="778">
        <v>100</v>
      </c>
      <c r="E37" s="817">
        <v>0.65</v>
      </c>
      <c r="F37" s="804">
        <f>LOOKUP(E37,111:111,112:112)-LOOKUP(C37,111:111,112:112)+100</f>
        <v>100</v>
      </c>
      <c r="G37" s="817">
        <v>0.65</v>
      </c>
      <c r="H37" s="804">
        <f>LOOKUP(G37,111:111,112:112)-LOOKUP(C37,111:111,112:112)+100</f>
        <v>100</v>
      </c>
      <c r="I37" s="817">
        <f>ROUND(1-(1-0%)*(2017-2010)/60,2)</f>
        <v>0.88</v>
      </c>
      <c r="J37" s="778">
        <f>LOOKUP(I37,111:111,112:112)-LOOKUP(C37,111:111,112:112)+100</f>
        <v>102</v>
      </c>
      <c r="K37" s="955">
        <v>1</v>
      </c>
      <c r="L37" s="2299"/>
      <c r="M37" s="2294"/>
      <c r="N37" s="2294"/>
      <c r="O37" s="2294"/>
      <c r="P37" s="3627"/>
      <c r="Q37" s="2217" t="str">
        <f t="shared" si="11"/>
        <v>成新度</v>
      </c>
      <c r="R37" s="1352" t="s">
        <v>65</v>
      </c>
      <c r="S37" s="1353">
        <f t="shared" si="12"/>
        <v>100</v>
      </c>
      <c r="T37" s="1352" t="s">
        <v>65</v>
      </c>
      <c r="U37" s="1353">
        <f t="shared" si="13"/>
        <v>100</v>
      </c>
      <c r="V37" s="1352" t="s">
        <v>65</v>
      </c>
      <c r="W37" s="1353">
        <f t="shared" si="14"/>
        <v>102</v>
      </c>
      <c r="X37" s="2219"/>
      <c r="Y37" s="3629"/>
      <c r="Z37" s="2218" t="str">
        <f t="shared" si="15"/>
        <v>成新度</v>
      </c>
      <c r="AA37" s="1355">
        <f t="shared" si="3"/>
        <v>1</v>
      </c>
      <c r="AB37" s="1355">
        <f t="shared" si="4"/>
        <v>1</v>
      </c>
      <c r="AC37" s="2335">
        <f t="shared" si="5"/>
        <v>0.98039215686274506</v>
      </c>
    </row>
    <row r="38" spans="1:29" s="40" customFormat="1" ht="15">
      <c r="A38" s="1041"/>
      <c r="B38" s="12" t="s">
        <v>147</v>
      </c>
      <c r="C38" s="107" t="s">
        <v>3139</v>
      </c>
      <c r="D38" s="426">
        <v>100</v>
      </c>
      <c r="E38" s="107" t="s">
        <v>3139</v>
      </c>
      <c r="F38" s="804">
        <f>SUMIF(113:113,E38,114:114)-SUMIF(113:113,C38,114:114)+100</f>
        <v>100</v>
      </c>
      <c r="G38" s="107" t="s">
        <v>3139</v>
      </c>
      <c r="H38" s="778">
        <f>SUMIF(113:113,G38,114:114)-SUMIF(113:113,C38,114:114)+100</f>
        <v>100</v>
      </c>
      <c r="I38" s="107" t="s">
        <v>3139</v>
      </c>
      <c r="J38" s="778">
        <f>SUMIF(113:113,I38,114:114)-SUMIF(113:113,C38,114:114)+100</f>
        <v>100</v>
      </c>
      <c r="K38" s="955">
        <v>1</v>
      </c>
      <c r="L38" s="2295"/>
      <c r="M38" s="2257"/>
      <c r="N38" s="2257"/>
      <c r="O38" s="2257"/>
      <c r="P38" s="3627"/>
      <c r="Q38" s="2210" t="str">
        <f t="shared" si="11"/>
        <v>写字楼等级</v>
      </c>
      <c r="R38" s="1342" t="s">
        <v>65</v>
      </c>
      <c r="S38" s="1343">
        <f t="shared" si="12"/>
        <v>100</v>
      </c>
      <c r="T38" s="1342" t="s">
        <v>65</v>
      </c>
      <c r="U38" s="1343">
        <f t="shared" si="13"/>
        <v>100</v>
      </c>
      <c r="V38" s="1342" t="s">
        <v>65</v>
      </c>
      <c r="W38" s="1343">
        <f t="shared" si="14"/>
        <v>100</v>
      </c>
      <c r="X38" s="287"/>
      <c r="Y38" s="3629"/>
      <c r="Z38" s="2209" t="str">
        <f t="shared" si="15"/>
        <v>写字楼等级</v>
      </c>
      <c r="AA38" s="1344">
        <f t="shared" si="3"/>
        <v>1</v>
      </c>
      <c r="AB38" s="1344">
        <f t="shared" si="4"/>
        <v>1</v>
      </c>
      <c r="AC38" s="2334">
        <f t="shared" si="5"/>
        <v>1</v>
      </c>
    </row>
    <row r="39" spans="1:29" ht="15">
      <c r="A39" s="161"/>
      <c r="B39" s="12" t="s">
        <v>148</v>
      </c>
      <c r="C39" s="107" t="s">
        <v>3104</v>
      </c>
      <c r="D39" s="778">
        <v>100</v>
      </c>
      <c r="E39" s="107" t="s">
        <v>3104</v>
      </c>
      <c r="F39" s="804">
        <f>SUMIF(115:115,E39,116:116)-SUMIF(115:115,C39,116:116)+100</f>
        <v>100</v>
      </c>
      <c r="G39" s="107" t="s">
        <v>3104</v>
      </c>
      <c r="H39" s="778">
        <f>SUMIF(115:115,G39,116:116)-SUMIF(115:115,C39,116:116)+100</f>
        <v>100</v>
      </c>
      <c r="I39" s="107" t="s">
        <v>3104</v>
      </c>
      <c r="J39" s="778">
        <f>SUMIF(115:115,I39,116:116)-SUMIF(115:115,C39,116:116)+100</f>
        <v>100</v>
      </c>
      <c r="K39" s="955">
        <v>1</v>
      </c>
      <c r="L39" s="2299"/>
      <c r="M39" s="2294"/>
      <c r="N39" s="2294"/>
      <c r="O39" s="2294"/>
      <c r="P39" s="3627" t="s">
        <v>70</v>
      </c>
      <c r="Q39" s="2217" t="str">
        <f t="shared" si="11"/>
        <v>物业管理</v>
      </c>
      <c r="R39" s="1352" t="s">
        <v>65</v>
      </c>
      <c r="S39" s="1353">
        <f t="shared" si="12"/>
        <v>100</v>
      </c>
      <c r="T39" s="1352" t="s">
        <v>65</v>
      </c>
      <c r="U39" s="1353">
        <f t="shared" si="13"/>
        <v>100</v>
      </c>
      <c r="V39" s="1352" t="s">
        <v>65</v>
      </c>
      <c r="W39" s="1353">
        <f t="shared" si="14"/>
        <v>100</v>
      </c>
      <c r="X39" s="2219"/>
      <c r="Y39" s="3629" t="s">
        <v>70</v>
      </c>
      <c r="Z39" s="2218" t="str">
        <f t="shared" si="15"/>
        <v>物业管理</v>
      </c>
      <c r="AA39" s="1355">
        <f t="shared" si="3"/>
        <v>1</v>
      </c>
      <c r="AB39" s="1355">
        <f t="shared" si="4"/>
        <v>1</v>
      </c>
      <c r="AC39" s="2335">
        <f t="shared" si="5"/>
        <v>1</v>
      </c>
    </row>
    <row r="40" spans="1:29" ht="15">
      <c r="A40" s="161"/>
      <c r="B40" s="12" t="s">
        <v>2653</v>
      </c>
      <c r="C40" s="107" t="s">
        <v>3140</v>
      </c>
      <c r="D40" s="778">
        <v>100</v>
      </c>
      <c r="E40" s="107" t="s">
        <v>3140</v>
      </c>
      <c r="F40" s="804">
        <f>SUMIF(117:117,E40,118:118)-SUMIF(117:117,C40,118:118)+100</f>
        <v>100</v>
      </c>
      <c r="G40" s="107" t="s">
        <v>3140</v>
      </c>
      <c r="H40" s="778">
        <f>SUMIF(117:117,G40,118:118)-SUMIF(117:117,C40,118:118)+100</f>
        <v>100</v>
      </c>
      <c r="I40" s="107" t="s">
        <v>3140</v>
      </c>
      <c r="J40" s="778">
        <f>SUMIF(117:117,I40,118:118)-SUMIF(117:117,C40,118:118)+100</f>
        <v>100</v>
      </c>
      <c r="K40" s="955">
        <v>1</v>
      </c>
      <c r="L40" s="2299"/>
      <c r="M40" s="2294"/>
      <c r="N40" s="2294"/>
      <c r="O40" s="2294"/>
      <c r="P40" s="3627"/>
      <c r="Q40" s="2217" t="str">
        <f t="shared" si="11"/>
        <v>市政基础设施</v>
      </c>
      <c r="R40" s="1352" t="s">
        <v>65</v>
      </c>
      <c r="S40" s="1353">
        <f t="shared" si="12"/>
        <v>100</v>
      </c>
      <c r="T40" s="1352" t="s">
        <v>65</v>
      </c>
      <c r="U40" s="1353">
        <f t="shared" si="13"/>
        <v>100</v>
      </c>
      <c r="V40" s="1352" t="s">
        <v>65</v>
      </c>
      <c r="W40" s="1353">
        <f t="shared" si="14"/>
        <v>100</v>
      </c>
      <c r="X40" s="2219"/>
      <c r="Y40" s="3629"/>
      <c r="Z40" s="2218" t="str">
        <f t="shared" si="15"/>
        <v>市政基础设施</v>
      </c>
      <c r="AA40" s="1355">
        <f t="shared" si="3"/>
        <v>1</v>
      </c>
      <c r="AB40" s="1355">
        <f t="shared" si="4"/>
        <v>1</v>
      </c>
      <c r="AC40" s="2335">
        <f t="shared" si="5"/>
        <v>1</v>
      </c>
    </row>
    <row r="41" spans="1:29" ht="15">
      <c r="A41" s="161"/>
      <c r="B41" s="12" t="s">
        <v>136</v>
      </c>
      <c r="C41" s="182" t="s">
        <v>3141</v>
      </c>
      <c r="D41" s="778">
        <v>100</v>
      </c>
      <c r="E41" s="182" t="s">
        <v>3141</v>
      </c>
      <c r="F41" s="804">
        <f>SUMIF(119:119,E41,120:120)-SUMIF(119:119,C41,120:120)+100</f>
        <v>100</v>
      </c>
      <c r="G41" s="182" t="s">
        <v>3141</v>
      </c>
      <c r="H41" s="778">
        <f>SUMIF(119:119,G41,120:120)-SUMIF(119:119,C41,120:120)+100</f>
        <v>100</v>
      </c>
      <c r="I41" s="182" t="s">
        <v>3141</v>
      </c>
      <c r="J41" s="778">
        <f>SUMIF(119:119,I41,120:120)-SUMIF(119:119,C41,120:120)+100</f>
        <v>100</v>
      </c>
      <c r="K41" s="955">
        <v>1</v>
      </c>
      <c r="L41" s="2299"/>
      <c r="M41" s="2294"/>
      <c r="N41" s="2294"/>
      <c r="O41" s="2294"/>
      <c r="P41" s="3627"/>
      <c r="Q41" s="2217" t="str">
        <f t="shared" si="11"/>
        <v>层高</v>
      </c>
      <c r="R41" s="1352" t="s">
        <v>65</v>
      </c>
      <c r="S41" s="1353">
        <f t="shared" si="12"/>
        <v>100</v>
      </c>
      <c r="T41" s="1352" t="s">
        <v>65</v>
      </c>
      <c r="U41" s="1353">
        <f t="shared" si="13"/>
        <v>100</v>
      </c>
      <c r="V41" s="1352" t="s">
        <v>65</v>
      </c>
      <c r="W41" s="1353">
        <f t="shared" si="14"/>
        <v>100</v>
      </c>
      <c r="X41" s="2219"/>
      <c r="Y41" s="3629"/>
      <c r="Z41" s="2218" t="str">
        <f t="shared" si="15"/>
        <v>层高</v>
      </c>
      <c r="AA41" s="1355">
        <f t="shared" si="3"/>
        <v>1</v>
      </c>
      <c r="AB41" s="1355">
        <f t="shared" si="4"/>
        <v>1</v>
      </c>
      <c r="AC41" s="2335">
        <f t="shared" si="5"/>
        <v>1</v>
      </c>
    </row>
    <row r="42" spans="1:29" s="1039" customFormat="1" ht="14.25">
      <c r="A42" s="1043"/>
      <c r="B42" s="191" t="s">
        <v>1089</v>
      </c>
      <c r="C42" s="777">
        <f>'[1]数据-取费表'!E5</f>
        <v>2099.0100000000002</v>
      </c>
      <c r="D42" s="778">
        <v>100</v>
      </c>
      <c r="E42" s="777">
        <v>84</v>
      </c>
      <c r="F42" s="804">
        <f>SUMIF(121:121,E42,122:122)-SUMIF(121:121,C42,122:122)+100</f>
        <v>102</v>
      </c>
      <c r="G42" s="777">
        <v>126</v>
      </c>
      <c r="H42" s="778">
        <f>SUMIF(121:121,G42,122:122)-SUMIF(121:121,C42,122:122)+100</f>
        <v>103</v>
      </c>
      <c r="I42" s="777">
        <v>153</v>
      </c>
      <c r="J42" s="778">
        <f>SUMIF(121:121,I42,122:122)-SUMIF(121:121,C42,122:122)+100</f>
        <v>103</v>
      </c>
      <c r="K42" s="188"/>
      <c r="L42" s="2298"/>
      <c r="M42" s="2300"/>
      <c r="N42" s="2300"/>
      <c r="O42" s="2300"/>
      <c r="P42" s="3627"/>
      <c r="Q42" s="1359" t="str">
        <f t="shared" si="11"/>
        <v>单套建筑面积</v>
      </c>
      <c r="R42" s="1360" t="s">
        <v>65</v>
      </c>
      <c r="S42" s="1361">
        <f t="shared" si="12"/>
        <v>102</v>
      </c>
      <c r="T42" s="1360" t="s">
        <v>65</v>
      </c>
      <c r="U42" s="1361">
        <f t="shared" si="13"/>
        <v>103</v>
      </c>
      <c r="V42" s="1360" t="s">
        <v>65</v>
      </c>
      <c r="W42" s="1361">
        <f t="shared" si="14"/>
        <v>103</v>
      </c>
      <c r="X42" s="1362"/>
      <c r="Y42" s="3629"/>
      <c r="Z42" s="1363" t="str">
        <f t="shared" si="15"/>
        <v>单套建筑面积</v>
      </c>
      <c r="AA42" s="1355">
        <f t="shared" si="3"/>
        <v>0.98039215686274506</v>
      </c>
      <c r="AB42" s="1355">
        <f t="shared" si="4"/>
        <v>0.970873786407767</v>
      </c>
      <c r="AC42" s="2335">
        <f t="shared" si="5"/>
        <v>0.970873786407767</v>
      </c>
    </row>
    <row r="43" spans="1:29" ht="15">
      <c r="A43" s="161"/>
      <c r="B43" s="12" t="s">
        <v>1090</v>
      </c>
      <c r="C43" s="107" t="s">
        <v>3138</v>
      </c>
      <c r="D43" s="778">
        <v>100</v>
      </c>
      <c r="E43" s="107" t="s">
        <v>3138</v>
      </c>
      <c r="F43" s="804">
        <f>SUMIF(123:123,E43,124:124)-SUMIF(123:123,C43,124:124)+100</f>
        <v>100</v>
      </c>
      <c r="G43" s="107" t="s">
        <v>3138</v>
      </c>
      <c r="H43" s="778">
        <f>SUMIF(123:123,G43,124:124)-SUMIF(123:123,C43,124:124)+100</f>
        <v>100</v>
      </c>
      <c r="I43" s="107" t="s">
        <v>3138</v>
      </c>
      <c r="J43" s="778">
        <f>SUMIF(123:123,I43,124:124)-SUMIF(123:123,C43,124:124)+100</f>
        <v>100</v>
      </c>
      <c r="K43" s="955">
        <v>2</v>
      </c>
      <c r="L43" s="2299"/>
      <c r="M43" s="2294"/>
      <c r="N43" s="2294"/>
      <c r="O43" s="2294"/>
      <c r="P43" s="3627"/>
      <c r="Q43" s="2217" t="str">
        <f t="shared" si="11"/>
        <v>内部装修</v>
      </c>
      <c r="R43" s="1352" t="s">
        <v>65</v>
      </c>
      <c r="S43" s="1353">
        <f t="shared" si="12"/>
        <v>100</v>
      </c>
      <c r="T43" s="1352" t="s">
        <v>65</v>
      </c>
      <c r="U43" s="1353">
        <f t="shared" si="13"/>
        <v>100</v>
      </c>
      <c r="V43" s="1352" t="s">
        <v>65</v>
      </c>
      <c r="W43" s="1353">
        <f t="shared" si="14"/>
        <v>100</v>
      </c>
      <c r="X43" s="2219"/>
      <c r="Y43" s="3629"/>
      <c r="Z43" s="2218" t="str">
        <f t="shared" si="15"/>
        <v>内部装修</v>
      </c>
      <c r="AA43" s="1355">
        <f t="shared" si="3"/>
        <v>1</v>
      </c>
      <c r="AB43" s="1355">
        <f t="shared" si="4"/>
        <v>1</v>
      </c>
      <c r="AC43" s="2335">
        <f t="shared" si="5"/>
        <v>1</v>
      </c>
    </row>
    <row r="44" spans="1:29" ht="15.75" thickBot="1">
      <c r="A44" s="161"/>
      <c r="B44" s="12" t="s">
        <v>84</v>
      </c>
      <c r="C44" s="107" t="s">
        <v>3104</v>
      </c>
      <c r="D44" s="778">
        <v>100</v>
      </c>
      <c r="E44" s="107" t="s">
        <v>3104</v>
      </c>
      <c r="F44" s="804">
        <f>SUMIF(125:125,E44,126:126)-SUMIF(125:125,C44,126:126)+100</f>
        <v>100</v>
      </c>
      <c r="G44" s="107" t="s">
        <v>3104</v>
      </c>
      <c r="H44" s="778">
        <f>SUMIF(125:125,G44,126:126)-SUMIF(125:125,C44,126:126)+100</f>
        <v>100</v>
      </c>
      <c r="I44" s="107" t="s">
        <v>3104</v>
      </c>
      <c r="J44" s="778">
        <f>SUMIF(125:125,I44,126:126)-SUMIF(125:125,C44,126:126)+100</f>
        <v>100</v>
      </c>
      <c r="K44" s="955">
        <v>1</v>
      </c>
      <c r="L44" s="2299"/>
      <c r="M44" s="2294"/>
      <c r="N44" s="2294"/>
      <c r="O44" s="2294"/>
      <c r="P44" s="3627"/>
      <c r="Q44" s="2217" t="str">
        <f t="shared" si="11"/>
        <v>内部装修维护情况</v>
      </c>
      <c r="R44" s="1352" t="s">
        <v>65</v>
      </c>
      <c r="S44" s="1353">
        <f t="shared" si="12"/>
        <v>100</v>
      </c>
      <c r="T44" s="1352" t="s">
        <v>65</v>
      </c>
      <c r="U44" s="1353">
        <f t="shared" si="13"/>
        <v>100</v>
      </c>
      <c r="V44" s="1352" t="s">
        <v>65</v>
      </c>
      <c r="W44" s="1353">
        <f t="shared" si="14"/>
        <v>100</v>
      </c>
      <c r="X44" s="2219"/>
      <c r="Y44" s="3629"/>
      <c r="Z44" s="2218" t="str">
        <f t="shared" si="15"/>
        <v>内部装修维护情况</v>
      </c>
      <c r="AA44" s="1355">
        <f t="shared" si="3"/>
        <v>1</v>
      </c>
      <c r="AB44" s="1355">
        <f t="shared" si="4"/>
        <v>1</v>
      </c>
      <c r="AC44" s="2335">
        <f t="shared" si="5"/>
        <v>1</v>
      </c>
    </row>
    <row r="45" spans="1:29" s="40" customFormat="1" ht="14.25" hidden="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27"/>
      <c r="Q45" s="2210">
        <f t="shared" si="11"/>
        <v>111</v>
      </c>
      <c r="R45" s="1342" t="s">
        <v>65</v>
      </c>
      <c r="S45" s="1343">
        <f t="shared" si="12"/>
        <v>100</v>
      </c>
      <c r="T45" s="1342" t="s">
        <v>65</v>
      </c>
      <c r="U45" s="1343">
        <f t="shared" si="13"/>
        <v>100</v>
      </c>
      <c r="V45" s="1342" t="s">
        <v>65</v>
      </c>
      <c r="W45" s="1343">
        <f t="shared" si="14"/>
        <v>100</v>
      </c>
      <c r="X45" s="287"/>
      <c r="Y45" s="3629"/>
      <c r="Z45" s="2209">
        <f t="shared" si="15"/>
        <v>111</v>
      </c>
      <c r="AA45" s="1344">
        <f t="shared" si="3"/>
        <v>1</v>
      </c>
      <c r="AB45" s="1344">
        <f t="shared" si="4"/>
        <v>1</v>
      </c>
      <c r="AC45" s="2334">
        <f t="shared" si="5"/>
        <v>1</v>
      </c>
    </row>
    <row r="46" spans="1:29" ht="14.25" hidden="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27"/>
      <c r="Q46" s="2217">
        <f t="shared" si="11"/>
        <v>111</v>
      </c>
      <c r="R46" s="1352" t="s">
        <v>65</v>
      </c>
      <c r="S46" s="1353">
        <f t="shared" si="12"/>
        <v>100</v>
      </c>
      <c r="T46" s="1352" t="s">
        <v>65</v>
      </c>
      <c r="U46" s="1353">
        <f t="shared" si="13"/>
        <v>100</v>
      </c>
      <c r="V46" s="1352" t="s">
        <v>65</v>
      </c>
      <c r="W46" s="1353">
        <f t="shared" si="14"/>
        <v>100</v>
      </c>
      <c r="X46" s="2219"/>
      <c r="Y46" s="3629"/>
      <c r="Z46" s="2218">
        <f t="shared" si="15"/>
        <v>111</v>
      </c>
      <c r="AA46" s="1355">
        <f t="shared" si="3"/>
        <v>1</v>
      </c>
      <c r="AB46" s="1355">
        <f t="shared" si="4"/>
        <v>1</v>
      </c>
      <c r="AC46" s="2335">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28"/>
      <c r="Q47" s="2217">
        <f t="shared" si="11"/>
        <v>111</v>
      </c>
      <c r="R47" s="1352" t="s">
        <v>65</v>
      </c>
      <c r="S47" s="1353">
        <f t="shared" si="12"/>
        <v>100</v>
      </c>
      <c r="T47" s="1352" t="s">
        <v>65</v>
      </c>
      <c r="U47" s="1353">
        <f t="shared" si="13"/>
        <v>100</v>
      </c>
      <c r="V47" s="1352" t="s">
        <v>65</v>
      </c>
      <c r="W47" s="1353">
        <f t="shared" si="14"/>
        <v>100</v>
      </c>
      <c r="X47" s="2219"/>
      <c r="Y47" s="3630"/>
      <c r="Z47" s="2218">
        <f t="shared" si="15"/>
        <v>111</v>
      </c>
      <c r="AA47" s="1355">
        <f t="shared" si="3"/>
        <v>1</v>
      </c>
      <c r="AB47" s="1355">
        <f t="shared" si="4"/>
        <v>1</v>
      </c>
      <c r="AC47" s="2335">
        <f t="shared" si="5"/>
        <v>1</v>
      </c>
    </row>
    <row r="48" spans="1:29" ht="15">
      <c r="A48" s="163" t="s">
        <v>1037</v>
      </c>
      <c r="B48" s="164"/>
      <c r="C48" s="2830" t="s">
        <v>23</v>
      </c>
      <c r="D48" s="2831"/>
      <c r="E48" s="3386">
        <f>ROUND(35000*0.98,0)</f>
        <v>34300</v>
      </c>
      <c r="F48" s="3387"/>
      <c r="G48" s="3386">
        <f>ROUND(35000*0.98,0)</f>
        <v>34300</v>
      </c>
      <c r="H48" s="3388"/>
      <c r="I48" s="3386">
        <f>ROUND(38000*0.98,0)</f>
        <v>37240</v>
      </c>
      <c r="J48" s="828"/>
      <c r="K48" s="1393"/>
      <c r="L48" s="2301"/>
      <c r="M48" s="2294"/>
      <c r="N48" s="2294"/>
      <c r="O48" s="2294"/>
      <c r="P48" s="3602" t="str">
        <f>A48</f>
        <v>成交单价（元/平方米）</v>
      </c>
      <c r="Q48" s="3631"/>
      <c r="R48" s="3632">
        <f>E48</f>
        <v>34300</v>
      </c>
      <c r="S48" s="3632"/>
      <c r="T48" s="3632">
        <f>G48</f>
        <v>34300</v>
      </c>
      <c r="U48" s="3632"/>
      <c r="V48" s="3632">
        <f>I48</f>
        <v>37240</v>
      </c>
      <c r="W48" s="3632"/>
      <c r="X48" s="156"/>
      <c r="Y48" s="1366"/>
      <c r="Z48" s="156"/>
      <c r="AA48" s="156"/>
      <c r="AB48" s="156"/>
      <c r="AC48" s="209"/>
    </row>
    <row r="49" spans="1:29" ht="15.75" thickBot="1">
      <c r="A49" s="165" t="s">
        <v>1038</v>
      </c>
      <c r="B49" s="166"/>
      <c r="C49" s="2836">
        <f>R50</f>
        <v>33133</v>
      </c>
      <c r="D49" s="2837"/>
      <c r="E49" s="2838">
        <f>R49</f>
        <v>32334</v>
      </c>
      <c r="F49" s="2838"/>
      <c r="G49" s="2836">
        <f>T49</f>
        <v>32978</v>
      </c>
      <c r="H49" s="2837"/>
      <c r="I49" s="2838">
        <f>V49</f>
        <v>34086</v>
      </c>
      <c r="J49" s="832"/>
      <c r="K49" s="1394"/>
      <c r="L49" s="2301"/>
      <c r="M49" s="2294"/>
      <c r="N49" s="2294"/>
      <c r="O49" s="2294"/>
      <c r="P49" s="3602" t="str">
        <f>A49</f>
        <v>比较价值（元/平方米）</v>
      </c>
      <c r="Q49" s="3631"/>
      <c r="R49" s="3632">
        <f>IF(F1="售价",ROUND(PRODUCT(R48,AA7:AA47),0),ROUND(PRODUCT(R48,AA7:AA47),1))</f>
        <v>32334</v>
      </c>
      <c r="S49" s="3632"/>
      <c r="T49" s="3632">
        <f>IF(F1="售价",ROUND(PRODUCT(T48,AB7:AB47),0),ROUND(PRODUCT(T48,AB7:AB47),1))</f>
        <v>32978</v>
      </c>
      <c r="U49" s="3632"/>
      <c r="V49" s="3632">
        <f>IF(F1="售价",ROUND(PRODUCT(V48,AC7:AC47),0),ROUND(PRODUCT(V48,AC7:AC47),1))</f>
        <v>34086</v>
      </c>
      <c r="W49" s="3632"/>
      <c r="X49" s="156"/>
      <c r="Y49" s="156"/>
      <c r="Z49" s="156"/>
      <c r="AA49" s="156"/>
      <c r="AB49" s="156"/>
      <c r="AC49" s="209"/>
    </row>
    <row r="50" spans="1:29" ht="15.75" thickBot="1">
      <c r="A50" s="115" t="s">
        <v>3016</v>
      </c>
      <c r="B50" s="116"/>
      <c r="C50" s="2840">
        <f>R50</f>
        <v>33133</v>
      </c>
      <c r="D50" s="2840"/>
      <c r="E50" s="2840"/>
      <c r="F50" s="2840"/>
      <c r="G50" s="2840"/>
      <c r="H50" s="2840"/>
      <c r="I50" s="2840"/>
      <c r="J50" s="837"/>
      <c r="K50" s="1395"/>
      <c r="L50" s="2301"/>
      <c r="M50" s="2294"/>
      <c r="N50" s="2294"/>
      <c r="O50" s="2294"/>
      <c r="P50" s="3633" t="str">
        <f>A50</f>
        <v>估价对象XX用房的比较价值（楼面单价，元/平方米）</v>
      </c>
      <c r="Q50" s="3634"/>
      <c r="R50" s="3635">
        <f>IF(F1="售价",ROUND(AVERAGE(R49:V49),0),ROUND(AVERAGE(R49:V49),1))</f>
        <v>33133</v>
      </c>
      <c r="S50" s="3635"/>
      <c r="T50" s="3635"/>
      <c r="U50" s="3635"/>
      <c r="V50" s="3635"/>
      <c r="W50" s="3635"/>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1007</v>
      </c>
      <c r="D53" s="841"/>
      <c r="E53" s="842">
        <f>IF(E48&lt;E49,E49/E48-1,E48/E49-1)</f>
        <v>6.0802870043916712E-2</v>
      </c>
      <c r="F53" s="843" t="str">
        <f>IF(OR(E53&gt;=0.3,E53&lt;=-0.3),"超过30%","")</f>
        <v/>
      </c>
      <c r="G53" s="842">
        <f>IF(G48&lt;G49,G49/G48-1,G48/G49-1)</f>
        <v>4.008733094790462E-2</v>
      </c>
      <c r="H53" s="843" t="str">
        <f>IF(OR(G53&gt;=0.3,G53&lt;=-0.3),"超过30%","")</f>
        <v/>
      </c>
      <c r="I53" s="842">
        <f>IF(I48&lt;I49,I49/I48-1,I48/I49-1)</f>
        <v>9.2530657748049139E-2</v>
      </c>
      <c r="J53" s="843" t="str">
        <f>IF(OR(I53&gt;=0.3,I53&lt;=-0.3),"超过30%","")</f>
        <v/>
      </c>
      <c r="K53" s="2303"/>
      <c r="L53" s="2304"/>
      <c r="M53" s="2302"/>
      <c r="N53" s="2302"/>
      <c r="O53" s="2302"/>
    </row>
    <row r="54" spans="1:29" ht="13.5" customHeight="1">
      <c r="A54" s="2302"/>
      <c r="B54" s="2302"/>
      <c r="C54" s="840" t="s">
        <v>1008</v>
      </c>
      <c r="D54" s="844"/>
      <c r="E54" s="842">
        <f>IF(E49&lt;G49,G49/E49-1,E49/G49-1)</f>
        <v>1.9917115111028671E-2</v>
      </c>
      <c r="F54" s="843" t="str">
        <f>IF(OR(E54&gt;=0.2,E54&lt;=-0.2),"超过20%","")</f>
        <v/>
      </c>
      <c r="G54" s="842">
        <f>IF(G49&lt;I49,I49/G49-1,G49/I49-1)</f>
        <v>3.3598156346655417E-2</v>
      </c>
      <c r="H54" s="843" t="str">
        <f>IF(OR(G54&gt;=0.2,G54&lt;=-0.2),"超过20%","")</f>
        <v/>
      </c>
      <c r="I54" s="842">
        <f>IF(I49&lt;E49,E49/I49-1,I49/E49-1)</f>
        <v>5.4184449805158685E-2</v>
      </c>
      <c r="J54" s="843" t="str">
        <f>IF(OR(I54&gt;=0.2,I54&lt;=-0.2),"超过20%","")</f>
        <v/>
      </c>
      <c r="K54" s="2303"/>
      <c r="L54" s="2304"/>
      <c r="M54" s="2302"/>
      <c r="N54" s="2302"/>
      <c r="O54" s="2302"/>
    </row>
    <row r="55" spans="1:29" s="119" customFormat="1" ht="13.5" customHeight="1">
      <c r="A55" s="2307"/>
      <c r="B55" s="2307"/>
      <c r="C55" s="840" t="s">
        <v>1009</v>
      </c>
      <c r="D55" s="844"/>
      <c r="E55" s="842">
        <f>IF(E48&lt;G48,G48/E48-1,E48/G48-1)</f>
        <v>0</v>
      </c>
      <c r="F55" s="843" t="str">
        <f>IF(OR(E55&gt;=0.3,E55&lt;=-0.3),"超过30%","")</f>
        <v/>
      </c>
      <c r="G55" s="842">
        <f>IF(G48&lt;I48,I48/G48-1,G48/I48-1)</f>
        <v>8.5714285714285632E-2</v>
      </c>
      <c r="H55" s="843" t="str">
        <f>IF(OR(G55&gt;=0.3,G55&lt;=-0.3),"超过30%","")</f>
        <v/>
      </c>
      <c r="I55" s="842">
        <f>IF(I48&lt;E48,E48/I48-1,I48/E48-1)</f>
        <v>8.5714285714285632E-2</v>
      </c>
      <c r="J55" s="843" t="str">
        <f>IF(OR(I55&gt;=0.3,I55&lt;=-0.3),"超过30%","")</f>
        <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1039</v>
      </c>
      <c r="B58" s="1365"/>
      <c r="C58" s="1373"/>
      <c r="D58" s="1373"/>
      <c r="E58" s="1373"/>
      <c r="F58" s="1374"/>
      <c r="G58" s="1374"/>
      <c r="H58" s="1373"/>
      <c r="I58" s="1373"/>
      <c r="J58" s="1373"/>
      <c r="K58" s="1375"/>
      <c r="L58" s="2309"/>
      <c r="M58" s="2310"/>
      <c r="N58" s="2310"/>
      <c r="O58" s="2310"/>
      <c r="P58" s="2324"/>
      <c r="Q58" s="121"/>
    </row>
    <row r="59" spans="1:29" s="851" customFormat="1" ht="15">
      <c r="A59" s="848" t="s">
        <v>2792</v>
      </c>
      <c r="B59" s="849"/>
      <c r="C59" s="3038" t="str">
        <f>YEAR(C7)&amp;"-"&amp;MONTH(C7)</f>
        <v>2017-8</v>
      </c>
      <c r="D59" s="3039">
        <f>EDATE(C59,-1)</f>
        <v>42917</v>
      </c>
      <c r="E59" s="3039">
        <f>EDATE(D59,-1)</f>
        <v>42887</v>
      </c>
      <c r="F59" s="3039">
        <f t="shared" ref="F59:O59" si="16">EDATE(E59,-1)</f>
        <v>42856</v>
      </c>
      <c r="G59" s="3039">
        <f t="shared" si="16"/>
        <v>42826</v>
      </c>
      <c r="H59" s="3039">
        <f t="shared" si="16"/>
        <v>42795</v>
      </c>
      <c r="I59" s="3039">
        <f t="shared" si="16"/>
        <v>42767</v>
      </c>
      <c r="J59" s="3039">
        <f t="shared" si="16"/>
        <v>42736</v>
      </c>
      <c r="K59" s="3039">
        <f t="shared" si="16"/>
        <v>42705</v>
      </c>
      <c r="L59" s="3039">
        <f t="shared" si="16"/>
        <v>42675</v>
      </c>
      <c r="M59" s="3039">
        <f t="shared" si="16"/>
        <v>42644</v>
      </c>
      <c r="N59" s="3039">
        <f t="shared" si="16"/>
        <v>42614</v>
      </c>
      <c r="O59" s="3039">
        <f t="shared" si="16"/>
        <v>42583</v>
      </c>
      <c r="P59" s="3033"/>
    </row>
    <row r="60" spans="1:29" s="40" customFormat="1" ht="14.25">
      <c r="A60" s="1045"/>
      <c r="B60" s="1046"/>
      <c r="C60" s="3036">
        <v>100</v>
      </c>
      <c r="D60" s="855">
        <v>100</v>
      </c>
      <c r="E60" s="855">
        <v>100</v>
      </c>
      <c r="F60" s="855">
        <v>99</v>
      </c>
      <c r="G60" s="855">
        <v>99</v>
      </c>
      <c r="H60" s="855">
        <v>99</v>
      </c>
      <c r="I60" s="855"/>
      <c r="J60" s="855"/>
      <c r="K60" s="855"/>
      <c r="L60" s="855"/>
      <c r="M60" s="856"/>
      <c r="N60" s="855"/>
      <c r="O60" s="856"/>
      <c r="P60" s="2325"/>
    </row>
    <row r="61" spans="1:29" s="40" customFormat="1" ht="15" thickBot="1">
      <c r="A61" s="1047" t="s">
        <v>1040</v>
      </c>
      <c r="B61" s="1048"/>
      <c r="C61" s="860"/>
      <c r="D61" s="861"/>
      <c r="E61" s="861"/>
      <c r="F61" s="861"/>
      <c r="G61" s="861"/>
      <c r="H61" s="861"/>
      <c r="I61" s="861"/>
      <c r="J61" s="861"/>
      <c r="K61" s="861"/>
      <c r="L61" s="861"/>
      <c r="M61" s="862"/>
      <c r="N61" s="861"/>
      <c r="O61" s="862"/>
      <c r="P61" s="2325"/>
      <c r="Q61" s="121"/>
    </row>
    <row r="62" spans="1:29" s="40" customFormat="1">
      <c r="A62" s="1049" t="s">
        <v>1041</v>
      </c>
      <c r="B62" s="1046"/>
      <c r="C62" s="1050" t="s">
        <v>1042</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1043</v>
      </c>
      <c r="B64" s="286" t="s">
        <v>1044</v>
      </c>
      <c r="C64" s="176" t="str">
        <f>C9</f>
        <v>办公</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1045</v>
      </c>
      <c r="C66" s="882" t="s">
        <v>1010</v>
      </c>
      <c r="D66" s="882" t="s">
        <v>1011</v>
      </c>
      <c r="E66" s="882" t="s">
        <v>1012</v>
      </c>
      <c r="F66" s="882" t="s">
        <v>1013</v>
      </c>
      <c r="G66" s="882" t="s">
        <v>1014</v>
      </c>
      <c r="H66" s="882" t="s">
        <v>1015</v>
      </c>
      <c r="I66" s="882" t="s">
        <v>1016</v>
      </c>
      <c r="J66" s="882"/>
      <c r="K66" s="883"/>
      <c r="L66" s="884"/>
      <c r="M66" s="885"/>
      <c r="N66" s="1389"/>
      <c r="O66" s="1389"/>
      <c r="P66" s="2327"/>
      <c r="Q66" s="121"/>
    </row>
    <row r="67" spans="1:17" ht="15" thickBot="1">
      <c r="A67" s="173"/>
      <c r="B67" s="1055"/>
      <c r="C67" s="887" t="s">
        <v>138</v>
      </c>
      <c r="D67" s="887" t="s">
        <v>139</v>
      </c>
      <c r="E67" s="887">
        <v>100</v>
      </c>
      <c r="F67" s="887">
        <f>E67-$K10</f>
        <v>99</v>
      </c>
      <c r="G67" s="887">
        <f>F67-$K10</f>
        <v>98</v>
      </c>
      <c r="H67" s="887">
        <f>G67-$K10</f>
        <v>97</v>
      </c>
      <c r="I67" s="887">
        <f>H67-$K10</f>
        <v>96</v>
      </c>
      <c r="J67" s="887"/>
      <c r="K67" s="887"/>
      <c r="L67" s="887"/>
      <c r="M67" s="888"/>
      <c r="N67" s="1390"/>
      <c r="O67" s="1390"/>
      <c r="P67" s="2327"/>
      <c r="Q67" s="121"/>
    </row>
    <row r="68" spans="1:17" ht="15" thickTop="1">
      <c r="A68" s="173"/>
      <c r="B68" s="1056" t="s">
        <v>1046</v>
      </c>
      <c r="C68" s="890" t="str">
        <f>C69&amp;"（含）"&amp;"-"&amp;D69</f>
        <v>1（含）-2</v>
      </c>
      <c r="D68" s="890" t="str">
        <f t="shared" ref="D68:L68" si="17">D69&amp;"（含）"&amp;"-"&amp;E69</f>
        <v>2（含）-3</v>
      </c>
      <c r="E68" s="890" t="str">
        <f t="shared" si="17"/>
        <v>3（含）-4</v>
      </c>
      <c r="F68" s="890" t="str">
        <f t="shared" si="17"/>
        <v>4（含）-5</v>
      </c>
      <c r="G68" s="890" t="str">
        <f t="shared" si="17"/>
        <v>5（含）-6</v>
      </c>
      <c r="H68" s="890" t="str">
        <f t="shared" si="17"/>
        <v>6（含）-7</v>
      </c>
      <c r="I68" s="890" t="str">
        <f t="shared" si="17"/>
        <v>7（含）-8</v>
      </c>
      <c r="J68" s="890" t="str">
        <f t="shared" si="17"/>
        <v>8（含）-9</v>
      </c>
      <c r="K68" s="890" t="str">
        <f t="shared" si="17"/>
        <v>9（含）-10</v>
      </c>
      <c r="L68" s="890" t="str">
        <f t="shared" si="17"/>
        <v>10（含）-</v>
      </c>
      <c r="M68" s="791" t="str">
        <f>M69&amp;"（含）"&amp;"-"&amp;P69</f>
        <v>（含）-</v>
      </c>
      <c r="N68" s="1390"/>
      <c r="O68" s="1390"/>
      <c r="P68" s="2327"/>
      <c r="Q68" s="121"/>
    </row>
    <row r="69" spans="1:17" ht="14.25">
      <c r="A69" s="173"/>
      <c r="B69" s="1057"/>
      <c r="C69" s="892">
        <v>1</v>
      </c>
      <c r="D69" s="892">
        <v>2</v>
      </c>
      <c r="E69" s="892">
        <v>3</v>
      </c>
      <c r="F69" s="892">
        <v>4</v>
      </c>
      <c r="G69" s="892">
        <v>5</v>
      </c>
      <c r="H69" s="892">
        <v>6</v>
      </c>
      <c r="I69" s="892">
        <v>7</v>
      </c>
      <c r="J69" s="892">
        <v>8</v>
      </c>
      <c r="K69" s="893">
        <v>9</v>
      </c>
      <c r="L69" s="894">
        <v>10</v>
      </c>
      <c r="M69" s="895"/>
      <c r="N69" s="1389"/>
      <c r="O69" s="1389"/>
      <c r="P69" s="2327"/>
      <c r="Q69" s="121"/>
    </row>
    <row r="70" spans="1:17" ht="15" thickBot="1">
      <c r="A70" s="173"/>
      <c r="B70" s="1053"/>
      <c r="C70" s="887">
        <v>100</v>
      </c>
      <c r="D70" s="887">
        <f t="shared" ref="D70:M70" si="18">C70-$K11</f>
        <v>99</v>
      </c>
      <c r="E70" s="887">
        <f t="shared" si="18"/>
        <v>98</v>
      </c>
      <c r="F70" s="887">
        <f t="shared" si="18"/>
        <v>97</v>
      </c>
      <c r="G70" s="887">
        <f t="shared" si="18"/>
        <v>96</v>
      </c>
      <c r="H70" s="887">
        <f t="shared" si="18"/>
        <v>95</v>
      </c>
      <c r="I70" s="887">
        <f t="shared" si="18"/>
        <v>94</v>
      </c>
      <c r="J70" s="887">
        <f t="shared" si="18"/>
        <v>93</v>
      </c>
      <c r="K70" s="887">
        <f t="shared" si="18"/>
        <v>92</v>
      </c>
      <c r="L70" s="887">
        <f t="shared" si="18"/>
        <v>91</v>
      </c>
      <c r="M70" s="888">
        <f t="shared" si="18"/>
        <v>90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1047</v>
      </c>
      <c r="B77" s="286" t="s">
        <v>1091</v>
      </c>
      <c r="C77" s="916" t="s">
        <v>1017</v>
      </c>
      <c r="D77" s="916" t="s">
        <v>1018</v>
      </c>
      <c r="E77" s="916" t="s">
        <v>1019</v>
      </c>
      <c r="F77" s="916" t="s">
        <v>1020</v>
      </c>
      <c r="G77" s="916" t="s">
        <v>1021</v>
      </c>
      <c r="H77" s="872"/>
      <c r="I77" s="872"/>
      <c r="J77" s="872"/>
      <c r="K77" s="917"/>
      <c r="L77" s="918"/>
      <c r="M77" s="919"/>
      <c r="N77" s="1389"/>
      <c r="O77" s="1389"/>
      <c r="P77" s="2331"/>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7"/>
      <c r="Q78" s="121"/>
    </row>
    <row r="79" spans="1:17" ht="15" thickTop="1">
      <c r="A79" s="173"/>
      <c r="B79" s="1054" t="s">
        <v>1054</v>
      </c>
      <c r="C79" s="921" t="s">
        <v>1017</v>
      </c>
      <c r="D79" s="921" t="s">
        <v>1018</v>
      </c>
      <c r="E79" s="921" t="s">
        <v>1019</v>
      </c>
      <c r="F79" s="921" t="s">
        <v>1100</v>
      </c>
      <c r="G79" s="921" t="s">
        <v>1021</v>
      </c>
      <c r="H79" s="882"/>
      <c r="I79" s="882"/>
      <c r="J79" s="882"/>
      <c r="K79" s="883"/>
      <c r="L79" s="884"/>
      <c r="M79" s="885"/>
      <c r="N79" s="1389"/>
      <c r="O79" s="1389"/>
      <c r="P79" s="2327"/>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7"/>
      <c r="Q80" s="121"/>
    </row>
    <row r="81" spans="1:17" ht="15" thickTop="1">
      <c r="A81" s="173"/>
      <c r="B81" s="1054" t="s">
        <v>31</v>
      </c>
      <c r="C81" s="921" t="s">
        <v>1017</v>
      </c>
      <c r="D81" s="921" t="s">
        <v>1018</v>
      </c>
      <c r="E81" s="921" t="s">
        <v>1019</v>
      </c>
      <c r="F81" s="921" t="s">
        <v>1020</v>
      </c>
      <c r="G81" s="921" t="s">
        <v>1021</v>
      </c>
      <c r="H81" s="882"/>
      <c r="I81" s="882"/>
      <c r="J81" s="882"/>
      <c r="K81" s="883"/>
      <c r="L81" s="884"/>
      <c r="M81" s="885"/>
      <c r="N81" s="1389"/>
      <c r="O81" s="1389"/>
      <c r="P81" s="2327"/>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7"/>
      <c r="Q82" s="121"/>
    </row>
    <row r="83" spans="1:17" ht="15" thickTop="1">
      <c r="A83" s="173"/>
      <c r="B83" s="1056" t="s">
        <v>2662</v>
      </c>
      <c r="C83" s="213" t="s">
        <v>2655</v>
      </c>
      <c r="D83" s="213" t="s">
        <v>2656</v>
      </c>
      <c r="E83" s="213" t="s">
        <v>2657</v>
      </c>
      <c r="F83" s="213" t="s">
        <v>2658</v>
      </c>
      <c r="G83" s="213" t="s">
        <v>2659</v>
      </c>
      <c r="H83" s="882"/>
      <c r="I83" s="882"/>
      <c r="J83" s="882"/>
      <c r="K83" s="882"/>
      <c r="L83" s="882"/>
      <c r="M83" s="2762"/>
      <c r="N83" s="1390"/>
      <c r="O83" s="1390"/>
      <c r="P83" s="2327"/>
      <c r="Q83" s="121"/>
    </row>
    <row r="84" spans="1:17" ht="15" thickBot="1">
      <c r="A84" s="173"/>
      <c r="B84" s="1056"/>
      <c r="C84" s="887">
        <v>100</v>
      </c>
      <c r="D84" s="887">
        <f>C84-$K21</f>
        <v>99</v>
      </c>
      <c r="E84" s="887">
        <f>D84-$K21</f>
        <v>98</v>
      </c>
      <c r="F84" s="887">
        <f>E84-$K21</f>
        <v>97</v>
      </c>
      <c r="G84" s="887">
        <f>F84-$K21</f>
        <v>96</v>
      </c>
      <c r="H84" s="1003"/>
      <c r="I84" s="1003"/>
      <c r="J84" s="1003"/>
      <c r="K84" s="1003"/>
      <c r="L84" s="1003"/>
      <c r="M84" s="793"/>
      <c r="N84" s="1390"/>
      <c r="O84" s="1390"/>
      <c r="P84" s="2327"/>
      <c r="Q84" s="121"/>
    </row>
    <row r="85" spans="1:17" ht="15" thickTop="1">
      <c r="A85" s="173"/>
      <c r="B85" s="1054" t="s">
        <v>1092</v>
      </c>
      <c r="C85" s="921" t="s">
        <v>1017</v>
      </c>
      <c r="D85" s="921" t="s">
        <v>1018</v>
      </c>
      <c r="E85" s="921" t="s">
        <v>1019</v>
      </c>
      <c r="F85" s="921" t="s">
        <v>1020</v>
      </c>
      <c r="G85" s="921" t="s">
        <v>1021</v>
      </c>
      <c r="H85" s="882"/>
      <c r="I85" s="882"/>
      <c r="J85" s="882"/>
      <c r="K85" s="883"/>
      <c r="L85" s="884"/>
      <c r="M85" s="885"/>
      <c r="N85" s="1389"/>
      <c r="O85" s="1389"/>
      <c r="P85" s="2327"/>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7"/>
      <c r="Q86" s="121"/>
    </row>
    <row r="87" spans="1:17" s="40" customFormat="1" ht="27.75" thickTop="1">
      <c r="A87" s="1072"/>
      <c r="B87" s="1054" t="s">
        <v>1093</v>
      </c>
      <c r="C87" s="139" t="s">
        <v>3145</v>
      </c>
      <c r="D87" s="139" t="s">
        <v>3146</v>
      </c>
      <c r="E87" s="139" t="s">
        <v>3147</v>
      </c>
      <c r="F87" s="139" t="s">
        <v>3148</v>
      </c>
      <c r="G87" s="139" t="s">
        <v>3149</v>
      </c>
      <c r="H87" s="139"/>
      <c r="I87" s="139"/>
      <c r="J87" s="139"/>
      <c r="K87" s="139"/>
      <c r="L87" s="1384"/>
      <c r="M87" s="1385"/>
      <c r="N87" s="1388"/>
      <c r="O87" s="1388"/>
      <c r="P87" s="2327"/>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7"/>
      <c r="Q88" s="121"/>
    </row>
    <row r="89" spans="1:17" s="40" customFormat="1" ht="14.25" thickTop="1">
      <c r="A89" s="1072"/>
      <c r="B89" s="1054" t="str">
        <f>B27</f>
        <v>楼层</v>
      </c>
      <c r="C89" s="139" t="s">
        <v>3150</v>
      </c>
      <c r="D89" s="139" t="s">
        <v>3151</v>
      </c>
      <c r="E89" s="139" t="s">
        <v>3152</v>
      </c>
      <c r="F89" s="1386"/>
      <c r="G89" s="139"/>
      <c r="H89" s="139"/>
      <c r="I89" s="139"/>
      <c r="J89" s="139"/>
      <c r="K89" s="139"/>
      <c r="L89" s="139"/>
      <c r="M89" s="1385"/>
      <c r="N89" s="1388"/>
      <c r="O89" s="1388"/>
      <c r="P89" s="2327"/>
      <c r="Q89" s="121"/>
    </row>
    <row r="90" spans="1:17" s="40" customFormat="1" ht="15" thickBot="1">
      <c r="A90" s="1072"/>
      <c r="B90" s="1055"/>
      <c r="C90" s="925">
        <v>100</v>
      </c>
      <c r="D90" s="887">
        <f>C90-$K27</f>
        <v>98</v>
      </c>
      <c r="E90" s="887">
        <f t="shared" ref="E90:M90" si="20">D90-$K27</f>
        <v>96</v>
      </c>
      <c r="F90" s="887">
        <f t="shared" si="20"/>
        <v>94</v>
      </c>
      <c r="G90" s="887">
        <f t="shared" si="20"/>
        <v>92</v>
      </c>
      <c r="H90" s="887">
        <f t="shared" si="20"/>
        <v>90</v>
      </c>
      <c r="I90" s="887">
        <f t="shared" si="20"/>
        <v>88</v>
      </c>
      <c r="J90" s="887">
        <f t="shared" si="20"/>
        <v>86</v>
      </c>
      <c r="K90" s="887">
        <f t="shared" si="20"/>
        <v>84</v>
      </c>
      <c r="L90" s="887">
        <f t="shared" si="20"/>
        <v>82</v>
      </c>
      <c r="M90" s="887">
        <f t="shared" si="20"/>
        <v>80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1057</v>
      </c>
      <c r="B101" s="286" t="s">
        <v>1094</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95</v>
      </c>
      <c r="E102" s="887">
        <f t="shared" si="22"/>
        <v>90</v>
      </c>
      <c r="F102" s="887">
        <f t="shared" si="22"/>
        <v>85</v>
      </c>
      <c r="G102" s="887">
        <f t="shared" si="22"/>
        <v>80</v>
      </c>
      <c r="H102" s="887">
        <f t="shared" si="22"/>
        <v>75</v>
      </c>
      <c r="I102" s="887">
        <f t="shared" si="22"/>
        <v>70</v>
      </c>
      <c r="J102" s="887">
        <f t="shared" si="22"/>
        <v>65</v>
      </c>
      <c r="K102" s="887">
        <f t="shared" si="22"/>
        <v>60</v>
      </c>
      <c r="L102" s="887">
        <f t="shared" si="22"/>
        <v>55</v>
      </c>
      <c r="M102" s="888">
        <f t="shared" si="22"/>
        <v>50</v>
      </c>
      <c r="N102" s="1390"/>
      <c r="O102" s="1390"/>
      <c r="P102" s="2327"/>
      <c r="Q102" s="121"/>
    </row>
    <row r="103" spans="1:17" ht="29.25" thickTop="1">
      <c r="A103" s="173"/>
      <c r="B103" s="1054" t="s">
        <v>1059</v>
      </c>
      <c r="C103" s="921" t="str">
        <f>C104&amp;"(含)"&amp;"-"&amp;D104</f>
        <v>0(含)-50000</v>
      </c>
      <c r="D103" s="921" t="str">
        <f t="shared" ref="D103:L103" si="23">D104&amp;"(含)"&amp;"-"&amp;E104</f>
        <v>50000(含)-100000</v>
      </c>
      <c r="E103" s="921" t="str">
        <f t="shared" si="23"/>
        <v>100000(含)-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v>0</v>
      </c>
      <c r="D104" s="938">
        <v>50000</v>
      </c>
      <c r="E104" s="938">
        <v>100000</v>
      </c>
      <c r="F104" s="938"/>
      <c r="G104" s="938"/>
      <c r="H104" s="938"/>
      <c r="I104" s="938"/>
      <c r="J104" s="939"/>
      <c r="K104" s="939"/>
      <c r="L104" s="940"/>
      <c r="M104" s="941"/>
      <c r="N104" s="1391"/>
      <c r="O104" s="1391"/>
      <c r="P104" s="2328"/>
      <c r="Q104" s="1063"/>
    </row>
    <row r="105" spans="1:17" s="1039" customFormat="1" ht="15" thickBot="1">
      <c r="A105" s="1058"/>
      <c r="B105" s="1055"/>
      <c r="C105" s="903">
        <v>100</v>
      </c>
      <c r="D105" s="879">
        <v>100</v>
      </c>
      <c r="E105" s="879">
        <v>100</v>
      </c>
      <c r="F105" s="879"/>
      <c r="G105" s="879"/>
      <c r="H105" s="879"/>
      <c r="I105" s="879"/>
      <c r="J105" s="879"/>
      <c r="K105" s="879"/>
      <c r="L105" s="879"/>
      <c r="M105" s="880"/>
      <c r="N105" s="1390"/>
      <c r="O105" s="1390"/>
      <c r="P105" s="2328"/>
      <c r="Q105" s="1063"/>
    </row>
    <row r="106" spans="1:17" ht="14.25" thickTop="1">
      <c r="A106" s="175"/>
      <c r="B106" s="1054" t="s">
        <v>1060</v>
      </c>
      <c r="C106" s="139" t="s">
        <v>3153</v>
      </c>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99</v>
      </c>
      <c r="E107" s="887">
        <f t="shared" si="24"/>
        <v>98</v>
      </c>
      <c r="F107" s="887">
        <f t="shared" si="24"/>
        <v>97</v>
      </c>
      <c r="G107" s="887">
        <f t="shared" si="24"/>
        <v>96</v>
      </c>
      <c r="H107" s="887">
        <f t="shared" si="24"/>
        <v>95</v>
      </c>
      <c r="I107" s="887">
        <f t="shared" si="24"/>
        <v>94</v>
      </c>
      <c r="J107" s="887">
        <f t="shared" si="24"/>
        <v>93</v>
      </c>
      <c r="K107" s="887">
        <f t="shared" si="24"/>
        <v>92</v>
      </c>
      <c r="L107" s="887">
        <f t="shared" si="24"/>
        <v>91</v>
      </c>
      <c r="M107" s="888">
        <f t="shared" si="24"/>
        <v>90</v>
      </c>
      <c r="N107" s="1390"/>
      <c r="O107" s="1390"/>
      <c r="P107" s="2327"/>
      <c r="Q107" s="121"/>
    </row>
    <row r="108" spans="1:17" ht="14.25" thickTop="1">
      <c r="A108" s="175"/>
      <c r="B108" s="1054" t="s">
        <v>1061</v>
      </c>
      <c r="C108" s="139" t="s">
        <v>3154</v>
      </c>
      <c r="D108" s="139" t="s">
        <v>3155</v>
      </c>
      <c r="E108" s="139" t="s">
        <v>3156</v>
      </c>
      <c r="F108" s="131" t="s">
        <v>3157</v>
      </c>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7"/>
      <c r="Q109" s="121"/>
    </row>
    <row r="110" spans="1:17" ht="15" thickTop="1">
      <c r="A110" s="175"/>
      <c r="B110" s="1054" t="s">
        <v>1062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7"/>
      <c r="Q112" s="121"/>
    </row>
    <row r="113" spans="1:17" s="1039" customFormat="1" ht="14.25" thickTop="1">
      <c r="A113" s="1073"/>
      <c r="B113" s="1054" t="s">
        <v>1095</v>
      </c>
      <c r="C113" s="139" t="s">
        <v>3158</v>
      </c>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99</v>
      </c>
      <c r="E114" s="887">
        <f t="shared" ref="E114:M114" si="27">D114-$K38</f>
        <v>98</v>
      </c>
      <c r="F114" s="887">
        <f t="shared" si="27"/>
        <v>97</v>
      </c>
      <c r="G114" s="887">
        <f t="shared" si="27"/>
        <v>96</v>
      </c>
      <c r="H114" s="887">
        <f t="shared" si="27"/>
        <v>95</v>
      </c>
      <c r="I114" s="887">
        <f t="shared" si="27"/>
        <v>94</v>
      </c>
      <c r="J114" s="887">
        <f t="shared" si="27"/>
        <v>93</v>
      </c>
      <c r="K114" s="887">
        <f t="shared" si="27"/>
        <v>92</v>
      </c>
      <c r="L114" s="887">
        <f t="shared" si="27"/>
        <v>91</v>
      </c>
      <c r="M114" s="887">
        <f t="shared" si="27"/>
        <v>90</v>
      </c>
      <c r="N114" s="1391"/>
      <c r="O114" s="1391"/>
      <c r="P114" s="2328"/>
      <c r="Q114" s="1063"/>
    </row>
    <row r="115" spans="1:17" ht="14.25" thickTop="1">
      <c r="A115" s="175"/>
      <c r="B115" s="1054" t="s">
        <v>1096</v>
      </c>
      <c r="C115" s="139" t="s">
        <v>3159</v>
      </c>
      <c r="D115" s="139" t="s">
        <v>3160</v>
      </c>
      <c r="E115" s="131" t="s">
        <v>3161</v>
      </c>
      <c r="F115" s="131" t="s">
        <v>3162</v>
      </c>
      <c r="G115" s="131" t="s">
        <v>3163</v>
      </c>
      <c r="H115" s="131"/>
      <c r="I115" s="131"/>
      <c r="J115" s="131"/>
      <c r="K115" s="132"/>
      <c r="L115" s="133"/>
      <c r="M115" s="134"/>
      <c r="N115" s="1389"/>
      <c r="O115" s="1389"/>
      <c r="P115" s="2327"/>
      <c r="Q115" s="121"/>
    </row>
    <row r="116" spans="1:17" ht="15" thickBot="1">
      <c r="A116" s="173"/>
      <c r="B116" s="1055"/>
      <c r="C116" s="887">
        <v>100</v>
      </c>
      <c r="D116" s="887">
        <f t="shared" ref="D116:M116" si="28">C116-$K39</f>
        <v>99</v>
      </c>
      <c r="E116" s="887">
        <f t="shared" si="28"/>
        <v>98</v>
      </c>
      <c r="F116" s="887">
        <f t="shared" si="28"/>
        <v>97</v>
      </c>
      <c r="G116" s="887">
        <f t="shared" si="28"/>
        <v>96</v>
      </c>
      <c r="H116" s="887">
        <f t="shared" si="28"/>
        <v>95</v>
      </c>
      <c r="I116" s="887">
        <f t="shared" si="28"/>
        <v>94</v>
      </c>
      <c r="J116" s="887">
        <f t="shared" si="28"/>
        <v>93</v>
      </c>
      <c r="K116" s="887">
        <f t="shared" si="28"/>
        <v>92</v>
      </c>
      <c r="L116" s="887">
        <f t="shared" si="28"/>
        <v>91</v>
      </c>
      <c r="M116" s="888">
        <f t="shared" si="28"/>
        <v>90</v>
      </c>
      <c r="N116" s="1390"/>
      <c r="O116" s="1390"/>
      <c r="P116" s="2327"/>
      <c r="Q116" s="121"/>
    </row>
    <row r="117" spans="1:17" ht="14.25" thickTop="1">
      <c r="A117" s="175"/>
      <c r="B117" s="1054" t="s">
        <v>2637</v>
      </c>
      <c r="C117" s="139" t="s">
        <v>3164</v>
      </c>
      <c r="D117" s="139" t="s">
        <v>3165</v>
      </c>
      <c r="E117" s="139" t="s">
        <v>3166</v>
      </c>
      <c r="F117" s="139" t="s">
        <v>3167</v>
      </c>
      <c r="G117" s="139" t="s">
        <v>3168</v>
      </c>
      <c r="H117" s="131"/>
      <c r="I117" s="131"/>
      <c r="J117" s="131"/>
      <c r="K117" s="132"/>
      <c r="L117" s="133"/>
      <c r="M117" s="134"/>
      <c r="N117" s="1389"/>
      <c r="O117" s="1389"/>
      <c r="P117" s="2327"/>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7"/>
      <c r="Q118" s="121"/>
    </row>
    <row r="119" spans="1:17" ht="14.25" thickTop="1">
      <c r="A119" s="175"/>
      <c r="B119" s="211" t="s">
        <v>1064</v>
      </c>
      <c r="C119" s="131" t="s">
        <v>3169</v>
      </c>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99</v>
      </c>
      <c r="E120" s="887">
        <f t="shared" ref="E120:M120" si="29">D120-$K41</f>
        <v>98</v>
      </c>
      <c r="F120" s="887">
        <f t="shared" si="29"/>
        <v>97</v>
      </c>
      <c r="G120" s="887">
        <f t="shared" si="29"/>
        <v>96</v>
      </c>
      <c r="H120" s="887">
        <f t="shared" si="29"/>
        <v>95</v>
      </c>
      <c r="I120" s="887">
        <f t="shared" si="29"/>
        <v>94</v>
      </c>
      <c r="J120" s="887">
        <f t="shared" si="29"/>
        <v>93</v>
      </c>
      <c r="K120" s="887">
        <f t="shared" si="29"/>
        <v>92</v>
      </c>
      <c r="L120" s="887">
        <f t="shared" si="29"/>
        <v>91</v>
      </c>
      <c r="M120" s="887">
        <f t="shared" si="29"/>
        <v>90</v>
      </c>
      <c r="N120" s="1390"/>
      <c r="O120" s="1390"/>
      <c r="P120" s="2327"/>
      <c r="Q120" s="121"/>
    </row>
    <row r="121" spans="1:17" s="1039" customFormat="1" ht="15" thickTop="1">
      <c r="A121" s="1073"/>
      <c r="B121" s="1054" t="s">
        <v>1065</v>
      </c>
      <c r="C121" s="897">
        <v>2099.0100000000002</v>
      </c>
      <c r="D121" s="897">
        <v>84</v>
      </c>
      <c r="E121" s="897">
        <v>126</v>
      </c>
      <c r="F121" s="926">
        <v>153</v>
      </c>
      <c r="G121" s="898"/>
      <c r="H121" s="898"/>
      <c r="I121" s="898"/>
      <c r="J121" s="898"/>
      <c r="K121" s="898"/>
      <c r="L121" s="899"/>
      <c r="M121" s="900"/>
      <c r="N121" s="1391"/>
      <c r="O121" s="1391"/>
      <c r="P121" s="2328"/>
      <c r="Q121" s="1063"/>
    </row>
    <row r="122" spans="1:17" s="1039" customFormat="1" ht="15" thickBot="1">
      <c r="A122" s="1058"/>
      <c r="B122" s="1053"/>
      <c r="C122" s="903">
        <v>100</v>
      </c>
      <c r="D122" s="903">
        <v>102</v>
      </c>
      <c r="E122" s="903">
        <v>103</v>
      </c>
      <c r="F122" s="903">
        <v>103</v>
      </c>
      <c r="G122" s="903"/>
      <c r="H122" s="903"/>
      <c r="I122" s="903"/>
      <c r="J122" s="903"/>
      <c r="K122" s="903"/>
      <c r="L122" s="903"/>
      <c r="M122" s="903"/>
      <c r="N122" s="1391"/>
      <c r="O122" s="1391"/>
      <c r="P122" s="2328"/>
      <c r="Q122" s="1063"/>
    </row>
    <row r="123" spans="1:17" ht="14.25" thickTop="1">
      <c r="A123" s="175"/>
      <c r="B123" s="1054" t="s">
        <v>1067</v>
      </c>
      <c r="C123" s="139" t="s">
        <v>3154</v>
      </c>
      <c r="D123" s="139" t="s">
        <v>3155</v>
      </c>
      <c r="E123" s="139" t="s">
        <v>3156</v>
      </c>
      <c r="F123" s="131" t="s">
        <v>3157</v>
      </c>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98</v>
      </c>
      <c r="E124" s="887">
        <f t="shared" si="30"/>
        <v>96</v>
      </c>
      <c r="F124" s="887">
        <f t="shared" si="30"/>
        <v>94</v>
      </c>
      <c r="G124" s="887">
        <f t="shared" si="30"/>
        <v>92</v>
      </c>
      <c r="H124" s="887">
        <f t="shared" si="30"/>
        <v>90</v>
      </c>
      <c r="I124" s="887">
        <f t="shared" si="30"/>
        <v>88</v>
      </c>
      <c r="J124" s="887">
        <f t="shared" si="30"/>
        <v>86</v>
      </c>
      <c r="K124" s="887">
        <f t="shared" si="30"/>
        <v>84</v>
      </c>
      <c r="L124" s="887">
        <f t="shared" si="30"/>
        <v>82</v>
      </c>
      <c r="M124" s="888">
        <f t="shared" si="30"/>
        <v>80</v>
      </c>
      <c r="N124" s="1390"/>
      <c r="O124" s="1390"/>
      <c r="P124" s="2327"/>
      <c r="Q124" s="121"/>
    </row>
    <row r="125" spans="1:17" ht="15" thickTop="1">
      <c r="A125" s="175"/>
      <c r="B125" s="1054" t="s">
        <v>1068</v>
      </c>
      <c r="C125" s="921" t="s">
        <v>1017</v>
      </c>
      <c r="D125" s="921" t="s">
        <v>1018</v>
      </c>
      <c r="E125" s="921" t="s">
        <v>1019</v>
      </c>
      <c r="F125" s="921" t="s">
        <v>1020</v>
      </c>
      <c r="G125" s="921" t="s">
        <v>1021</v>
      </c>
      <c r="H125" s="882"/>
      <c r="I125" s="882"/>
      <c r="J125" s="882"/>
      <c r="K125" s="883"/>
      <c r="L125" s="884"/>
      <c r="M125" s="885"/>
      <c r="N125" s="1389"/>
      <c r="O125" s="1389"/>
      <c r="P125" s="2328"/>
      <c r="Q125" s="121"/>
    </row>
    <row r="126" spans="1:17" ht="15" thickBot="1">
      <c r="A126" s="173"/>
      <c r="B126" s="1055"/>
      <c r="C126" s="887">
        <v>100</v>
      </c>
      <c r="D126" s="887">
        <f>C126-$K44</f>
        <v>99</v>
      </c>
      <c r="E126" s="887">
        <f>D126-$K44</f>
        <v>98</v>
      </c>
      <c r="F126" s="887">
        <f>E126-$K44</f>
        <v>97</v>
      </c>
      <c r="G126" s="887">
        <f>F126-$K44</f>
        <v>96</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C40" sqref="C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141</v>
      </c>
      <c r="D1" s="1274"/>
      <c r="E1" s="2582" t="s">
        <v>538</v>
      </c>
      <c r="F1" s="2583">
        <f ca="1">J53</f>
        <v>27.05</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6873</v>
      </c>
      <c r="C2" s="1300" t="s">
        <v>1098</v>
      </c>
      <c r="D2" s="1276"/>
      <c r="E2" s="2572"/>
      <c r="F2" s="1277"/>
      <c r="G2" s="2285"/>
      <c r="H2" s="1275"/>
      <c r="I2" s="1275"/>
      <c r="J2" s="1275"/>
      <c r="K2" s="1299"/>
      <c r="L2" s="1275"/>
      <c r="M2" s="1275"/>
    </row>
    <row r="3" spans="1:37" ht="18" customHeight="1" thickBot="1">
      <c r="A3" s="675" t="s">
        <v>346</v>
      </c>
      <c r="B3" s="1408">
        <f ca="1">IF(ISERROR(B2*10000/F43),0,ROUND(B2*10000/F43,0))</f>
        <v>32744</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f ca="1">C6+C10+C12</f>
        <v>415</v>
      </c>
      <c r="D5" s="2633" t="s">
        <v>2535</v>
      </c>
      <c r="E5" s="2624"/>
      <c r="F5" s="2625"/>
      <c r="G5" s="2286"/>
      <c r="H5" s="681">
        <v>1</v>
      </c>
      <c r="I5" s="682" t="s">
        <v>2332</v>
      </c>
      <c r="J5" s="2623">
        <f ca="1">J6+J10+J12</f>
        <v>0</v>
      </c>
      <c r="K5" s="2626" t="s">
        <v>2535</v>
      </c>
      <c r="L5" s="2624"/>
      <c r="M5" s="2625"/>
    </row>
    <row r="6" spans="1:37" ht="18" customHeight="1">
      <c r="A6" s="2619" t="s">
        <v>2373</v>
      </c>
      <c r="B6" s="3636" t="s">
        <v>2534</v>
      </c>
      <c r="C6" s="2628">
        <f ca="1">ROUND(F6*F8*F7*(1-F9)/10000,0)</f>
        <v>414</v>
      </c>
      <c r="D6" s="2622" t="s">
        <v>2536</v>
      </c>
      <c r="E6" s="684" t="s">
        <v>917</v>
      </c>
      <c r="F6" s="685">
        <f ca="1">INDIRECT("'数据-取费表'!u"&amp;$G$1)</f>
        <v>6</v>
      </c>
      <c r="G6" s="2286"/>
      <c r="H6" s="2619" t="s">
        <v>2373</v>
      </c>
      <c r="I6" s="3636" t="s">
        <v>2534</v>
      </c>
      <c r="J6" s="683">
        <f ca="1">ROUND(M6*M8*M7*(1-M9)/10000,0)</f>
        <v>0</v>
      </c>
      <c r="K6" s="2622" t="s">
        <v>2536</v>
      </c>
      <c r="L6" s="684" t="s">
        <v>917</v>
      </c>
      <c r="M6" s="685">
        <f ca="1">INDIRECT("'数据-取费表'!z"&amp;$G$1)</f>
        <v>0</v>
      </c>
    </row>
    <row r="7" spans="1:37" ht="18" customHeight="1">
      <c r="A7" s="2627"/>
      <c r="B7" s="3637"/>
      <c r="C7" s="2629"/>
      <c r="D7" s="2059"/>
      <c r="E7" s="2630" t="s">
        <v>918</v>
      </c>
      <c r="F7" s="685">
        <f ca="1">IF(INDIRECT("'数据-取费表'!ah"&amp;$G$1)="",INDIRECT("'数据-取费表'!k"&amp;$G$1),INDIRECT("'数据-取费表'!ah"&amp;$G$1))</f>
        <v>2099.0100000000002</v>
      </c>
      <c r="G7" s="2286"/>
      <c r="H7" s="686"/>
      <c r="I7" s="3637"/>
      <c r="J7" s="688"/>
      <c r="K7" s="689"/>
      <c r="L7" s="684" t="s">
        <v>918</v>
      </c>
      <c r="M7" s="685">
        <f ca="1">F7</f>
        <v>2099.0100000000002</v>
      </c>
    </row>
    <row r="8" spans="1:37" ht="18" customHeight="1">
      <c r="A8" s="686"/>
      <c r="B8" s="3637"/>
      <c r="C8" s="688"/>
      <c r="D8" s="689"/>
      <c r="E8" s="684" t="s">
        <v>919</v>
      </c>
      <c r="F8" s="685">
        <f ca="1">INDIRECT("'数据-取费表'!ai"&amp;$G$1)</f>
        <v>365</v>
      </c>
      <c r="G8" s="2286"/>
      <c r="H8" s="686"/>
      <c r="I8" s="3637"/>
      <c r="J8" s="688"/>
      <c r="K8" s="689"/>
      <c r="L8" s="684" t="s">
        <v>919</v>
      </c>
      <c r="M8" s="685">
        <f ca="1">INDIRECT("'数据-取费表'!ai"&amp;$G$1)</f>
        <v>365</v>
      </c>
    </row>
    <row r="9" spans="1:37" ht="18" customHeight="1">
      <c r="A9" s="686"/>
      <c r="B9" s="3638"/>
      <c r="C9" s="688"/>
      <c r="D9" s="689"/>
      <c r="E9" s="684" t="s">
        <v>920</v>
      </c>
      <c r="F9" s="694">
        <f ca="1">INDIRECT("'数据-取费表'!w"&amp;$G$1)</f>
        <v>0.1</v>
      </c>
      <c r="G9" s="2286"/>
      <c r="H9" s="686"/>
      <c r="I9" s="3638"/>
      <c r="J9" s="688"/>
      <c r="K9" s="689"/>
      <c r="L9" s="695" t="s">
        <v>920</v>
      </c>
      <c r="M9" s="696">
        <f ca="1">INDIRECT("'数据-取费表'!ab"&amp;$G$1)</f>
        <v>0</v>
      </c>
    </row>
    <row r="10" spans="1:37" ht="18" customHeight="1">
      <c r="A10" s="2619" t="s">
        <v>2380</v>
      </c>
      <c r="B10" s="2620" t="s">
        <v>2529</v>
      </c>
      <c r="C10" s="698">
        <f ca="1">ROUND(IF(F10="押一",F6*F8*F7/12*F11,IF(F10="押二",F6*F8*F7/12*2*F11,IF(F10="押三",F6*F8*F7/12*3*F11,C11*F11)))/10000,0)</f>
        <v>1</v>
      </c>
      <c r="D10" s="2631" t="s">
        <v>2537</v>
      </c>
      <c r="E10" s="2095" t="s">
        <v>2531</v>
      </c>
      <c r="F10" s="2825" t="s">
        <v>3093</v>
      </c>
      <c r="G10" s="2286"/>
      <c r="H10" s="2619" t="s">
        <v>2380</v>
      </c>
      <c r="I10" s="2620" t="s">
        <v>2529</v>
      </c>
      <c r="J10" s="683">
        <f ca="1">ROUND(IF(M10="押一",M6*M8*M7/12*M11,IF(M10="押二",M6*M8*M7/12*2*M11,IF(M10="押三",M6*M8*M7/12*3*M11,J11*M11)))/10000,0)</f>
        <v>0</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f ca="1">ROUND(C29*F13,0)</f>
        <v>640</v>
      </c>
      <c r="D13" s="2665" t="s">
        <v>922</v>
      </c>
      <c r="E13" s="2665" t="s">
        <v>923</v>
      </c>
      <c r="F13" s="2666">
        <f ca="1">INDIRECT("'数据-取费表'!y"&amp;$G$1)</f>
        <v>0.65</v>
      </c>
      <c r="G13" s="2286"/>
      <c r="H13" s="2663">
        <v>2</v>
      </c>
      <c r="I13" s="2664" t="s">
        <v>921</v>
      </c>
      <c r="J13" s="2618">
        <f ca="1">ROUND(J14*J15,0)</f>
        <v>0</v>
      </c>
      <c r="K13" s="2673" t="s">
        <v>922</v>
      </c>
      <c r="L13" s="2684"/>
      <c r="M13" s="2685"/>
    </row>
    <row r="14" spans="1:37" ht="18" customHeight="1">
      <c r="A14" s="2436" t="s">
        <v>2370</v>
      </c>
      <c r="B14" s="684" t="s">
        <v>359</v>
      </c>
      <c r="C14" s="702">
        <f ca="1">INDIRECT("'数据-取费表'!m"&amp;$G$1)+INDIRECT("'数据-取费表'!t"&amp;$G$1)</f>
        <v>630</v>
      </c>
      <c r="D14" s="3358" t="s">
        <v>924</v>
      </c>
      <c r="E14" s="3357"/>
      <c r="F14" s="703"/>
      <c r="G14" s="2286"/>
      <c r="H14" s="2436" t="s">
        <v>2373</v>
      </c>
      <c r="I14" s="684" t="s">
        <v>925</v>
      </c>
      <c r="J14" s="313">
        <f ca="1">C29</f>
        <v>984</v>
      </c>
      <c r="K14" s="303"/>
      <c r="L14" s="700"/>
      <c r="M14" s="701"/>
    </row>
    <row r="15" spans="1:37" s="706" customFormat="1" ht="18" customHeight="1" thickBot="1">
      <c r="A15" s="2436" t="s">
        <v>2606</v>
      </c>
      <c r="B15" s="684" t="s">
        <v>360</v>
      </c>
      <c r="C15" s="313">
        <f ca="1">ROUND(C14*F15,0)</f>
        <v>32</v>
      </c>
      <c r="D15" s="704" t="s">
        <v>926</v>
      </c>
      <c r="E15" s="704" t="s">
        <v>365</v>
      </c>
      <c r="F15" s="705">
        <f>'数据-取费表'!B33</f>
        <v>0.05</v>
      </c>
      <c r="G15" s="2287"/>
      <c r="H15" s="2675" t="s">
        <v>2380</v>
      </c>
      <c r="I15" s="2676" t="s">
        <v>923</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f ca="1">ROUND(INDIRECT("'数据-取费表'!m"&amp;$G$1)*F16,0)</f>
        <v>0</v>
      </c>
      <c r="D16" s="684" t="s">
        <v>926</v>
      </c>
      <c r="E16" s="684" t="s">
        <v>365</v>
      </c>
      <c r="F16" s="707">
        <f ca="1">IF(INDIRECT("'数据-取费表'!c"&amp;$G$1)="住宅",'数据-取费表'!B34,0)</f>
        <v>0</v>
      </c>
      <c r="G16" s="2286"/>
      <c r="H16" s="2663" t="s">
        <v>2338</v>
      </c>
      <c r="I16" s="2664" t="s">
        <v>928</v>
      </c>
      <c r="J16" s="692">
        <f ca="1">ROUND(J17+J22+J23+J24,0)</f>
        <v>24</v>
      </c>
      <c r="K16" s="2673" t="s">
        <v>929</v>
      </c>
      <c r="L16" s="2674"/>
      <c r="M16" s="2625"/>
    </row>
    <row r="17" spans="1:37" s="706" customFormat="1" ht="18" customHeight="1">
      <c r="A17" s="2436" t="s">
        <v>2608</v>
      </c>
      <c r="B17" s="684" t="s">
        <v>362</v>
      </c>
      <c r="C17" s="313">
        <f ca="1">ROUND(F17*(F43+INDIRECT("'数据-取费表'!S"&amp;$G$1))/10000,0)</f>
        <v>42</v>
      </c>
      <c r="D17" s="684" t="s">
        <v>930</v>
      </c>
      <c r="E17" s="684" t="s">
        <v>931</v>
      </c>
      <c r="F17" s="315">
        <f>'数据-取费表'!B35</f>
        <v>200</v>
      </c>
      <c r="G17" s="2287"/>
      <c r="H17" s="2436" t="s">
        <v>2373</v>
      </c>
      <c r="I17" s="684" t="s">
        <v>363</v>
      </c>
      <c r="J17" s="313">
        <f ca="1">ROUND(IF(项目基本情况!B11="自然人",J5*M17,J18+J19+J20),1)</f>
        <v>8.6999999999999993</v>
      </c>
      <c r="K17" s="3358" t="s">
        <v>932</v>
      </c>
      <c r="L17" s="3359"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f ca="1">ROUND(C14*F18,0)</f>
        <v>9</v>
      </c>
      <c r="D18" s="684" t="s">
        <v>926</v>
      </c>
      <c r="E18" s="684" t="s">
        <v>365</v>
      </c>
      <c r="F18" s="707">
        <f>'数据-取费表'!B36</f>
        <v>1.4999999999999999E-2</v>
      </c>
      <c r="G18" s="2287"/>
      <c r="H18" s="2436" t="s">
        <v>2370</v>
      </c>
      <c r="I18" s="684" t="s">
        <v>934</v>
      </c>
      <c r="J18" s="313">
        <f ca="1">ROUND(J5*M18/(1+'数据-取费表'!C42),2)</f>
        <v>0</v>
      </c>
      <c r="K18" s="3359"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f ca="1">SUM(C14:C18)</f>
        <v>713</v>
      </c>
      <c r="D19" s="471" t="s">
        <v>936</v>
      </c>
      <c r="E19" s="3366"/>
      <c r="F19" s="315"/>
      <c r="G19" s="2286"/>
      <c r="H19" s="2436" t="s">
        <v>2606</v>
      </c>
      <c r="I19" s="684" t="s">
        <v>937</v>
      </c>
      <c r="J19" s="313">
        <f ca="1">IF(K19="按租金收入计税",ROUND(J5*M19,2),ROUND(C29*M19*0.7,2))</f>
        <v>8.27</v>
      </c>
      <c r="K19" s="1301" t="s">
        <v>2413</v>
      </c>
      <c r="L19" s="684" t="s">
        <v>365</v>
      </c>
      <c r="M19" s="707">
        <f>IF(K19="按租金收入计税",'数据-取费表'!B51,'数据-取费表'!B50)</f>
        <v>1.2E-2</v>
      </c>
    </row>
    <row r="20" spans="1:37" s="706" customFormat="1" ht="18" customHeight="1">
      <c r="A20" s="2436" t="s">
        <v>2610</v>
      </c>
      <c r="B20" s="684" t="s">
        <v>367</v>
      </c>
      <c r="C20" s="313">
        <f ca="1">ROUND(C19*F20,0)</f>
        <v>14</v>
      </c>
      <c r="D20" s="709" t="s">
        <v>938</v>
      </c>
      <c r="E20" s="684" t="s">
        <v>365</v>
      </c>
      <c r="F20" s="707">
        <f>'数据-取费表'!B37</f>
        <v>0.02</v>
      </c>
      <c r="G20" s="2287"/>
      <c r="H20" s="2436" t="s">
        <v>2607</v>
      </c>
      <c r="I20" s="496" t="s">
        <v>939</v>
      </c>
      <c r="J20" s="314">
        <f ca="1">ROUND(M20*M21/10000,2)</f>
        <v>0.39</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f ca="1">INDIRECT("'数据-取费表'!r"&amp;$G$1)</f>
        <v>215.3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3366"/>
      <c r="F22" s="315"/>
      <c r="G22" s="2286"/>
      <c r="H22" s="2436" t="s">
        <v>2380</v>
      </c>
      <c r="I22" s="684" t="s">
        <v>947</v>
      </c>
      <c r="J22" s="313">
        <f ca="1">ROUND(J14*M22,1)</f>
        <v>14.8</v>
      </c>
      <c r="K22" s="3359" t="s">
        <v>948</v>
      </c>
      <c r="L22" s="684" t="s">
        <v>365</v>
      </c>
      <c r="M22" s="714">
        <f ca="1">INDIRECT("'数据-取费表'!Ak"&amp;$G$1)</f>
        <v>1.4999999999999999E-2</v>
      </c>
    </row>
    <row r="23" spans="1:37" s="706" customFormat="1" ht="18" customHeight="1">
      <c r="A23" s="2436" t="s">
        <v>2370</v>
      </c>
      <c r="B23" s="684" t="s">
        <v>2526</v>
      </c>
      <c r="C23" s="313">
        <f ca="1">IF('数据-取费表'!B22&lt;=1,ROUND(C19*F24*F23/2,0)+ROUND(C20*F24*F23/2,0),ROUND(C19*(POWER((1+F24),F23/2)-1),0)+ROUND(C20*(POWER((1+F24),F23/2)-1),0))</f>
        <v>35</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f ca="1">ROUND(J13*M23,1)</f>
        <v>0</v>
      </c>
      <c r="K23" s="3359" t="s">
        <v>369</v>
      </c>
      <c r="L23" s="684" t="s">
        <v>365</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f ca="1">ROUND(J5*M24,1)</f>
        <v>0</v>
      </c>
      <c r="K24" s="2678" t="s">
        <v>371</v>
      </c>
      <c r="L24" s="2676" t="s">
        <v>365</v>
      </c>
      <c r="M24" s="2672">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3366"/>
      <c r="F25" s="315"/>
      <c r="G25" s="2286"/>
      <c r="H25" s="2663" t="s">
        <v>2353</v>
      </c>
      <c r="I25" s="2680" t="s">
        <v>377</v>
      </c>
      <c r="J25" s="692">
        <f ca="1">J5-J16</f>
        <v>-24</v>
      </c>
      <c r="K25" s="2681" t="s">
        <v>378</v>
      </c>
      <c r="L25" s="2682"/>
      <c r="M25" s="2683"/>
    </row>
    <row r="26" spans="1:37" ht="18" customHeight="1">
      <c r="A26" s="2436" t="s">
        <v>2370</v>
      </c>
      <c r="B26" s="684" t="s">
        <v>2527</v>
      </c>
      <c r="C26" s="313">
        <f ca="1">ROUND((C19+C20)*F26,0)</f>
        <v>145</v>
      </c>
      <c r="D26" s="709" t="s">
        <v>957</v>
      </c>
      <c r="E26" s="695" t="s">
        <v>958</v>
      </c>
      <c r="F26" s="694">
        <f ca="1">INDIRECT("'数据-取费表'!q"&amp;$G$1)</f>
        <v>0.2</v>
      </c>
      <c r="G26" s="2286"/>
      <c r="H26" s="681" t="s">
        <v>2356</v>
      </c>
      <c r="I26" s="682" t="s">
        <v>959</v>
      </c>
      <c r="J26" s="683">
        <f ca="1">IF(J5&lt;&gt;0,ROUND(J25*(1-((1+M28)/(1+M26))^M27)/(M26-M28),0),0)</f>
        <v>0</v>
      </c>
      <c r="K26" s="710" t="s">
        <v>373</v>
      </c>
      <c r="L26" s="684" t="s">
        <v>374</v>
      </c>
      <c r="M26" s="694">
        <f ca="1">INDIRECT("'数据-取费表'!I"&amp;$G$1)</f>
        <v>5.5E-2</v>
      </c>
    </row>
    <row r="27" spans="1:37" ht="18" customHeight="1">
      <c r="A27" s="2436" t="s">
        <v>2376</v>
      </c>
      <c r="B27" s="684" t="s">
        <v>375</v>
      </c>
      <c r="C27" s="313">
        <f ca="1">ROUND(F21*F26,4)</f>
        <v>4.0000000000000001E-3</v>
      </c>
      <c r="D27" s="709" t="s">
        <v>961</v>
      </c>
      <c r="E27" s="704"/>
      <c r="F27" s="705"/>
      <c r="G27" s="2286"/>
      <c r="H27" s="686"/>
      <c r="I27" s="687"/>
      <c r="J27" s="688"/>
      <c r="K27" s="718" t="s">
        <v>962</v>
      </c>
      <c r="L27" s="684" t="s">
        <v>381</v>
      </c>
      <c r="M27" s="719">
        <f ca="1">INDIRECT("'数据-取费表'!ag"&amp;$G$1)</f>
        <v>0</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f ca="1">ROUND((C19+C20+C23+C26)/(1-F21-C24-C27-C28),0)</f>
        <v>984</v>
      </c>
      <c r="D29" s="2678"/>
      <c r="E29" s="2676"/>
      <c r="F29" s="2679"/>
      <c r="G29" s="2287"/>
      <c r="H29" s="720" t="s">
        <v>2363</v>
      </c>
      <c r="I29" s="721" t="s">
        <v>963</v>
      </c>
      <c r="J29" s="722">
        <f ca="1">ROUND(J26/(1+F40)^F41,0)</f>
        <v>0</v>
      </c>
      <c r="K29" s="723" t="s">
        <v>964</v>
      </c>
      <c r="L29" s="724"/>
      <c r="M29" s="725">
        <f ca="1">INDIRECT("'数据-取费表'!k"&amp;$G$1)</f>
        <v>2099.0100000000002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f ca="1">ROUND(C31+C36+C37+C38,0)</f>
        <v>55</v>
      </c>
      <c r="D30" s="2673" t="s">
        <v>929</v>
      </c>
      <c r="E30" s="2674"/>
      <c r="F30" s="2625"/>
      <c r="G30" s="2286"/>
      <c r="H30" s="1278"/>
      <c r="I30" s="1279"/>
      <c r="J30" s="1280"/>
      <c r="K30" s="1281"/>
      <c r="L30" s="1282"/>
      <c r="M30" s="1283"/>
    </row>
    <row r="31" spans="1:37" ht="18" customHeight="1">
      <c r="A31" s="2436" t="s">
        <v>2373</v>
      </c>
      <c r="B31" s="684" t="s">
        <v>363</v>
      </c>
      <c r="C31" s="313">
        <f ca="1">ROUND(IF(项目基本情况!B11="自然人",C5*F31,C32+C33+C34),1)</f>
        <v>30.8</v>
      </c>
      <c r="D31" s="3358" t="s">
        <v>932</v>
      </c>
      <c r="E31" s="3359"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f ca="1">IF(项目基本情况!B11="自然人","——",ROUND(C5*F32/(1+'数据-取费表'!C42),2))</f>
        <v>22.13</v>
      </c>
      <c r="D32" s="3359"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f ca="1">IF(项目基本情况!B11="自然人","——",IF(D33="按租金收入计税",ROUND(C5*F33,2),IF(D33="按房产原值计税",ROUND(C29*F33*0.7,2),INDIRECT("'数据-取费表'!Aj"&amp;$G$1))))</f>
        <v>8.27</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f ca="1">IF(项目基本情况!B11="自然人","——",ROUND(F34*F35/10000,2))</f>
        <v>0.39</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f ca="1">INDIRECT("'数据-取费表'!r"&amp;$G$1)</f>
        <v>215.3</v>
      </c>
      <c r="G35" s="2286"/>
      <c r="H35" s="1278"/>
      <c r="I35" s="2878"/>
      <c r="J35" s="2879"/>
      <c r="K35" s="1291"/>
      <c r="L35" s="1290"/>
      <c r="M35" s="1290"/>
    </row>
    <row r="36" spans="1:18" ht="18" customHeight="1">
      <c r="A36" s="2692" t="s">
        <v>2380</v>
      </c>
      <c r="B36" s="684" t="s">
        <v>947</v>
      </c>
      <c r="C36" s="313">
        <f ca="1">ROUND(C29*F36,1)</f>
        <v>14.8</v>
      </c>
      <c r="D36" s="3359" t="s">
        <v>977</v>
      </c>
      <c r="E36" s="684" t="s">
        <v>365</v>
      </c>
      <c r="F36" s="714">
        <f ca="1">INDIRECT("'数据-取费表'!Ak"&amp;$G$1)</f>
        <v>1.4999999999999999E-2</v>
      </c>
      <c r="G36" s="2286"/>
      <c r="H36" s="1290"/>
      <c r="I36" s="2878"/>
      <c r="J36" s="2879"/>
      <c r="K36" s="1294"/>
      <c r="L36" s="1290"/>
      <c r="M36" s="1290"/>
    </row>
    <row r="37" spans="1:18" ht="18" customHeight="1">
      <c r="A37" s="2436" t="s">
        <v>2611</v>
      </c>
      <c r="B37" s="684" t="s">
        <v>368</v>
      </c>
      <c r="C37" s="313">
        <f ca="1">ROUND(C13*F37,1)</f>
        <v>1.3</v>
      </c>
      <c r="D37" s="3359" t="s">
        <v>369</v>
      </c>
      <c r="E37" s="684" t="s">
        <v>365</v>
      </c>
      <c r="F37" s="716">
        <f ca="1">INDIRECT("'数据-取费表'!Al"&amp;$G$1)</f>
        <v>2E-3</v>
      </c>
      <c r="G37" s="2286"/>
      <c r="H37" s="1290"/>
      <c r="I37" s="2878"/>
      <c r="J37" s="2879"/>
      <c r="K37" s="1294"/>
      <c r="L37" s="1290"/>
      <c r="M37" s="1290"/>
    </row>
    <row r="38" spans="1:18" ht="18" customHeight="1" thickBot="1">
      <c r="A38" s="2675" t="s">
        <v>2612</v>
      </c>
      <c r="B38" s="2676" t="s">
        <v>367</v>
      </c>
      <c r="C38" s="2677">
        <f ca="1">ROUND(C5*F38,1)</f>
        <v>8.3000000000000007</v>
      </c>
      <c r="D38" s="2678" t="s">
        <v>371</v>
      </c>
      <c r="E38" s="2676" t="s">
        <v>365</v>
      </c>
      <c r="F38" s="2672">
        <f ca="1">INDIRECT("'数据-取费表'!Am"&amp;$G$1)</f>
        <v>0.02</v>
      </c>
      <c r="G38" s="2286"/>
      <c r="H38" s="1290"/>
      <c r="I38" s="2878"/>
      <c r="J38" s="2879"/>
      <c r="K38" s="1295"/>
      <c r="L38" s="1290"/>
      <c r="M38" s="1290"/>
    </row>
    <row r="39" spans="1:18" ht="24.6" customHeight="1" thickTop="1">
      <c r="A39" s="2663" t="s">
        <v>2353</v>
      </c>
      <c r="B39" s="2680" t="s">
        <v>377</v>
      </c>
      <c r="C39" s="692">
        <f ca="1">C5-C30</f>
        <v>360</v>
      </c>
      <c r="D39" s="2681" t="s">
        <v>378</v>
      </c>
      <c r="E39" s="2682"/>
      <c r="F39" s="2683"/>
      <c r="G39" s="2286"/>
      <c r="H39" s="1290"/>
      <c r="I39" s="2878"/>
      <c r="J39" s="2879"/>
      <c r="K39" s="1295"/>
      <c r="L39" s="1290"/>
      <c r="M39" s="1290"/>
    </row>
    <row r="40" spans="1:18" ht="18" customHeight="1">
      <c r="A40" s="681" t="s">
        <v>2356</v>
      </c>
      <c r="B40" s="682" t="s">
        <v>379</v>
      </c>
      <c r="C40" s="683">
        <f ca="1">ROUND(C39*(1-((1+F42)/(1+F40))^F41)/(F40-F42),0)</f>
        <v>6873</v>
      </c>
      <c r="D40" s="710" t="s">
        <v>373</v>
      </c>
      <c r="E40" s="684" t="s">
        <v>374</v>
      </c>
      <c r="F40" s="694">
        <f ca="1">INDIRECT("'数据-取费表'!I"&amp;$G$1)</f>
        <v>5.5E-2</v>
      </c>
      <c r="G40" s="2286"/>
      <c r="H40" s="1296"/>
      <c r="I40" s="2878"/>
      <c r="J40" s="2879"/>
      <c r="K40" s="1295"/>
      <c r="L40" s="1296"/>
      <c r="M40" s="1296"/>
    </row>
    <row r="41" spans="1:18" ht="18" customHeight="1">
      <c r="A41" s="686"/>
      <c r="B41" s="687"/>
      <c r="C41" s="688"/>
      <c r="D41" s="718" t="s">
        <v>380</v>
      </c>
      <c r="E41" s="684" t="s">
        <v>381</v>
      </c>
      <c r="F41" s="719">
        <f ca="1">IF(INDIRECT("'数据-取费表'!af"&amp;$G$1)=0,INDIRECT("'数据-取费表'!ae"&amp;$G$1),INDIRECT("'数据-取费表'!af"&amp;$G$1))</f>
        <v>27.05</v>
      </c>
      <c r="G41" s="2286"/>
      <c r="H41" s="1192"/>
      <c r="I41" s="2878"/>
      <c r="J41" s="2879"/>
      <c r="K41" s="1294"/>
      <c r="L41" s="1192"/>
      <c r="M41" s="1192"/>
    </row>
    <row r="42" spans="1:18" ht="18" customHeight="1">
      <c r="A42" s="690"/>
      <c r="B42" s="691"/>
      <c r="C42" s="692"/>
      <c r="D42" s="713"/>
      <c r="E42" s="684" t="s">
        <v>382</v>
      </c>
      <c r="F42" s="694">
        <f ca="1">INDIRECT("'数据-取费表'!v"&amp;$G$1)</f>
        <v>0.03</v>
      </c>
      <c r="G42" s="2286"/>
      <c r="H42" s="1192"/>
      <c r="I42" s="2878"/>
      <c r="J42" s="2879"/>
      <c r="K42" s="1294"/>
      <c r="L42" s="1192"/>
      <c r="M42" s="1192"/>
    </row>
    <row r="43" spans="1:18" ht="18" customHeight="1" thickBot="1">
      <c r="A43" s="720" t="s">
        <v>2363</v>
      </c>
      <c r="B43" s="721" t="s">
        <v>383</v>
      </c>
      <c r="C43" s="722">
        <f ca="1">ROUND(C40*10000/F43,0)</f>
        <v>32744</v>
      </c>
      <c r="D43" s="723" t="s">
        <v>384</v>
      </c>
      <c r="E43" s="724" t="s">
        <v>385</v>
      </c>
      <c r="F43" s="725">
        <f ca="1">INDIRECT("'数据-取费表'!k"&amp;$G$1)</f>
        <v>2099.0100000000002</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f ca="1">C68-C40</f>
        <v>-7221</v>
      </c>
      <c r="D46" s="2723" t="str">
        <f>C2</f>
        <v>万元</v>
      </c>
      <c r="E46" s="1433"/>
      <c r="F46" s="1433"/>
      <c r="I46" s="2575" t="s">
        <v>2421</v>
      </c>
      <c r="J46" s="2576"/>
      <c r="K46" s="2577"/>
      <c r="L46" s="2579" t="str">
        <f ca="1">IF(M47="住宅",0,IF(L48&gt;J51,L60,J60))</f>
        <v>0</v>
      </c>
      <c r="O46" s="2591" t="s">
        <v>2464</v>
      </c>
      <c r="P46" s="2592" t="s">
        <v>2465</v>
      </c>
      <c r="Q46" s="2593" t="s">
        <v>2463</v>
      </c>
      <c r="R46" s="2593" t="s">
        <v>2466</v>
      </c>
    </row>
    <row r="47" spans="1:18" s="1455" customFormat="1" ht="15.75" thickBot="1">
      <c r="A47" s="2396" t="s">
        <v>912</v>
      </c>
      <c r="B47" s="2432" t="s">
        <v>913</v>
      </c>
      <c r="C47" s="2727" t="s">
        <v>914</v>
      </c>
      <c r="D47" s="2432" t="s">
        <v>915</v>
      </c>
      <c r="E47" s="2534" t="s">
        <v>916</v>
      </c>
      <c r="F47" s="2535"/>
      <c r="G47" s="1457"/>
      <c r="I47" s="2550" t="s">
        <v>2414</v>
      </c>
      <c r="J47" s="2551" t="s">
        <v>3092</v>
      </c>
      <c r="K47" s="2560" t="s">
        <v>2437</v>
      </c>
      <c r="L47" s="2561">
        <f ca="1">INDIRECT("'数据-取费表'!d"&amp;$G$1)</f>
        <v>50</v>
      </c>
      <c r="M47" s="2581" t="str">
        <f>IF(ISNUMBER(FIND("住宅",C1)),"住宅","非住宅")</f>
        <v>非住宅</v>
      </c>
      <c r="O47" s="2584" t="s">
        <v>2449</v>
      </c>
      <c r="P47" s="2594" t="s">
        <v>2467</v>
      </c>
      <c r="Q47" s="2585">
        <f ca="1">C40+J29</f>
        <v>6873</v>
      </c>
      <c r="R47" s="2585" t="s">
        <v>2468</v>
      </c>
    </row>
    <row r="48" spans="1:18" s="1455" customFormat="1" ht="47.25" thickBot="1">
      <c r="A48" s="2708" t="s">
        <v>2617</v>
      </c>
      <c r="B48" s="682" t="s">
        <v>2332</v>
      </c>
      <c r="C48" s="3365">
        <f ca="1">C49+C53+C55</f>
        <v>0</v>
      </c>
      <c r="D48" s="2712"/>
      <c r="E48" s="2713"/>
      <c r="F48" s="2416"/>
      <c r="G48" s="1457"/>
      <c r="H48" s="1458"/>
      <c r="I48" s="2541" t="s">
        <v>2415</v>
      </c>
      <c r="J48" s="2552" t="s">
        <v>2416</v>
      </c>
      <c r="K48" s="2562" t="s">
        <v>681</v>
      </c>
      <c r="L48" s="2166">
        <f ca="1">INDIRECT("'数据-取费表'!f"&amp;$G$1)</f>
        <v>27.05</v>
      </c>
      <c r="O48" s="2584" t="s">
        <v>2450</v>
      </c>
      <c r="P48" s="2594" t="s">
        <v>2469</v>
      </c>
      <c r="Q48" s="2585" t="str">
        <f ca="1">J60</f>
        <v>0</v>
      </c>
      <c r="R48" s="2585" t="s">
        <v>2477</v>
      </c>
    </row>
    <row r="49" spans="1:18" s="1455" customFormat="1" ht="15.75" thickBot="1">
      <c r="A49" s="2429" t="s">
        <v>2618</v>
      </c>
      <c r="B49" s="2711" t="s">
        <v>2620</v>
      </c>
      <c r="C49" s="2720">
        <f ca="1">ROUND(F49*F51*F50*(1-F52)/10000,0)</f>
        <v>0</v>
      </c>
      <c r="D49" s="2530" t="s">
        <v>2333</v>
      </c>
      <c r="E49" s="2533" t="s">
        <v>2326</v>
      </c>
      <c r="F49" s="2536"/>
      <c r="G49" s="1459"/>
      <c r="H49" s="1458"/>
      <c r="I49" s="2541" t="s">
        <v>2435</v>
      </c>
      <c r="J49" s="2553">
        <v>1996</v>
      </c>
      <c r="K49" s="2563" t="s">
        <v>2440</v>
      </c>
      <c r="L49" s="2564"/>
      <c r="O49" s="2586" t="s">
        <v>2451</v>
      </c>
      <c r="P49" s="2594" t="s">
        <v>2470</v>
      </c>
      <c r="Q49" s="2585">
        <f ca="1">C29</f>
        <v>984</v>
      </c>
      <c r="R49" s="2585" t="s">
        <v>2468</v>
      </c>
    </row>
    <row r="50" spans="1:18" s="1455" customFormat="1" ht="15.75" thickBot="1">
      <c r="A50" s="2430"/>
      <c r="B50" s="2433"/>
      <c r="C50" s="2728"/>
      <c r="D50" s="2403"/>
      <c r="E50" s="2531" t="s">
        <v>918</v>
      </c>
      <c r="F50" s="2532">
        <f ca="1">F7</f>
        <v>2099.0100000000002</v>
      </c>
      <c r="H50" s="1458"/>
      <c r="I50" s="2541" t="s">
        <v>2417</v>
      </c>
      <c r="J50" s="2554">
        <f>SUMPRODUCT((I63:I65=J47)*(J62:L62=J48)*(J63:L65))</f>
        <v>60</v>
      </c>
      <c r="K50" s="2563" t="s">
        <v>2441</v>
      </c>
      <c r="L50" s="2564"/>
      <c r="M50" s="2558"/>
      <c r="O50" s="2586" t="s">
        <v>2452</v>
      </c>
      <c r="P50" s="2594" t="s">
        <v>2478</v>
      </c>
      <c r="Q50" s="2587" t="e">
        <f ca="1">J58</f>
        <v>#VALUE!</v>
      </c>
      <c r="R50" s="2585"/>
    </row>
    <row r="51" spans="1:18" s="1455" customFormat="1" ht="15.75" thickBot="1">
      <c r="A51" s="2431"/>
      <c r="B51" s="2433"/>
      <c r="C51" s="2434"/>
      <c r="D51" s="2403"/>
      <c r="E51" s="2435" t="s">
        <v>919</v>
      </c>
      <c r="F51" s="685">
        <f ca="1">F8</f>
        <v>365</v>
      </c>
      <c r="I51" s="2555" t="s">
        <v>2422</v>
      </c>
      <c r="J51" s="2556">
        <f>IF(J49="",J50,J49+J50-YEAR('数据-取费表'!B2))</f>
        <v>39</v>
      </c>
      <c r="K51" s="2565" t="s">
        <v>2442</v>
      </c>
      <c r="L51" s="2578">
        <f ca="1">ROUND(-PV(INDIRECT("'数据-取费表'!h"&amp;$G$1),L48,(C39-C13*C76),0),0)</f>
        <v>4479</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f ca="1">J53</f>
        <v>27.05</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f ca="1">IF(M47="住宅",J51,MIN(J51,L48))</f>
        <v>27.05</v>
      </c>
      <c r="K53" s="36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0"/>
      <c r="O53" s="2584" t="s">
        <v>2455</v>
      </c>
      <c r="P53" s="2594" t="s">
        <v>2473</v>
      </c>
      <c r="Q53" s="2585">
        <f ca="1">Q47+Q48</f>
        <v>6873</v>
      </c>
      <c r="R53" s="2585" t="s">
        <v>2456</v>
      </c>
    </row>
    <row r="54" spans="1:18" s="1455" customFormat="1" ht="16.5" thickBot="1">
      <c r="A54" s="2824"/>
      <c r="B54" s="2621" t="s">
        <v>2696</v>
      </c>
      <c r="C54" s="2413"/>
      <c r="D54" s="2631"/>
      <c r="E54" s="3353"/>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3353"/>
      <c r="F55" s="2537"/>
      <c r="I55" s="3313" t="s">
        <v>2423</v>
      </c>
      <c r="J55" s="3312" t="e">
        <f ca="1">ROUND(IF(J47="钢混",J57/J50,1-(1-2%)*(J50-J57)/J50),3)</f>
        <v>#VALUE!</v>
      </c>
      <c r="K55" s="2548" t="s">
        <v>2424</v>
      </c>
      <c r="L55" s="2570"/>
      <c r="O55" s="2591" t="s">
        <v>2464</v>
      </c>
      <c r="P55" s="2592" t="s">
        <v>2465</v>
      </c>
      <c r="Q55" s="2593" t="s">
        <v>2463</v>
      </c>
      <c r="R55" s="2593" t="s">
        <v>2466</v>
      </c>
    </row>
    <row r="56" spans="1:18" s="1455" customFormat="1" ht="44.25" thickTop="1" thickBot="1">
      <c r="A56" s="2407">
        <v>2</v>
      </c>
      <c r="B56" s="2408" t="s">
        <v>921</v>
      </c>
      <c r="C56" s="608">
        <f ca="1">C13</f>
        <v>640</v>
      </c>
      <c r="D56" s="2695"/>
      <c r="E56" s="2409"/>
      <c r="F56" s="2537"/>
      <c r="I56" s="2540" t="s">
        <v>2425</v>
      </c>
      <c r="J56" s="2569" t="s">
        <v>3053</v>
      </c>
      <c r="K56" s="2541" t="s">
        <v>2429</v>
      </c>
      <c r="L56" s="2166" t="str">
        <f ca="1">IF(L48&lt;J51,"——",L48-J51)</f>
        <v>——</v>
      </c>
      <c r="O56" s="2584" t="s">
        <v>2449</v>
      </c>
      <c r="P56" s="2594" t="s">
        <v>2467</v>
      </c>
      <c r="Q56" s="2585">
        <f ca="1">C40+J29</f>
        <v>6873</v>
      </c>
      <c r="R56" s="2585" t="s">
        <v>2468</v>
      </c>
    </row>
    <row r="57" spans="1:18" s="1455" customFormat="1" ht="29.25" thickBot="1">
      <c r="A57" s="2538"/>
      <c r="B57" s="2400" t="s">
        <v>970</v>
      </c>
      <c r="C57" s="614">
        <f ca="1">C29</f>
        <v>984</v>
      </c>
      <c r="D57" s="2411"/>
      <c r="E57" s="2412"/>
      <c r="F57" s="2539"/>
      <c r="I57" s="2542" t="s">
        <v>2446</v>
      </c>
      <c r="J57" s="2546" t="str">
        <f ca="1">IF(OR(M47="住宅",J51&lt;L48,J56="是"),"——",J51-L48)</f>
        <v>——</v>
      </c>
      <c r="K57" s="2541" t="s">
        <v>2899</v>
      </c>
      <c r="L57" s="2166" t="str">
        <f ca="1">IF(L48&lt;J51,"——",IF(L55="比较法",L49,IF(L55="基准地价",L50,L51)))</f>
        <v>——</v>
      </c>
      <c r="O57" s="2584" t="s">
        <v>2450</v>
      </c>
      <c r="P57" s="2594" t="s">
        <v>2474</v>
      </c>
      <c r="Q57" s="2585">
        <f ca="1">L60</f>
        <v>0</v>
      </c>
      <c r="R57" s="2585" t="s">
        <v>2489</v>
      </c>
    </row>
    <row r="58" spans="1:18" s="1455" customFormat="1" ht="29.25" thickBot="1">
      <c r="A58" s="697" t="s">
        <v>2338</v>
      </c>
      <c r="B58" s="2408" t="s">
        <v>928</v>
      </c>
      <c r="C58" s="698">
        <f ca="1">ROUND(C59+C64+C65+C66,0)</f>
        <v>25</v>
      </c>
      <c r="D58" s="2414" t="s">
        <v>929</v>
      </c>
      <c r="E58" s="2415"/>
      <c r="F58" s="2416"/>
      <c r="I58" s="2542" t="s">
        <v>2426</v>
      </c>
      <c r="J58" s="3314" t="e">
        <f ca="1">IF(J55&lt;0.4,0.4,J55)</f>
        <v>#VALUE!</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f ca="1">ROUND(IF(项目基本情况!B11="自然人",C48*F59,C60+C61+C62),1)</f>
        <v>8.6999999999999993</v>
      </c>
      <c r="D59" s="2417" t="s">
        <v>932</v>
      </c>
      <c r="E59" s="2418" t="s">
        <v>933</v>
      </c>
      <c r="F59" s="708" t="str">
        <f ca="1">IF(项目基本情况!B11="企业","",IF(INDIRECT("'数据-取费表'!c"&amp;$G$1)="住宅",5%,IF(F49*F50*F51/12/(1+'数据-取费表'!C42)&gt;20000,12%,7%)))</f>
        <v/>
      </c>
      <c r="I59" s="2542" t="s">
        <v>2427</v>
      </c>
      <c r="J59" s="2546" t="str">
        <f ca="1">IF(OR(M47="住宅",J51&lt;L48,J56="是"),"——",ROUND(C29*J58,0))</f>
        <v>——</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f ca="1">IF(项目基本情况!B11="自然人","——",ROUND(C48*F60/(1+'数据-取费表'!C42),2))</f>
        <v>0</v>
      </c>
      <c r="D60" s="2418" t="s">
        <v>935</v>
      </c>
      <c r="E60" s="2400" t="s">
        <v>365</v>
      </c>
      <c r="F60" s="717">
        <f t="shared" ref="F60:F66" si="0">F32</f>
        <v>5.6000000000000001E-2</v>
      </c>
      <c r="I60" s="2543" t="s">
        <v>2428</v>
      </c>
      <c r="J60" s="2547" t="str">
        <f ca="1">IF(OR(M47="住宅",J51&lt;L48,J56="是"),"0",ROUND(J59/(1+J52)^J53,0))</f>
        <v>0</v>
      </c>
      <c r="K60" s="2549" t="s">
        <v>2431</v>
      </c>
      <c r="L60" s="2547">
        <f ca="1">IF(OR(M47="住宅",L48&lt;J51),0,ROUND(L57*(L58/L59-1),0))</f>
        <v>0</v>
      </c>
      <c r="O60" s="2586" t="s">
        <v>2453</v>
      </c>
      <c r="P60" s="2594" t="s">
        <v>2483</v>
      </c>
      <c r="Q60" s="2585">
        <f ca="1">L58</f>
        <v>0</v>
      </c>
      <c r="R60" s="2585" t="s">
        <v>2458</v>
      </c>
    </row>
    <row r="61" spans="1:18" s="1455" customFormat="1" ht="20.25" thickBot="1">
      <c r="A61" s="2436" t="s">
        <v>2371</v>
      </c>
      <c r="B61" s="2400" t="s">
        <v>937</v>
      </c>
      <c r="C61" s="313">
        <f ca="1">IF(项目基本情况!B11="自然人","——",IF(D61="按租金收入计税",ROUND(C48*F61,2),IF(D61="按房产原值计税",ROUND(C57*F61*0.7,2),INDIRECT("'数据-取费表'!Aj"&amp;$G$1))))</f>
        <v>8.27</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f ca="1">IF(项目基本情况!B11="自然人","——",ROUND(F62*F63/10000,2))</f>
        <v>0.39</v>
      </c>
      <c r="D62" s="2419" t="s">
        <v>940</v>
      </c>
      <c r="E62" s="2400" t="s">
        <v>941</v>
      </c>
      <c r="F62" s="711">
        <f t="shared" si="0"/>
        <v>18</v>
      </c>
      <c r="I62" s="2544" t="s">
        <v>2418</v>
      </c>
      <c r="J62" s="2545" t="s">
        <v>2419</v>
      </c>
      <c r="K62" s="2545" t="s">
        <v>2420</v>
      </c>
      <c r="L62" s="2545" t="s">
        <v>2416</v>
      </c>
      <c r="M62" s="3315" t="s">
        <v>3036</v>
      </c>
      <c r="O62" s="2584" t="s">
        <v>2455</v>
      </c>
      <c r="P62" s="2594" t="s">
        <v>2473</v>
      </c>
      <c r="Q62" s="2585">
        <f ca="1">Q56+Q57</f>
        <v>6873</v>
      </c>
      <c r="R62" s="2585" t="s">
        <v>2456</v>
      </c>
    </row>
    <row r="63" spans="1:18" s="1455" customFormat="1" ht="16.5" thickBot="1">
      <c r="A63" s="712"/>
      <c r="B63" s="2406"/>
      <c r="C63" s="318"/>
      <c r="D63" s="2420"/>
      <c r="E63" s="2400" t="s">
        <v>945</v>
      </c>
      <c r="F63" s="685">
        <f t="shared" ca="1" si="0"/>
        <v>215.3</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f ca="1">ROUND(C57*F64,1)</f>
        <v>14.8</v>
      </c>
      <c r="D64" s="2418" t="s">
        <v>977</v>
      </c>
      <c r="E64" s="2400" t="s">
        <v>365</v>
      </c>
      <c r="F64" s="714">
        <f t="shared" ca="1" si="0"/>
        <v>1.4999999999999999E-2</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f ca="1">ROUND(C56*F65,1)</f>
        <v>1.3</v>
      </c>
      <c r="D65" s="2418" t="s">
        <v>369</v>
      </c>
      <c r="E65" s="2400" t="s">
        <v>365</v>
      </c>
      <c r="F65" s="716">
        <f t="shared" ca="1" si="0"/>
        <v>2E-3</v>
      </c>
      <c r="I65" s="2544" t="s">
        <v>2434</v>
      </c>
      <c r="J65" s="3318">
        <v>40</v>
      </c>
      <c r="K65" s="3318">
        <v>30</v>
      </c>
      <c r="L65" s="3318">
        <v>50</v>
      </c>
      <c r="M65" s="3316">
        <v>0.02</v>
      </c>
      <c r="O65" s="2584" t="s">
        <v>2449</v>
      </c>
      <c r="P65" s="2594" t="s">
        <v>2467</v>
      </c>
      <c r="Q65" s="2585">
        <f ca="1">C40+J29</f>
        <v>6873</v>
      </c>
      <c r="R65" s="2585" t="s">
        <v>2468</v>
      </c>
    </row>
    <row r="66" spans="1:18" s="1455" customFormat="1" ht="20.25" thickBot="1">
      <c r="A66" s="2436" t="s">
        <v>2375</v>
      </c>
      <c r="B66" s="2400" t="s">
        <v>367</v>
      </c>
      <c r="C66" s="313">
        <f ca="1">ROUND(C48*F66,1)</f>
        <v>0</v>
      </c>
      <c r="D66" s="2418" t="s">
        <v>371</v>
      </c>
      <c r="E66" s="2400" t="s">
        <v>365</v>
      </c>
      <c r="F66" s="694">
        <f t="shared" ca="1" si="0"/>
        <v>0.02</v>
      </c>
      <c r="O66" s="2584" t="s">
        <v>2450</v>
      </c>
      <c r="P66" s="2594" t="s">
        <v>2474</v>
      </c>
      <c r="Q66" s="2585">
        <f ca="1">L60</f>
        <v>0</v>
      </c>
      <c r="R66" s="2585" t="s">
        <v>2457</v>
      </c>
    </row>
    <row r="67" spans="1:18" s="1455" customFormat="1" ht="23.25" thickBot="1">
      <c r="A67" s="2407" t="s">
        <v>2353</v>
      </c>
      <c r="B67" s="2421" t="s">
        <v>377</v>
      </c>
      <c r="C67" s="698">
        <f ca="1">C48-C58</f>
        <v>-25</v>
      </c>
      <c r="D67" s="2417" t="s">
        <v>378</v>
      </c>
      <c r="E67" s="2422"/>
      <c r="F67" s="2423"/>
      <c r="O67" s="2586" t="s">
        <v>2451</v>
      </c>
      <c r="P67" s="2594" t="s">
        <v>2481</v>
      </c>
      <c r="Q67" s="2589">
        <f ca="1">L51</f>
        <v>4479</v>
      </c>
      <c r="R67" s="2590" t="s">
        <v>2491</v>
      </c>
    </row>
    <row r="68" spans="1:18" s="1455" customFormat="1" ht="20.25" thickBot="1">
      <c r="A68" s="2397" t="s">
        <v>2356</v>
      </c>
      <c r="B68" s="2398" t="s">
        <v>379</v>
      </c>
      <c r="C68" s="683">
        <f ca="1">ROUND(C67*(1-((1+F70)/(1+F68))^F69)/(F68-F70),0)</f>
        <v>-348</v>
      </c>
      <c r="D68" s="2419" t="s">
        <v>373</v>
      </c>
      <c r="E68" s="2400" t="s">
        <v>374</v>
      </c>
      <c r="F68" s="694">
        <f ca="1">F40</f>
        <v>5.5E-2</v>
      </c>
      <c r="O68" s="2586" t="s">
        <v>2452</v>
      </c>
      <c r="P68" s="2595" t="s">
        <v>2485</v>
      </c>
      <c r="Q68" s="2585">
        <f ca="1">ROUND(Q69-Q70*Q71,0)</f>
        <v>306</v>
      </c>
      <c r="R68" s="2585" t="s">
        <v>2490</v>
      </c>
    </row>
    <row r="69" spans="1:18" s="1455" customFormat="1" ht="15.75" thickBot="1">
      <c r="A69" s="2401"/>
      <c r="B69" s="2402"/>
      <c r="C69" s="688"/>
      <c r="D69" s="2424" t="s">
        <v>962</v>
      </c>
      <c r="E69" s="2400" t="s">
        <v>381</v>
      </c>
      <c r="F69" s="719">
        <f ca="1">F41</f>
        <v>27.05</v>
      </c>
      <c r="O69" s="2586" t="s">
        <v>2460</v>
      </c>
      <c r="P69" s="2595" t="s">
        <v>2475</v>
      </c>
      <c r="Q69" s="2585">
        <f ca="1">C39</f>
        <v>360</v>
      </c>
      <c r="R69" s="2585" t="s">
        <v>2468</v>
      </c>
    </row>
    <row r="70" spans="1:18" s="1455" customFormat="1" ht="15.75" thickBot="1">
      <c r="A70" s="2404"/>
      <c r="B70" s="2405"/>
      <c r="C70" s="692"/>
      <c r="D70" s="2420"/>
      <c r="E70" s="2400" t="s">
        <v>382</v>
      </c>
      <c r="F70" s="2529"/>
      <c r="O70" s="2586" t="s">
        <v>2461</v>
      </c>
      <c r="P70" s="2595" t="s">
        <v>2476</v>
      </c>
      <c r="Q70" s="2585">
        <f ca="1">C13</f>
        <v>640</v>
      </c>
      <c r="R70" s="2585" t="s">
        <v>2468</v>
      </c>
    </row>
    <row r="71" spans="1:18" s="1455" customFormat="1" ht="15.75" thickBot="1">
      <c r="A71" s="2425" t="s">
        <v>2363</v>
      </c>
      <c r="B71" s="2426" t="s">
        <v>383</v>
      </c>
      <c r="C71" s="722">
        <f ca="1">ROUND(C68*10000/F71,0)</f>
        <v>-1658</v>
      </c>
      <c r="D71" s="2427" t="s">
        <v>384</v>
      </c>
      <c r="E71" s="2428" t="s">
        <v>385</v>
      </c>
      <c r="F71" s="725">
        <f ca="1">F43</f>
        <v>2099.0100000000002</v>
      </c>
      <c r="I71" s="2395"/>
      <c r="K71" s="2395"/>
      <c r="O71" s="2586" t="s">
        <v>2462</v>
      </c>
      <c r="P71" s="2595" t="s">
        <v>2488</v>
      </c>
      <c r="Q71" s="2587">
        <f ca="1">C76</f>
        <v>8.5000000000000006E-2</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f ca="1">ROUND(C13*C76,0)</f>
        <v>54</v>
      </c>
      <c r="D75" s="1455"/>
      <c r="E75" s="1455"/>
      <c r="F75" s="1455"/>
      <c r="K75" s="1456"/>
      <c r="L75" s="1455"/>
      <c r="O75" s="2584" t="s">
        <v>2455</v>
      </c>
      <c r="P75" s="2594" t="s">
        <v>2473</v>
      </c>
      <c r="Q75" s="2585">
        <f ca="1">Q65+Q66</f>
        <v>6873</v>
      </c>
      <c r="R75" s="2585" t="s">
        <v>2456</v>
      </c>
    </row>
    <row r="76" spans="1:18">
      <c r="B76" s="731" t="s">
        <v>976</v>
      </c>
      <c r="C76" s="732">
        <f ca="1">INDIRECT("'数据-取费表'!j"&amp;$G$1)</f>
        <v>8.5000000000000006E-2</v>
      </c>
      <c r="I76" s="1455"/>
      <c r="J76" s="1455"/>
      <c r="K76" s="1456"/>
      <c r="L76" s="1455"/>
    </row>
    <row r="77" spans="1:18">
      <c r="B77" s="733" t="s">
        <v>979</v>
      </c>
      <c r="C77" s="734"/>
      <c r="I77" s="1455"/>
      <c r="J77" s="1455"/>
      <c r="K77" s="1456"/>
      <c r="L77" s="1455"/>
    </row>
    <row r="78" spans="1:18">
      <c r="B78" s="646" t="s">
        <v>965</v>
      </c>
      <c r="C78" s="735"/>
    </row>
    <row r="79" spans="1:18">
      <c r="B79" s="2870" t="s">
        <v>2701</v>
      </c>
      <c r="C79" s="650">
        <f ca="1">1-C80</f>
        <v>0.85</v>
      </c>
    </row>
    <row r="80" spans="1:18">
      <c r="B80" s="2870" t="s">
        <v>2700</v>
      </c>
      <c r="C80" s="650">
        <f ca="1">ROUND(C75/C39,3)</f>
        <v>0.15</v>
      </c>
    </row>
    <row r="81" spans="2:3">
      <c r="B81" s="646" t="s">
        <v>387</v>
      </c>
      <c r="C81" s="647"/>
    </row>
    <row r="82" spans="2:3">
      <c r="B82" s="2869" t="s">
        <v>2699</v>
      </c>
      <c r="C82" s="651">
        <f ca="1">1-C83</f>
        <v>0.90700000000000003</v>
      </c>
    </row>
    <row r="83" spans="2:3">
      <c r="B83" s="2869" t="s">
        <v>2698</v>
      </c>
      <c r="C83" s="650">
        <f ca="1">ROUND(C13/C40,3)</f>
        <v>9.2999999999999999E-2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3086</v>
      </c>
      <c r="D1" s="1274"/>
      <c r="E1" s="2582" t="s">
        <v>538</v>
      </c>
      <c r="F1" s="2583"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C40+J29+L46</f>
        <v>#N/A</v>
      </c>
      <c r="C2" s="1300" t="s">
        <v>1098</v>
      </c>
      <c r="D2" s="1276"/>
      <c r="E2" s="2572"/>
      <c r="F2" s="1277"/>
      <c r="G2" s="2285"/>
      <c r="H2" s="1275"/>
      <c r="I2" s="1275"/>
      <c r="J2" s="1275"/>
      <c r="K2" s="1299"/>
      <c r="L2" s="1275"/>
      <c r="M2" s="1275"/>
    </row>
    <row r="3" spans="1:37" ht="18" customHeight="1" thickBot="1">
      <c r="A3" s="675" t="s">
        <v>346</v>
      </c>
      <c r="B3" s="1408">
        <f ca="1">IF(ISERROR(B2*10000/F43),0,ROUND(B2*10000/F43,0))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t="e">
        <f ca="1">C6+C10+C12</f>
        <v>#N/A</v>
      </c>
      <c r="D5" s="2633" t="s">
        <v>2535</v>
      </c>
      <c r="E5" s="2624"/>
      <c r="F5" s="2625"/>
      <c r="G5" s="2286"/>
      <c r="H5" s="681">
        <v>1</v>
      </c>
      <c r="I5" s="682" t="s">
        <v>2332</v>
      </c>
      <c r="J5" s="2623" t="e">
        <f ca="1">J6+J10+J12</f>
        <v>#N/A</v>
      </c>
      <c r="K5" s="2626" t="s">
        <v>2535</v>
      </c>
      <c r="L5" s="2624"/>
      <c r="M5" s="2625"/>
    </row>
    <row r="6" spans="1:37" ht="18" customHeight="1">
      <c r="A6" s="2619" t="s">
        <v>2373</v>
      </c>
      <c r="B6" s="3636" t="s">
        <v>2534</v>
      </c>
      <c r="C6" s="2628" t="e">
        <f ca="1">ROUND(F6*F8*F7*(1-F9)/10000,0)</f>
        <v>#N/A</v>
      </c>
      <c r="D6" s="2622" t="s">
        <v>2536</v>
      </c>
      <c r="E6" s="684" t="s">
        <v>917</v>
      </c>
      <c r="F6" s="685" t="e">
        <f ca="1">INDIRECT("'数据-取费表'!u"&amp;$G$1)</f>
        <v>#N/A</v>
      </c>
      <c r="G6" s="2286"/>
      <c r="H6" s="2619" t="s">
        <v>2373</v>
      </c>
      <c r="I6" s="3636" t="s">
        <v>2534</v>
      </c>
      <c r="J6" s="683" t="e">
        <f ca="1">ROUND(M6*M8*M7*(1-M9)/10000,0)</f>
        <v>#N/A</v>
      </c>
      <c r="K6" s="2622" t="s">
        <v>2536</v>
      </c>
      <c r="L6" s="684" t="s">
        <v>917</v>
      </c>
      <c r="M6" s="685" t="e">
        <f ca="1">INDIRECT("'数据-取费表'!z"&amp;$G$1)</f>
        <v>#N/A</v>
      </c>
    </row>
    <row r="7" spans="1:37" ht="18" customHeight="1">
      <c r="A7" s="2627"/>
      <c r="B7" s="3637"/>
      <c r="C7" s="2629"/>
      <c r="D7" s="2059"/>
      <c r="E7" s="2630" t="s">
        <v>918</v>
      </c>
      <c r="F7" s="685" t="e">
        <f ca="1">IF(INDIRECT("'数据-取费表'!ah"&amp;$G$1)="",INDIRECT("'数据-取费表'!k"&amp;$G$1),INDIRECT("'数据-取费表'!ah"&amp;$G$1))</f>
        <v>#N/A</v>
      </c>
      <c r="G7" s="2286"/>
      <c r="H7" s="686"/>
      <c r="I7" s="3637"/>
      <c r="J7" s="688"/>
      <c r="K7" s="689"/>
      <c r="L7" s="684" t="s">
        <v>918</v>
      </c>
      <c r="M7" s="685" t="e">
        <f ca="1">F7</f>
        <v>#N/A</v>
      </c>
    </row>
    <row r="8" spans="1:37" ht="18" customHeight="1">
      <c r="A8" s="686"/>
      <c r="B8" s="3637"/>
      <c r="C8" s="688"/>
      <c r="D8" s="689"/>
      <c r="E8" s="684" t="s">
        <v>919</v>
      </c>
      <c r="F8" s="685" t="e">
        <f ca="1">INDIRECT("'数据-取费表'!ai"&amp;$G$1)</f>
        <v>#N/A</v>
      </c>
      <c r="G8" s="2286"/>
      <c r="H8" s="686"/>
      <c r="I8" s="3637"/>
      <c r="J8" s="688"/>
      <c r="K8" s="689"/>
      <c r="L8" s="684" t="s">
        <v>919</v>
      </c>
      <c r="M8" s="685" t="e">
        <f ca="1">INDIRECT("'数据-取费表'!ai"&amp;$G$1)</f>
        <v>#N/A</v>
      </c>
    </row>
    <row r="9" spans="1:37" ht="18" customHeight="1">
      <c r="A9" s="686"/>
      <c r="B9" s="3638"/>
      <c r="C9" s="688"/>
      <c r="D9" s="689"/>
      <c r="E9" s="684" t="s">
        <v>920</v>
      </c>
      <c r="F9" s="694" t="e">
        <f ca="1">INDIRECT("'数据-取费表'!w"&amp;$G$1)</f>
        <v>#N/A</v>
      </c>
      <c r="G9" s="2286"/>
      <c r="H9" s="686"/>
      <c r="I9" s="3638"/>
      <c r="J9" s="688"/>
      <c r="K9" s="689"/>
      <c r="L9" s="695" t="s">
        <v>920</v>
      </c>
      <c r="M9" s="696" t="e">
        <f ca="1">INDIRECT("'数据-取费表'!ab"&amp;$G$1)</f>
        <v>#N/A</v>
      </c>
    </row>
    <row r="10" spans="1:37" ht="18" customHeight="1">
      <c r="A10" s="2619" t="s">
        <v>2380</v>
      </c>
      <c r="B10" s="2620" t="s">
        <v>2529</v>
      </c>
      <c r="C10" s="698" t="e">
        <f ca="1">ROUND(IF(F10="押一",F6*F8*F7/12*F11,IF(F10="押二",F6*F8*F7/12*2*F11,IF(F10="押三",F6*F8*F7/12*3*F11,C11*F11)))/10000,0)</f>
        <v>#N/A</v>
      </c>
      <c r="D10" s="2631" t="s">
        <v>2537</v>
      </c>
      <c r="E10" s="2095" t="s">
        <v>2531</v>
      </c>
      <c r="F10" s="2825" t="s">
        <v>3093</v>
      </c>
      <c r="G10" s="2286"/>
      <c r="H10" s="2619" t="s">
        <v>2380</v>
      </c>
      <c r="I10" s="2620" t="s">
        <v>2529</v>
      </c>
      <c r="J10" s="683" t="e">
        <f ca="1">ROUND(IF(M10="押一",M6*M8*M7/12*M11,IF(M10="押二",M6*M8*M7/12*2*M11,IF(M10="押三",M6*M8*M7/12*3*M11,J11*M11)))/10000,0)</f>
        <v>#N/A</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t="e">
        <f ca="1">ROUND(C29*F13,0)</f>
        <v>#N/A</v>
      </c>
      <c r="D13" s="2665" t="s">
        <v>922</v>
      </c>
      <c r="E13" s="2665" t="s">
        <v>923</v>
      </c>
      <c r="F13" s="2666" t="e">
        <f ca="1">INDIRECT("'数据-取费表'!y"&amp;$G$1)</f>
        <v>#N/A</v>
      </c>
      <c r="G13" s="2286"/>
      <c r="H13" s="2663">
        <v>2</v>
      </c>
      <c r="I13" s="2664" t="s">
        <v>921</v>
      </c>
      <c r="J13" s="2618" t="e">
        <f ca="1">ROUND(J14*J15,0)</f>
        <v>#N/A</v>
      </c>
      <c r="K13" s="2673" t="s">
        <v>922</v>
      </c>
      <c r="L13" s="2684"/>
      <c r="M13" s="2685"/>
    </row>
    <row r="14" spans="1:37" ht="18" customHeight="1">
      <c r="A14" s="2436" t="s">
        <v>2370</v>
      </c>
      <c r="B14" s="684" t="s">
        <v>359</v>
      </c>
      <c r="C14" s="702" t="e">
        <f ca="1">INDIRECT("'数据-取费表'!m"&amp;$G$1)+INDIRECT("'数据-取费表'!t"&amp;$G$1)</f>
        <v>#N/A</v>
      </c>
      <c r="D14" s="3358" t="s">
        <v>924</v>
      </c>
      <c r="E14" s="3357"/>
      <c r="F14" s="703"/>
      <c r="G14" s="2286"/>
      <c r="H14" s="2436" t="s">
        <v>2373</v>
      </c>
      <c r="I14" s="684" t="s">
        <v>925</v>
      </c>
      <c r="J14" s="313" t="e">
        <f ca="1">C29</f>
        <v>#N/A</v>
      </c>
      <c r="K14" s="303"/>
      <c r="L14" s="700"/>
      <c r="M14" s="701"/>
    </row>
    <row r="15" spans="1:37" s="706" customFormat="1" ht="18" customHeight="1" thickBot="1">
      <c r="A15" s="2436" t="s">
        <v>2606</v>
      </c>
      <c r="B15" s="684" t="s">
        <v>360</v>
      </c>
      <c r="C15" s="313" t="e">
        <f ca="1">ROUND(C14*F15,0)</f>
        <v>#N/A</v>
      </c>
      <c r="D15" s="704" t="s">
        <v>926</v>
      </c>
      <c r="E15" s="704" t="s">
        <v>365</v>
      </c>
      <c r="F15" s="705">
        <f>'数据-取费表'!B33</f>
        <v>0.05</v>
      </c>
      <c r="G15" s="2287"/>
      <c r="H15" s="2675" t="s">
        <v>2380</v>
      </c>
      <c r="I15" s="2676" t="s">
        <v>923</v>
      </c>
      <c r="J15" s="2687" t="e">
        <f ca="1">INDIRECT("'数据-取费表'!ad"&amp;$G$1)</f>
        <v>#N/A</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t="e">
        <f ca="1">ROUND(INDIRECT("'数据-取费表'!m"&amp;$G$1)*F16,0)</f>
        <v>#N/A</v>
      </c>
      <c r="D16" s="684" t="s">
        <v>926</v>
      </c>
      <c r="E16" s="684" t="s">
        <v>365</v>
      </c>
      <c r="F16" s="707" t="e">
        <f ca="1">IF(INDIRECT("'数据-取费表'!c"&amp;$G$1)="住宅",'数据-取费表'!B34,0)</f>
        <v>#N/A</v>
      </c>
      <c r="G16" s="2286"/>
      <c r="H16" s="2663" t="s">
        <v>2338</v>
      </c>
      <c r="I16" s="2664" t="s">
        <v>928</v>
      </c>
      <c r="J16" s="692" t="e">
        <f ca="1">ROUND(J17+J22+J23+J24,0)</f>
        <v>#N/A</v>
      </c>
      <c r="K16" s="2673" t="s">
        <v>929</v>
      </c>
      <c r="L16" s="2674"/>
      <c r="M16" s="2625"/>
    </row>
    <row r="17" spans="1:37" s="706" customFormat="1" ht="18" customHeight="1">
      <c r="A17" s="2436" t="s">
        <v>2608</v>
      </c>
      <c r="B17" s="684" t="s">
        <v>362</v>
      </c>
      <c r="C17" s="313" t="e">
        <f ca="1">ROUND(F17*(F43+INDIRECT("'数据-取费表'!S"&amp;$G$1))/10000,0)</f>
        <v>#N/A</v>
      </c>
      <c r="D17" s="684" t="s">
        <v>930</v>
      </c>
      <c r="E17" s="684" t="s">
        <v>931</v>
      </c>
      <c r="F17" s="315">
        <f>'数据-取费表'!B35</f>
        <v>200</v>
      </c>
      <c r="G17" s="2287"/>
      <c r="H17" s="2436" t="s">
        <v>2373</v>
      </c>
      <c r="I17" s="684" t="s">
        <v>363</v>
      </c>
      <c r="J17" s="313" t="e">
        <f ca="1">ROUND(IF(项目基本情况!B11="自然人",J5*M17,J18+J19+J20),1)</f>
        <v>#N/A</v>
      </c>
      <c r="K17" s="3358" t="s">
        <v>932</v>
      </c>
      <c r="L17" s="3359"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t="e">
        <f ca="1">ROUND(C14*F18,0)</f>
        <v>#N/A</v>
      </c>
      <c r="D18" s="684" t="s">
        <v>926</v>
      </c>
      <c r="E18" s="684" t="s">
        <v>365</v>
      </c>
      <c r="F18" s="707">
        <f>'数据-取费表'!B36</f>
        <v>1.4999999999999999E-2</v>
      </c>
      <c r="G18" s="2287"/>
      <c r="H18" s="2436" t="s">
        <v>2370</v>
      </c>
      <c r="I18" s="684" t="s">
        <v>934</v>
      </c>
      <c r="J18" s="313" t="e">
        <f ca="1">ROUND(J5*M18/(1+'数据-取费表'!C42),2)</f>
        <v>#N/A</v>
      </c>
      <c r="K18" s="3359"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t="e">
        <f ca="1">SUM(C14:C18)</f>
        <v>#N/A</v>
      </c>
      <c r="D19" s="471" t="s">
        <v>936</v>
      </c>
      <c r="E19" s="3366"/>
      <c r="F19" s="315"/>
      <c r="G19" s="2286"/>
      <c r="H19" s="2436" t="s">
        <v>2606</v>
      </c>
      <c r="I19" s="684" t="s">
        <v>937</v>
      </c>
      <c r="J19" s="313" t="e">
        <f ca="1">IF(K19="按租金收入计税",ROUND(J5*M19,2),ROUND(C29*M19*0.7,2))</f>
        <v>#N/A</v>
      </c>
      <c r="K19" s="1301" t="s">
        <v>2413</v>
      </c>
      <c r="L19" s="684" t="s">
        <v>365</v>
      </c>
      <c r="M19" s="707">
        <f>IF(K19="按租金收入计税",'数据-取费表'!B51,'数据-取费表'!B50)</f>
        <v>1.2E-2</v>
      </c>
    </row>
    <row r="20" spans="1:37" s="706" customFormat="1" ht="18" customHeight="1">
      <c r="A20" s="2436" t="s">
        <v>2610</v>
      </c>
      <c r="B20" s="684" t="s">
        <v>367</v>
      </c>
      <c r="C20" s="313" t="e">
        <f ca="1">ROUND(C19*F20,0)</f>
        <v>#N/A</v>
      </c>
      <c r="D20" s="709" t="s">
        <v>938</v>
      </c>
      <c r="E20" s="684" t="s">
        <v>365</v>
      </c>
      <c r="F20" s="707">
        <f>'数据-取费表'!B37</f>
        <v>0.02</v>
      </c>
      <c r="G20" s="2287"/>
      <c r="H20" s="2436" t="s">
        <v>2607</v>
      </c>
      <c r="I20" s="496" t="s">
        <v>939</v>
      </c>
      <c r="J20" s="314" t="e">
        <f ca="1">ROUND(M20*M21/10000,2)</f>
        <v>#N/A</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3366"/>
      <c r="F22" s="315"/>
      <c r="G22" s="2286"/>
      <c r="H22" s="2436" t="s">
        <v>2380</v>
      </c>
      <c r="I22" s="684" t="s">
        <v>947</v>
      </c>
      <c r="J22" s="313" t="e">
        <f ca="1">ROUND(J14*M22,1)</f>
        <v>#N/A</v>
      </c>
      <c r="K22" s="3359" t="s">
        <v>948</v>
      </c>
      <c r="L22" s="684" t="s">
        <v>365</v>
      </c>
      <c r="M22" s="714" t="e">
        <f ca="1">INDIRECT("'数据-取费表'!Ak"&amp;$G$1)</f>
        <v>#N/A</v>
      </c>
    </row>
    <row r="23" spans="1:37" s="706" customFormat="1" ht="18" customHeight="1">
      <c r="A23" s="2436" t="s">
        <v>2370</v>
      </c>
      <c r="B23" s="684" t="s">
        <v>2526</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t="e">
        <f ca="1">ROUND(J13*M23,1)</f>
        <v>#N/A</v>
      </c>
      <c r="K23" s="3359" t="s">
        <v>369</v>
      </c>
      <c r="L23" s="684" t="s">
        <v>365</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t="e">
        <f ca="1">ROUND(J5*M24,1)</f>
        <v>#N/A</v>
      </c>
      <c r="K24" s="2678" t="s">
        <v>371</v>
      </c>
      <c r="L24" s="2676" t="s">
        <v>365</v>
      </c>
      <c r="M24" s="2672"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3366"/>
      <c r="F25" s="315"/>
      <c r="G25" s="2286"/>
      <c r="H25" s="2663" t="s">
        <v>2353</v>
      </c>
      <c r="I25" s="2680" t="s">
        <v>377</v>
      </c>
      <c r="J25" s="692" t="e">
        <f ca="1">J5-J16</f>
        <v>#N/A</v>
      </c>
      <c r="K25" s="2681" t="s">
        <v>378</v>
      </c>
      <c r="L25" s="2682"/>
      <c r="M25" s="2683"/>
    </row>
    <row r="26" spans="1:37" ht="18" customHeight="1">
      <c r="A26" s="2436" t="s">
        <v>2370</v>
      </c>
      <c r="B26" s="684" t="s">
        <v>2527</v>
      </c>
      <c r="C26" s="313" t="e">
        <f ca="1">ROUND((C19+C20)*F26,0)</f>
        <v>#N/A</v>
      </c>
      <c r="D26" s="709" t="s">
        <v>957</v>
      </c>
      <c r="E26" s="695" t="s">
        <v>958</v>
      </c>
      <c r="F26" s="694" t="e">
        <f ca="1">INDIRECT("'数据-取费表'!q"&amp;$G$1)</f>
        <v>#N/A</v>
      </c>
      <c r="G26" s="2286"/>
      <c r="H26" s="681" t="s">
        <v>2356</v>
      </c>
      <c r="I26" s="682" t="s">
        <v>959</v>
      </c>
      <c r="J26" s="683" t="e">
        <f ca="1">IF(J5&lt;&gt;0,ROUND(J25*(1-((1+M28)/(1+M26))^M27)/(M26-M28),0),0)</f>
        <v>#N/A</v>
      </c>
      <c r="K26" s="710" t="s">
        <v>373</v>
      </c>
      <c r="L26" s="684" t="s">
        <v>374</v>
      </c>
      <c r="M26" s="694" t="e">
        <f ca="1">INDIRECT("'数据-取费表'!I"&amp;$G$1)</f>
        <v>#N/A</v>
      </c>
    </row>
    <row r="27" spans="1:37" ht="18" customHeight="1">
      <c r="A27" s="2436" t="s">
        <v>2376</v>
      </c>
      <c r="B27" s="684" t="s">
        <v>375</v>
      </c>
      <c r="C27" s="313" t="e">
        <f ca="1">ROUND(F21*F26,4)</f>
        <v>#N/A</v>
      </c>
      <c r="D27" s="709" t="s">
        <v>961</v>
      </c>
      <c r="E27" s="704"/>
      <c r="F27" s="705"/>
      <c r="G27" s="2286"/>
      <c r="H27" s="686"/>
      <c r="I27" s="687"/>
      <c r="J27" s="688"/>
      <c r="K27" s="718" t="s">
        <v>962</v>
      </c>
      <c r="L27" s="684" t="s">
        <v>381</v>
      </c>
      <c r="M27" s="719" t="e">
        <f ca="1">INDIRECT("'数据-取费表'!ag"&amp;$G$1)</f>
        <v>#N/A</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t="e">
        <f ca="1">ROUND((C19+C20+C23+C26)/(1-F21-C24-C27-C28),0)</f>
        <v>#N/A</v>
      </c>
      <c r="D29" s="2678"/>
      <c r="E29" s="2676"/>
      <c r="F29" s="2679"/>
      <c r="G29" s="2287"/>
      <c r="H29" s="720" t="s">
        <v>2363</v>
      </c>
      <c r="I29" s="721" t="s">
        <v>963</v>
      </c>
      <c r="J29" s="722" t="e">
        <f ca="1">ROUND(J26/(1+F40)^F41,0)</f>
        <v>#N/A</v>
      </c>
      <c r="K29" s="723" t="s">
        <v>964</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t="e">
        <f ca="1">ROUND(C31+C36+C37+C38,0)</f>
        <v>#N/A</v>
      </c>
      <c r="D30" s="2673" t="s">
        <v>929</v>
      </c>
      <c r="E30" s="2674"/>
      <c r="F30" s="2625"/>
      <c r="G30" s="2286"/>
      <c r="H30" s="1278"/>
      <c r="I30" s="1279"/>
      <c r="J30" s="1280"/>
      <c r="K30" s="1281"/>
      <c r="L30" s="1282"/>
      <c r="M30" s="1283"/>
    </row>
    <row r="31" spans="1:37" ht="18" customHeight="1">
      <c r="A31" s="2436" t="s">
        <v>2373</v>
      </c>
      <c r="B31" s="684" t="s">
        <v>363</v>
      </c>
      <c r="C31" s="313" t="e">
        <f ca="1">ROUND(IF(项目基本情况!B11="自然人",C5*F31,C32+C33+C34),1)</f>
        <v>#N/A</v>
      </c>
      <c r="D31" s="3358" t="s">
        <v>932</v>
      </c>
      <c r="E31" s="3359"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t="e">
        <f ca="1">IF(项目基本情况!B11="自然人","——",ROUND(C5*F32/(1+'数据-取费表'!C42),2))</f>
        <v>#N/A</v>
      </c>
      <c r="D32" s="3359"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t="e">
        <f ca="1">IF(项目基本情况!B11="自然人","——",IF(D33="按租金收入计税",ROUND(C5*F33,2),IF(D33="按房产原值计税",ROUND(C29*F33*0.7,2),INDIRECT("'数据-取费表'!Aj"&amp;$G$1))))</f>
        <v>#N/A</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t="e">
        <f ca="1">IF(项目基本情况!B11="自然人","——",ROUND(F34*F35/10000,2))</f>
        <v>#N/A</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t="e">
        <f ca="1">INDIRECT("'数据-取费表'!r"&amp;$G$1)</f>
        <v>#N/A</v>
      </c>
      <c r="G35" s="2286"/>
      <c r="H35" s="1278"/>
      <c r="I35" s="2878"/>
      <c r="J35" s="2879"/>
      <c r="K35" s="1291"/>
      <c r="L35" s="1290"/>
      <c r="M35" s="1290"/>
    </row>
    <row r="36" spans="1:18" ht="18" customHeight="1">
      <c r="A36" s="2692" t="s">
        <v>2380</v>
      </c>
      <c r="B36" s="684" t="s">
        <v>947</v>
      </c>
      <c r="C36" s="313" t="e">
        <f ca="1">ROUND(C29*F36,1)</f>
        <v>#N/A</v>
      </c>
      <c r="D36" s="3359" t="s">
        <v>977</v>
      </c>
      <c r="E36" s="684" t="s">
        <v>365</v>
      </c>
      <c r="F36" s="714" t="e">
        <f ca="1">INDIRECT("'数据-取费表'!Ak"&amp;$G$1)</f>
        <v>#N/A</v>
      </c>
      <c r="G36" s="2286"/>
      <c r="H36" s="1290"/>
      <c r="I36" s="2878"/>
      <c r="J36" s="2879"/>
      <c r="K36" s="1294"/>
      <c r="L36" s="1290"/>
      <c r="M36" s="1290"/>
    </row>
    <row r="37" spans="1:18" ht="18" customHeight="1">
      <c r="A37" s="2436" t="s">
        <v>2611</v>
      </c>
      <c r="B37" s="684" t="s">
        <v>368</v>
      </c>
      <c r="C37" s="313" t="e">
        <f ca="1">ROUND(C13*F37,1)</f>
        <v>#N/A</v>
      </c>
      <c r="D37" s="3359" t="s">
        <v>369</v>
      </c>
      <c r="E37" s="684" t="s">
        <v>365</v>
      </c>
      <c r="F37" s="716" t="e">
        <f ca="1">INDIRECT("'数据-取费表'!Al"&amp;$G$1)</f>
        <v>#N/A</v>
      </c>
      <c r="G37" s="2286"/>
      <c r="H37" s="1290"/>
      <c r="I37" s="2878"/>
      <c r="J37" s="2879"/>
      <c r="K37" s="1294"/>
      <c r="L37" s="1290"/>
      <c r="M37" s="1290"/>
    </row>
    <row r="38" spans="1:18" ht="18" customHeight="1" thickBot="1">
      <c r="A38" s="2675" t="s">
        <v>2612</v>
      </c>
      <c r="B38" s="2676" t="s">
        <v>367</v>
      </c>
      <c r="C38" s="2677" t="e">
        <f ca="1">ROUND(C5*F38,1)</f>
        <v>#N/A</v>
      </c>
      <c r="D38" s="2678" t="s">
        <v>371</v>
      </c>
      <c r="E38" s="2676" t="s">
        <v>365</v>
      </c>
      <c r="F38" s="2672" t="e">
        <f ca="1">INDIRECT("'数据-取费表'!Am"&amp;$G$1)</f>
        <v>#N/A</v>
      </c>
      <c r="G38" s="2286"/>
      <c r="H38" s="1290"/>
      <c r="I38" s="2878"/>
      <c r="J38" s="2879"/>
      <c r="K38" s="1295"/>
      <c r="L38" s="1290"/>
      <c r="M38" s="1290"/>
    </row>
    <row r="39" spans="1:18" ht="24.6" customHeight="1" thickTop="1">
      <c r="A39" s="2663" t="s">
        <v>2353</v>
      </c>
      <c r="B39" s="2680" t="s">
        <v>377</v>
      </c>
      <c r="C39" s="692" t="e">
        <f ca="1">C5-C30</f>
        <v>#N/A</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#N/A</v>
      </c>
      <c r="D40" s="710" t="s">
        <v>373</v>
      </c>
      <c r="E40" s="684" t="s">
        <v>374</v>
      </c>
      <c r="F40" s="694" t="e">
        <f ca="1">INDIRECT("'数据-取费表'!I"&amp;$G$1)</f>
        <v>#N/A</v>
      </c>
      <c r="G40" s="2286"/>
      <c r="H40" s="1296"/>
      <c r="I40" s="2878"/>
      <c r="J40" s="2879"/>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6"/>
      <c r="H41" s="1192"/>
      <c r="I41" s="2878"/>
      <c r="J41" s="2879"/>
      <c r="K41" s="1294"/>
      <c r="L41" s="1192"/>
      <c r="M41" s="1192"/>
    </row>
    <row r="42" spans="1:18" ht="18" customHeight="1">
      <c r="A42" s="690"/>
      <c r="B42" s="691"/>
      <c r="C42" s="692"/>
      <c r="D42" s="713"/>
      <c r="E42" s="684" t="s">
        <v>382</v>
      </c>
      <c r="F42" s="694" t="e">
        <f ca="1">INDIRECT("'数据-取费表'!v"&amp;$G$1)</f>
        <v>#N/A</v>
      </c>
      <c r="G42" s="2286"/>
      <c r="H42" s="1192"/>
      <c r="I42" s="2878"/>
      <c r="J42" s="2879"/>
      <c r="K42" s="1294"/>
      <c r="L42" s="1192"/>
      <c r="M42" s="1192"/>
    </row>
    <row r="43" spans="1:18" ht="18" customHeight="1" thickBot="1">
      <c r="A43" s="720" t="s">
        <v>2363</v>
      </c>
      <c r="B43" s="721" t="s">
        <v>383</v>
      </c>
      <c r="C43" s="722" t="e">
        <f ca="1">ROUND(C40*10000/F43,0)</f>
        <v>#N/A</v>
      </c>
      <c r="D43" s="723" t="s">
        <v>384</v>
      </c>
      <c r="E43" s="724" t="s">
        <v>385</v>
      </c>
      <c r="F43" s="725" t="e">
        <f ca="1">INDIRECT("'数据-取费表'!k"&amp;$G$1)</f>
        <v>#N/A</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t="e">
        <f ca="1">C68-C40</f>
        <v>#N/A</v>
      </c>
      <c r="D46" s="2723" t="str">
        <f>C2</f>
        <v>万元</v>
      </c>
      <c r="E46" s="1433"/>
      <c r="F46" s="1433"/>
      <c r="I46" s="2575" t="s">
        <v>2421</v>
      </c>
      <c r="J46" s="2576"/>
      <c r="K46" s="2577"/>
      <c r="L46" s="2579" t="e">
        <f ca="1">IF(M47="住宅",0,IF(L48&gt;J51,L60,J60))</f>
        <v>#N/A</v>
      </c>
      <c r="O46" s="2591" t="s">
        <v>2464</v>
      </c>
      <c r="P46" s="2592" t="s">
        <v>2465</v>
      </c>
      <c r="Q46" s="2593" t="s">
        <v>2463</v>
      </c>
      <c r="R46" s="2593" t="s">
        <v>2466</v>
      </c>
    </row>
    <row r="47" spans="1:18" s="1455" customFormat="1" ht="15.75" thickBot="1">
      <c r="A47" s="2396" t="s">
        <v>912</v>
      </c>
      <c r="B47" s="2432" t="s">
        <v>913</v>
      </c>
      <c r="C47" s="2727" t="s">
        <v>914</v>
      </c>
      <c r="D47" s="2432" t="s">
        <v>915</v>
      </c>
      <c r="E47" s="2534" t="s">
        <v>916</v>
      </c>
      <c r="F47" s="2535"/>
      <c r="G47" s="1457"/>
      <c r="I47" s="2550" t="s">
        <v>2414</v>
      </c>
      <c r="J47" s="2551" t="s">
        <v>3092</v>
      </c>
      <c r="K47" s="2560" t="s">
        <v>2437</v>
      </c>
      <c r="L47" s="2561" t="e">
        <f ca="1">INDIRECT("'数据-取费表'!d"&amp;$G$1)</f>
        <v>#N/A</v>
      </c>
      <c r="M47" s="2581" t="str">
        <f>IF(ISNUMBER(FIND("住宅",C1)),"住宅","非住宅")</f>
        <v>非住宅</v>
      </c>
      <c r="O47" s="2584" t="s">
        <v>2449</v>
      </c>
      <c r="P47" s="2594" t="s">
        <v>2467</v>
      </c>
      <c r="Q47" s="2585" t="e">
        <f ca="1">C40+J29</f>
        <v>#N/A</v>
      </c>
      <c r="R47" s="2585" t="s">
        <v>2468</v>
      </c>
    </row>
    <row r="48" spans="1:18" s="1455" customFormat="1" ht="47.25" thickBot="1">
      <c r="A48" s="2708" t="s">
        <v>2617</v>
      </c>
      <c r="B48" s="682" t="s">
        <v>2332</v>
      </c>
      <c r="C48" s="3365" t="e">
        <f ca="1">C49+C53+C55</f>
        <v>#N/A</v>
      </c>
      <c r="D48" s="2712"/>
      <c r="E48" s="2713"/>
      <c r="F48" s="2416"/>
      <c r="G48" s="1457"/>
      <c r="H48" s="1458"/>
      <c r="I48" s="2541" t="s">
        <v>2415</v>
      </c>
      <c r="J48" s="2552" t="s">
        <v>2416</v>
      </c>
      <c r="K48" s="2562" t="s">
        <v>681</v>
      </c>
      <c r="L48" s="2166" t="e">
        <f ca="1">INDIRECT("'数据-取费表'!f"&amp;$G$1)</f>
        <v>#N/A</v>
      </c>
      <c r="O48" s="2584" t="s">
        <v>2450</v>
      </c>
      <c r="P48" s="2594" t="s">
        <v>2469</v>
      </c>
      <c r="Q48" s="2585" t="e">
        <f ca="1">J60</f>
        <v>#N/A</v>
      </c>
      <c r="R48" s="2585" t="s">
        <v>2477</v>
      </c>
    </row>
    <row r="49" spans="1:18" s="1455" customFormat="1" ht="15.75" thickBot="1">
      <c r="A49" s="2429" t="s">
        <v>2618</v>
      </c>
      <c r="B49" s="2711" t="s">
        <v>2620</v>
      </c>
      <c r="C49" s="2720" t="e">
        <f ca="1">ROUND(F49*F51*F50*(1-F52)/10000,0)</f>
        <v>#N/A</v>
      </c>
      <c r="D49" s="2530" t="s">
        <v>2333</v>
      </c>
      <c r="E49" s="2533" t="s">
        <v>2326</v>
      </c>
      <c r="F49" s="2536"/>
      <c r="G49" s="1459"/>
      <c r="H49" s="1458"/>
      <c r="I49" s="2541" t="s">
        <v>2435</v>
      </c>
      <c r="J49" s="2553">
        <v>1996</v>
      </c>
      <c r="K49" s="2563" t="s">
        <v>2440</v>
      </c>
      <c r="L49" s="2564"/>
      <c r="O49" s="2586" t="s">
        <v>2451</v>
      </c>
      <c r="P49" s="2594" t="s">
        <v>2470</v>
      </c>
      <c r="Q49" s="2585" t="e">
        <f ca="1">C29</f>
        <v>#N/A</v>
      </c>
      <c r="R49" s="2585" t="s">
        <v>2468</v>
      </c>
    </row>
    <row r="50" spans="1:18" s="1455" customFormat="1" ht="15.75" thickBot="1">
      <c r="A50" s="2430"/>
      <c r="B50" s="2433"/>
      <c r="C50" s="2728"/>
      <c r="D50" s="2403"/>
      <c r="E50" s="2531" t="s">
        <v>918</v>
      </c>
      <c r="F50" s="2532" t="e">
        <f ca="1">F7</f>
        <v>#N/A</v>
      </c>
      <c r="H50" s="1458"/>
      <c r="I50" s="2541" t="s">
        <v>2417</v>
      </c>
      <c r="J50" s="2554">
        <f>SUMPRODUCT((I63:I65=J47)*(J62:L62=J48)*(J63:L65))</f>
        <v>60</v>
      </c>
      <c r="K50" s="2563" t="s">
        <v>2441</v>
      </c>
      <c r="L50" s="2564"/>
      <c r="M50" s="2558"/>
      <c r="O50" s="2586" t="s">
        <v>2452</v>
      </c>
      <c r="P50" s="2594" t="s">
        <v>2478</v>
      </c>
      <c r="Q50" s="2587" t="e">
        <f ca="1">J58</f>
        <v>#N/A</v>
      </c>
      <c r="R50" s="2585"/>
    </row>
    <row r="51" spans="1:18" s="1455" customFormat="1" ht="15.75" thickBot="1">
      <c r="A51" s="2431"/>
      <c r="B51" s="2433"/>
      <c r="C51" s="2434"/>
      <c r="D51" s="2403"/>
      <c r="E51" s="2435" t="s">
        <v>919</v>
      </c>
      <c r="F51" s="685" t="e">
        <f ca="1">F8</f>
        <v>#N/A</v>
      </c>
      <c r="I51" s="2555" t="s">
        <v>2422</v>
      </c>
      <c r="J51" s="2556">
        <f>IF(J49="",J50,J49+J50-YEAR('数据-取费表'!B2))</f>
        <v>39</v>
      </c>
      <c r="K51" s="2565" t="s">
        <v>2442</v>
      </c>
      <c r="L51" s="2578" t="e">
        <f ca="1">ROUND(-PV(INDIRECT("'数据-取费表'!h"&amp;$G$1),L48,(C39-C13*C76),0),0)</f>
        <v>#N/A</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t="e">
        <f ca="1">J53</f>
        <v>#N/A</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t="e">
        <f ca="1">IF(M47="住宅",J51,MIN(J51,L48))</f>
        <v>#N/A</v>
      </c>
      <c r="K53" s="36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0"/>
      <c r="O53" s="2584" t="s">
        <v>2455</v>
      </c>
      <c r="P53" s="2594" t="s">
        <v>2473</v>
      </c>
      <c r="Q53" s="2585" t="e">
        <f ca="1">Q47+Q48</f>
        <v>#N/A</v>
      </c>
      <c r="R53" s="2585" t="s">
        <v>2456</v>
      </c>
    </row>
    <row r="54" spans="1:18" s="1455" customFormat="1" ht="16.5" thickBot="1">
      <c r="A54" s="2824"/>
      <c r="B54" s="2621" t="s">
        <v>2696</v>
      </c>
      <c r="C54" s="2413"/>
      <c r="D54" s="2631"/>
      <c r="E54" s="3353"/>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3353"/>
      <c r="F55" s="2537"/>
      <c r="I55" s="3313" t="s">
        <v>2423</v>
      </c>
      <c r="J55" s="3312" t="e">
        <f ca="1">ROUND(IF(J47="钢混",J57/J50,1-(1-2%)*(J50-J57)/J50),3)</f>
        <v>#N/A</v>
      </c>
      <c r="K55" s="2548" t="s">
        <v>2424</v>
      </c>
      <c r="L55" s="2570"/>
      <c r="O55" s="2591" t="s">
        <v>2464</v>
      </c>
      <c r="P55" s="2592" t="s">
        <v>2465</v>
      </c>
      <c r="Q55" s="2593" t="s">
        <v>2463</v>
      </c>
      <c r="R55" s="2593" t="s">
        <v>2466</v>
      </c>
    </row>
    <row r="56" spans="1:18" s="1455" customFormat="1" ht="44.25" thickTop="1" thickBot="1">
      <c r="A56" s="2407">
        <v>2</v>
      </c>
      <c r="B56" s="2408" t="s">
        <v>921</v>
      </c>
      <c r="C56" s="608" t="e">
        <f ca="1">C13</f>
        <v>#N/A</v>
      </c>
      <c r="D56" s="2695"/>
      <c r="E56" s="2409"/>
      <c r="F56" s="2537"/>
      <c r="I56" s="2540" t="s">
        <v>2425</v>
      </c>
      <c r="J56" s="2569" t="s">
        <v>3053</v>
      </c>
      <c r="K56" s="2541" t="s">
        <v>2429</v>
      </c>
      <c r="L56" s="2166" t="e">
        <f ca="1">IF(L48&lt;J51,"——",L48-J51)</f>
        <v>#N/A</v>
      </c>
      <c r="O56" s="2584" t="s">
        <v>2449</v>
      </c>
      <c r="P56" s="2594" t="s">
        <v>2467</v>
      </c>
      <c r="Q56" s="2585" t="e">
        <f ca="1">C40+J29</f>
        <v>#N/A</v>
      </c>
      <c r="R56" s="2585" t="s">
        <v>2468</v>
      </c>
    </row>
    <row r="57" spans="1:18" s="1455" customFormat="1" ht="29.25" thickBot="1">
      <c r="A57" s="2538"/>
      <c r="B57" s="2400" t="s">
        <v>970</v>
      </c>
      <c r="C57" s="614" t="e">
        <f ca="1">C29</f>
        <v>#N/A</v>
      </c>
      <c r="D57" s="2411"/>
      <c r="E57" s="2412"/>
      <c r="F57" s="2539"/>
      <c r="I57" s="2542" t="s">
        <v>2446</v>
      </c>
      <c r="J57" s="2546" t="e">
        <f ca="1">IF(OR(M47="住宅",J51&lt;L48,J56="是"),"——",J51-L48)</f>
        <v>#N/A</v>
      </c>
      <c r="K57" s="2541" t="s">
        <v>2899</v>
      </c>
      <c r="L57" s="2166" t="e">
        <f ca="1">IF(L48&lt;J51,"——",IF(L55="比较法",L49,IF(L55="基准地价",L50,L51)))</f>
        <v>#N/A</v>
      </c>
      <c r="O57" s="2584" t="s">
        <v>2450</v>
      </c>
      <c r="P57" s="2594" t="s">
        <v>2474</v>
      </c>
      <c r="Q57" s="2585" t="e">
        <f ca="1">L60</f>
        <v>#N/A</v>
      </c>
      <c r="R57" s="2585" t="s">
        <v>2489</v>
      </c>
    </row>
    <row r="58" spans="1:18" s="1455" customFormat="1" ht="29.25" thickBot="1">
      <c r="A58" s="697" t="s">
        <v>2338</v>
      </c>
      <c r="B58" s="2408" t="s">
        <v>928</v>
      </c>
      <c r="C58" s="698" t="e">
        <f ca="1">ROUND(C59+C64+C65+C66,0)</f>
        <v>#N/A</v>
      </c>
      <c r="D58" s="2414" t="s">
        <v>929</v>
      </c>
      <c r="E58" s="2415"/>
      <c r="F58" s="2416"/>
      <c r="I58" s="2542" t="s">
        <v>2426</v>
      </c>
      <c r="J58" s="3314" t="e">
        <f ca="1">IF(J55&lt;0.4,0.4,J55)</f>
        <v>#N/A</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t="e">
        <f ca="1">ROUND(IF(项目基本情况!B11="自然人",C48*F59,C60+C61+C62),1)</f>
        <v>#N/A</v>
      </c>
      <c r="D59" s="2417" t="s">
        <v>932</v>
      </c>
      <c r="E59" s="2418" t="s">
        <v>933</v>
      </c>
      <c r="F59" s="708" t="str">
        <f ca="1">IF(项目基本情况!B11="企业","",IF(INDIRECT("'数据-取费表'!c"&amp;$G$1)="住宅",5%,IF(F49*F50*F51/12/(1+'数据-取费表'!C42)&gt;20000,12%,7%)))</f>
        <v/>
      </c>
      <c r="I59" s="2542" t="s">
        <v>2427</v>
      </c>
      <c r="J59" s="2546" t="e">
        <f ca="1">IF(OR(M47="住宅",J51&lt;L48,J56="是"),"——",ROUND(C29*J58,0))</f>
        <v>#N/A</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t="e">
        <f ca="1">IF(项目基本情况!B11="自然人","——",ROUND(C48*F60/(1+'数据-取费表'!C42),2))</f>
        <v>#N/A</v>
      </c>
      <c r="D60" s="2418" t="s">
        <v>935</v>
      </c>
      <c r="E60" s="2400" t="s">
        <v>365</v>
      </c>
      <c r="F60" s="717">
        <f t="shared" ref="F60:F66" si="0">F32</f>
        <v>5.6000000000000001E-2</v>
      </c>
      <c r="I60" s="2543" t="s">
        <v>2428</v>
      </c>
      <c r="J60" s="2547" t="e">
        <f ca="1">IF(OR(M47="住宅",J51&lt;L48,J56="是"),"0",ROUND(J59/(1+J52)^J53,0))</f>
        <v>#N/A</v>
      </c>
      <c r="K60" s="2549" t="s">
        <v>2431</v>
      </c>
      <c r="L60" s="2547" t="e">
        <f ca="1">IF(OR(M47="住宅",L48&lt;J51),0,ROUND(L57*(L58/L59-1),0))</f>
        <v>#N/A</v>
      </c>
      <c r="O60" s="2586" t="s">
        <v>2453</v>
      </c>
      <c r="P60" s="2594" t="s">
        <v>2483</v>
      </c>
      <c r="Q60" s="2585">
        <f ca="1">L58</f>
        <v>0</v>
      </c>
      <c r="R60" s="2585" t="s">
        <v>2458</v>
      </c>
    </row>
    <row r="61" spans="1:18" s="1455" customFormat="1" ht="20.25" thickBot="1">
      <c r="A61" s="2436" t="s">
        <v>2371</v>
      </c>
      <c r="B61" s="2400" t="s">
        <v>937</v>
      </c>
      <c r="C61" s="313" t="e">
        <f ca="1">IF(项目基本情况!B11="自然人","——",IF(D61="按租金收入计税",ROUND(C48*F61,2),IF(D61="按房产原值计税",ROUND(C57*F61*0.7,2),INDIRECT("'数据-取费表'!Aj"&amp;$G$1))))</f>
        <v>#N/A</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t="e">
        <f ca="1">IF(项目基本情况!B11="自然人","——",ROUND(F62*F63/10000,2))</f>
        <v>#N/A</v>
      </c>
      <c r="D62" s="2419" t="s">
        <v>940</v>
      </c>
      <c r="E62" s="2400" t="s">
        <v>941</v>
      </c>
      <c r="F62" s="711">
        <f t="shared" si="0"/>
        <v>18</v>
      </c>
      <c r="I62" s="2544" t="s">
        <v>2418</v>
      </c>
      <c r="J62" s="2545" t="s">
        <v>2419</v>
      </c>
      <c r="K62" s="2545" t="s">
        <v>2420</v>
      </c>
      <c r="L62" s="2545" t="s">
        <v>2416</v>
      </c>
      <c r="M62" s="3315" t="s">
        <v>3036</v>
      </c>
      <c r="O62" s="2584" t="s">
        <v>2455</v>
      </c>
      <c r="P62" s="2594" t="s">
        <v>2473</v>
      </c>
      <c r="Q62" s="2585" t="e">
        <f ca="1">Q56+Q57</f>
        <v>#N/A</v>
      </c>
      <c r="R62" s="2585" t="s">
        <v>2456</v>
      </c>
    </row>
    <row r="63" spans="1:18" s="1455" customFormat="1" ht="16.5" thickBot="1">
      <c r="A63" s="712"/>
      <c r="B63" s="2406"/>
      <c r="C63" s="318"/>
      <c r="D63" s="2420"/>
      <c r="E63" s="2400" t="s">
        <v>945</v>
      </c>
      <c r="F63" s="685" t="e">
        <f t="shared" ca="1" si="0"/>
        <v>#N/A</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t="e">
        <f ca="1">ROUND(C57*F64,1)</f>
        <v>#N/A</v>
      </c>
      <c r="D64" s="2418" t="s">
        <v>977</v>
      </c>
      <c r="E64" s="2400" t="s">
        <v>365</v>
      </c>
      <c r="F64" s="714" t="e">
        <f t="shared" ca="1" si="0"/>
        <v>#N/A</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t="e">
        <f ca="1">ROUND(C56*F65,1)</f>
        <v>#N/A</v>
      </c>
      <c r="D65" s="2418" t="s">
        <v>369</v>
      </c>
      <c r="E65" s="2400" t="s">
        <v>365</v>
      </c>
      <c r="F65" s="716" t="e">
        <f t="shared" ca="1" si="0"/>
        <v>#N/A</v>
      </c>
      <c r="I65" s="2544" t="s">
        <v>2434</v>
      </c>
      <c r="J65" s="3318">
        <v>40</v>
      </c>
      <c r="K65" s="3318">
        <v>30</v>
      </c>
      <c r="L65" s="3318">
        <v>50</v>
      </c>
      <c r="M65" s="3316">
        <v>0.02</v>
      </c>
      <c r="O65" s="2584" t="s">
        <v>2449</v>
      </c>
      <c r="P65" s="2594" t="s">
        <v>2467</v>
      </c>
      <c r="Q65" s="2585" t="e">
        <f ca="1">C40+J29</f>
        <v>#N/A</v>
      </c>
      <c r="R65" s="2585" t="s">
        <v>2468</v>
      </c>
    </row>
    <row r="66" spans="1:18" s="1455" customFormat="1" ht="20.25" thickBot="1">
      <c r="A66" s="2436" t="s">
        <v>2375</v>
      </c>
      <c r="B66" s="2400" t="s">
        <v>367</v>
      </c>
      <c r="C66" s="313" t="e">
        <f ca="1">ROUND(C48*F66,1)</f>
        <v>#N/A</v>
      </c>
      <c r="D66" s="2418" t="s">
        <v>371</v>
      </c>
      <c r="E66" s="2400" t="s">
        <v>365</v>
      </c>
      <c r="F66" s="694" t="e">
        <f t="shared" ca="1" si="0"/>
        <v>#N/A</v>
      </c>
      <c r="O66" s="2584" t="s">
        <v>2450</v>
      </c>
      <c r="P66" s="2594" t="s">
        <v>2474</v>
      </c>
      <c r="Q66" s="2585" t="e">
        <f ca="1">L60</f>
        <v>#N/A</v>
      </c>
      <c r="R66" s="2585" t="s">
        <v>2457</v>
      </c>
    </row>
    <row r="67" spans="1:18" s="1455" customFormat="1" ht="23.25" thickBot="1">
      <c r="A67" s="2407" t="s">
        <v>2353</v>
      </c>
      <c r="B67" s="2421" t="s">
        <v>377</v>
      </c>
      <c r="C67" s="698" t="e">
        <f ca="1">C48-C58</f>
        <v>#N/A</v>
      </c>
      <c r="D67" s="2417" t="s">
        <v>378</v>
      </c>
      <c r="E67" s="2422"/>
      <c r="F67" s="2423"/>
      <c r="O67" s="2586" t="s">
        <v>2451</v>
      </c>
      <c r="P67" s="2594" t="s">
        <v>2481</v>
      </c>
      <c r="Q67" s="2589" t="e">
        <f ca="1">L51</f>
        <v>#N/A</v>
      </c>
      <c r="R67" s="2590" t="s">
        <v>2491</v>
      </c>
    </row>
    <row r="68" spans="1:18" s="1455" customFormat="1" ht="20.25" thickBot="1">
      <c r="A68" s="2397" t="s">
        <v>2356</v>
      </c>
      <c r="B68" s="2398" t="s">
        <v>379</v>
      </c>
      <c r="C68" s="683" t="e">
        <f ca="1">ROUND(C67*(1-((1+F70)/(1+F68))^F69)/(F68-F70),0)</f>
        <v>#N/A</v>
      </c>
      <c r="D68" s="2419" t="s">
        <v>373</v>
      </c>
      <c r="E68" s="2400" t="s">
        <v>374</v>
      </c>
      <c r="F68" s="694" t="e">
        <f ca="1">F40</f>
        <v>#N/A</v>
      </c>
      <c r="O68" s="2586" t="s">
        <v>2452</v>
      </c>
      <c r="P68" s="2595" t="s">
        <v>2485</v>
      </c>
      <c r="Q68" s="2585" t="e">
        <f ca="1">ROUND(Q69-Q70*Q71,0)</f>
        <v>#N/A</v>
      </c>
      <c r="R68" s="2585" t="s">
        <v>2490</v>
      </c>
    </row>
    <row r="69" spans="1:18" s="1455" customFormat="1" ht="15.75" thickBot="1">
      <c r="A69" s="2401"/>
      <c r="B69" s="2402"/>
      <c r="C69" s="688"/>
      <c r="D69" s="2424" t="s">
        <v>962</v>
      </c>
      <c r="E69" s="2400" t="s">
        <v>381</v>
      </c>
      <c r="F69" s="719" t="e">
        <f ca="1">F41</f>
        <v>#N/A</v>
      </c>
      <c r="O69" s="2586" t="s">
        <v>2460</v>
      </c>
      <c r="P69" s="2595" t="s">
        <v>2475</v>
      </c>
      <c r="Q69" s="2585" t="e">
        <f ca="1">C39</f>
        <v>#N/A</v>
      </c>
      <c r="R69" s="2585" t="s">
        <v>2468</v>
      </c>
    </row>
    <row r="70" spans="1:18" s="1455" customFormat="1" ht="15.75" thickBot="1">
      <c r="A70" s="2404"/>
      <c r="B70" s="2405"/>
      <c r="C70" s="692"/>
      <c r="D70" s="2420"/>
      <c r="E70" s="2400" t="s">
        <v>382</v>
      </c>
      <c r="F70" s="2529"/>
      <c r="O70" s="2586" t="s">
        <v>2461</v>
      </c>
      <c r="P70" s="2595" t="s">
        <v>2476</v>
      </c>
      <c r="Q70" s="2585" t="e">
        <f ca="1">C13</f>
        <v>#N/A</v>
      </c>
      <c r="R70" s="2585" t="s">
        <v>2468</v>
      </c>
    </row>
    <row r="71" spans="1:18" s="1455" customFormat="1" ht="15.75" thickBot="1">
      <c r="A71" s="2425" t="s">
        <v>2363</v>
      </c>
      <c r="B71" s="2426" t="s">
        <v>383</v>
      </c>
      <c r="C71" s="722" t="e">
        <f ca="1">ROUND(C68*10000/F71,0)</f>
        <v>#N/A</v>
      </c>
      <c r="D71" s="2427" t="s">
        <v>384</v>
      </c>
      <c r="E71" s="2428" t="s">
        <v>385</v>
      </c>
      <c r="F71" s="725" t="e">
        <f ca="1">F43</f>
        <v>#N/A</v>
      </c>
      <c r="I71" s="2395"/>
      <c r="K71" s="2395"/>
      <c r="O71" s="2586" t="s">
        <v>2462</v>
      </c>
      <c r="P71" s="2595" t="s">
        <v>2488</v>
      </c>
      <c r="Q71" s="2587" t="e">
        <f ca="1">C76</f>
        <v>#N/A</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t="e">
        <f ca="1">ROUND(C13*C76,0)</f>
        <v>#N/A</v>
      </c>
      <c r="D75" s="1455"/>
      <c r="E75" s="1455"/>
      <c r="F75" s="1455"/>
      <c r="K75" s="1456"/>
      <c r="L75" s="1455"/>
      <c r="O75" s="2584" t="s">
        <v>2455</v>
      </c>
      <c r="P75" s="2594" t="s">
        <v>2473</v>
      </c>
      <c r="Q75" s="2585" t="e">
        <f ca="1">Q65+Q66</f>
        <v>#N/A</v>
      </c>
      <c r="R75" s="2585" t="s">
        <v>2456</v>
      </c>
    </row>
    <row r="76" spans="1:18">
      <c r="B76" s="731" t="s">
        <v>976</v>
      </c>
      <c r="C76" s="732" t="e">
        <f ca="1">INDIRECT("'数据-取费表'!j"&amp;$G$1)</f>
        <v>#N/A</v>
      </c>
      <c r="I76" s="1455"/>
      <c r="J76" s="1455"/>
      <c r="K76" s="1456"/>
      <c r="L76" s="1455"/>
    </row>
    <row r="77" spans="1:18">
      <c r="B77" s="733" t="s">
        <v>979</v>
      </c>
      <c r="C77" s="734"/>
      <c r="I77" s="1455"/>
      <c r="J77" s="1455"/>
      <c r="K77" s="1456"/>
      <c r="L77" s="1455"/>
    </row>
    <row r="78" spans="1:18">
      <c r="B78" s="646" t="s">
        <v>965</v>
      </c>
      <c r="C78" s="735"/>
    </row>
    <row r="79" spans="1:18">
      <c r="B79" s="2870" t="s">
        <v>2701</v>
      </c>
      <c r="C79" s="650" t="e">
        <f ca="1">1-C80</f>
        <v>#N/A</v>
      </c>
    </row>
    <row r="80" spans="1:18">
      <c r="B80" s="2870" t="s">
        <v>2700</v>
      </c>
      <c r="C80" s="650" t="e">
        <f ca="1">ROUND(C75/C39,3)</f>
        <v>#N/A</v>
      </c>
    </row>
    <row r="81" spans="2:3">
      <c r="B81" s="646" t="s">
        <v>387</v>
      </c>
      <c r="C81" s="647"/>
    </row>
    <row r="82" spans="2:3">
      <c r="B82" s="2869" t="s">
        <v>2699</v>
      </c>
      <c r="C82" s="651" t="e">
        <f ca="1">1-C83</f>
        <v>#N/A</v>
      </c>
    </row>
    <row r="83" spans="2:3">
      <c r="B83" s="2869" t="s">
        <v>2698</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8" sqref="F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3085</v>
      </c>
      <c r="D1" s="1274"/>
      <c r="E1" s="2582" t="s">
        <v>2443</v>
      </c>
      <c r="F1" s="2583"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820</v>
      </c>
      <c r="B2" s="1407" t="e">
        <f ca="1">C40+J29+L46</f>
        <v>#N/A</v>
      </c>
      <c r="C2" s="1300" t="s">
        <v>1098</v>
      </c>
      <c r="D2" s="1276"/>
      <c r="E2" s="2572"/>
      <c r="F2" s="1277"/>
      <c r="G2" s="2285"/>
      <c r="H2" s="1275"/>
      <c r="I2" s="1275"/>
      <c r="J2" s="1275"/>
      <c r="K2" s="1299"/>
      <c r="L2" s="1275"/>
      <c r="M2" s="1275"/>
    </row>
    <row r="3" spans="1:37" ht="18" customHeight="1" thickBot="1">
      <c r="A3" s="675" t="s">
        <v>821</v>
      </c>
      <c r="B3" s="1408">
        <f ca="1">IF(ISERROR(B2*10000/F43),0,ROUND(B2*10000/F43,0))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2533</v>
      </c>
      <c r="C5" s="2623" t="e">
        <f ca="1">C6+C10+C12</f>
        <v>#N/A</v>
      </c>
      <c r="D5" s="2633" t="s">
        <v>2535</v>
      </c>
      <c r="E5" s="2624"/>
      <c r="F5" s="2625"/>
      <c r="G5" s="2286"/>
      <c r="H5" s="681">
        <v>1</v>
      </c>
      <c r="I5" s="682" t="s">
        <v>2533</v>
      </c>
      <c r="J5" s="2623" t="e">
        <f ca="1">J6+J10+J12</f>
        <v>#N/A</v>
      </c>
      <c r="K5" s="2626" t="s">
        <v>2535</v>
      </c>
      <c r="L5" s="2624"/>
      <c r="M5" s="2625"/>
    </row>
    <row r="6" spans="1:37" ht="18" customHeight="1">
      <c r="A6" s="2619" t="s">
        <v>2540</v>
      </c>
      <c r="B6" s="3636" t="s">
        <v>2534</v>
      </c>
      <c r="C6" s="2628" t="e">
        <f ca="1">ROUND(F6*F8*F7*(1-F9)/10000,0)</f>
        <v>#N/A</v>
      </c>
      <c r="D6" s="2622" t="s">
        <v>2536</v>
      </c>
      <c r="E6" s="684" t="s">
        <v>917</v>
      </c>
      <c r="F6" s="685" t="e">
        <f ca="1">INDIRECT("'数据-取费表'!u"&amp;$G$1)</f>
        <v>#N/A</v>
      </c>
      <c r="G6" s="2286"/>
      <c r="H6" s="2619" t="s">
        <v>2543</v>
      </c>
      <c r="I6" s="3636" t="s">
        <v>2534</v>
      </c>
      <c r="J6" s="683" t="e">
        <f ca="1">ROUND(M6*M8*M7*(1-M9)/10000,0)</f>
        <v>#N/A</v>
      </c>
      <c r="K6" s="2622" t="s">
        <v>2536</v>
      </c>
      <c r="L6" s="684" t="s">
        <v>917</v>
      </c>
      <c r="M6" s="685" t="e">
        <f ca="1">INDIRECT("'数据-取费表'!z"&amp;$G$1)</f>
        <v>#N/A</v>
      </c>
    </row>
    <row r="7" spans="1:37" ht="18" customHeight="1">
      <c r="A7" s="2627"/>
      <c r="B7" s="3637"/>
      <c r="C7" s="2629"/>
      <c r="D7" s="2059"/>
      <c r="E7" s="2630" t="s">
        <v>918</v>
      </c>
      <c r="F7" s="685" t="e">
        <f ca="1">IF(INDIRECT("'数据-取费表'!ah"&amp;$G$1)="",INDIRECT("'数据-取费表'!k"&amp;$G$1),INDIRECT("'数据-取费表'!ah"&amp;$G$1))</f>
        <v>#N/A</v>
      </c>
      <c r="G7" s="2286"/>
      <c r="H7" s="686"/>
      <c r="I7" s="3637"/>
      <c r="J7" s="688"/>
      <c r="K7" s="689"/>
      <c r="L7" s="684" t="s">
        <v>918</v>
      </c>
      <c r="M7" s="685" t="e">
        <f ca="1">F7</f>
        <v>#N/A</v>
      </c>
    </row>
    <row r="8" spans="1:37" ht="18" customHeight="1">
      <c r="A8" s="686"/>
      <c r="B8" s="3637"/>
      <c r="C8" s="688"/>
      <c r="D8" s="689"/>
      <c r="E8" s="684" t="s">
        <v>919</v>
      </c>
      <c r="F8" s="685" t="e">
        <f ca="1">INDIRECT("'数据-取费表'!ai"&amp;$G$1)</f>
        <v>#N/A</v>
      </c>
      <c r="G8" s="2286"/>
      <c r="H8" s="686"/>
      <c r="I8" s="3637"/>
      <c r="J8" s="688"/>
      <c r="K8" s="689"/>
      <c r="L8" s="684" t="s">
        <v>919</v>
      </c>
      <c r="M8" s="685" t="e">
        <f ca="1">INDIRECT("'数据-取费表'!ai"&amp;$G$1)</f>
        <v>#N/A</v>
      </c>
    </row>
    <row r="9" spans="1:37" ht="18" customHeight="1">
      <c r="A9" s="686"/>
      <c r="B9" s="3638"/>
      <c r="C9" s="688"/>
      <c r="D9" s="689"/>
      <c r="E9" s="684" t="s">
        <v>920</v>
      </c>
      <c r="F9" s="694" t="e">
        <f ca="1">INDIRECT("'数据-取费表'!w"&amp;$G$1)</f>
        <v>#N/A</v>
      </c>
      <c r="G9" s="2286"/>
      <c r="H9" s="686"/>
      <c r="I9" s="3638"/>
      <c r="J9" s="688"/>
      <c r="K9" s="689"/>
      <c r="L9" s="695" t="s">
        <v>920</v>
      </c>
      <c r="M9" s="696" t="e">
        <f ca="1">INDIRECT("'数据-取费表'!ab"&amp;$G$1)</f>
        <v>#N/A</v>
      </c>
    </row>
    <row r="10" spans="1:37" ht="18" customHeight="1">
      <c r="A10" s="2619" t="s">
        <v>2541</v>
      </c>
      <c r="B10" s="2620" t="s">
        <v>2529</v>
      </c>
      <c r="C10" s="698" t="e">
        <f ca="1">ROUND(IF(F10="押一",F6*F8*F7/12*F11,IF(F10="押二",F6*F8*F7/12*2*F11,IF(F10="押三",F6*F8*F7/12*3*F11,C11*F11)))/10000,0)</f>
        <v>#N/A</v>
      </c>
      <c r="D10" s="2631" t="s">
        <v>2537</v>
      </c>
      <c r="E10" s="2095" t="s">
        <v>2531</v>
      </c>
      <c r="F10" s="2825" t="s">
        <v>3093</v>
      </c>
      <c r="G10" s="2286"/>
      <c r="H10" s="2619" t="s">
        <v>2544</v>
      </c>
      <c r="I10" s="2620" t="s">
        <v>2529</v>
      </c>
      <c r="J10" s="683" t="e">
        <f ca="1">ROUND(IF(M10="押一",M6*M8*M7/12*M11,IF(M10="押二",M6*M8*M7/12*2*M11,IF(M10="押三",M6*M8*M7/12*3*M11,J11*M11)))/10000,0)</f>
        <v>#N/A</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2545</v>
      </c>
      <c r="I12" s="2668" t="s">
        <v>2530</v>
      </c>
      <c r="J12" s="2669"/>
      <c r="K12" s="2686"/>
      <c r="L12" s="2671"/>
      <c r="M12" s="2687"/>
    </row>
    <row r="13" spans="1:37" ht="18" customHeight="1" thickTop="1">
      <c r="A13" s="2663">
        <v>2</v>
      </c>
      <c r="B13" s="2664" t="s">
        <v>921</v>
      </c>
      <c r="C13" s="692" t="e">
        <f ca="1">ROUND(C29*F13,0)</f>
        <v>#N/A</v>
      </c>
      <c r="D13" s="2665" t="s">
        <v>922</v>
      </c>
      <c r="E13" s="2665" t="s">
        <v>923</v>
      </c>
      <c r="F13" s="2666" t="e">
        <f ca="1">INDIRECT("'数据-取费表'!y"&amp;$G$1)</f>
        <v>#N/A</v>
      </c>
      <c r="G13" s="2286"/>
      <c r="H13" s="2663">
        <v>2</v>
      </c>
      <c r="I13" s="2664" t="s">
        <v>921</v>
      </c>
      <c r="J13" s="2618" t="e">
        <f ca="1">ROUND(J14*J15,0)</f>
        <v>#N/A</v>
      </c>
      <c r="K13" s="2673" t="s">
        <v>922</v>
      </c>
      <c r="L13" s="2684"/>
      <c r="M13" s="2685"/>
    </row>
    <row r="14" spans="1:37" ht="18" customHeight="1">
      <c r="A14" s="2436" t="s">
        <v>2370</v>
      </c>
      <c r="B14" s="684" t="s">
        <v>359</v>
      </c>
      <c r="C14" s="702" t="e">
        <f ca="1">INDIRECT("'数据-取费表'!m"&amp;$G$1)+INDIRECT("'数据-取费表'!t"&amp;$G$1)</f>
        <v>#N/A</v>
      </c>
      <c r="D14" s="2213" t="s">
        <v>924</v>
      </c>
      <c r="E14" s="2212"/>
      <c r="F14" s="703"/>
      <c r="G14" s="2286"/>
      <c r="H14" s="2436" t="s">
        <v>2373</v>
      </c>
      <c r="I14" s="684" t="s">
        <v>925</v>
      </c>
      <c r="J14" s="313" t="e">
        <f ca="1">C29</f>
        <v>#N/A</v>
      </c>
      <c r="K14" s="303"/>
      <c r="L14" s="700"/>
      <c r="M14" s="701"/>
    </row>
    <row r="15" spans="1:37" s="706" customFormat="1" ht="18" customHeight="1" thickBot="1">
      <c r="A15" s="2436" t="s">
        <v>2606</v>
      </c>
      <c r="B15" s="684" t="s">
        <v>360</v>
      </c>
      <c r="C15" s="313" t="e">
        <f ca="1">ROUND(C14*F15,0)</f>
        <v>#N/A</v>
      </c>
      <c r="D15" s="704" t="s">
        <v>926</v>
      </c>
      <c r="E15" s="704" t="s">
        <v>927</v>
      </c>
      <c r="F15" s="705">
        <f>'数据-取费表'!B33</f>
        <v>0.05</v>
      </c>
      <c r="G15" s="2287"/>
      <c r="H15" s="2675" t="s">
        <v>2380</v>
      </c>
      <c r="I15" s="2676" t="s">
        <v>923</v>
      </c>
      <c r="J15" s="2687" t="e">
        <f ca="1">INDIRECT("'数据-取费表'!ad"&amp;$G$1)</f>
        <v>#N/A</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t="e">
        <f ca="1">ROUND(INDIRECT("'数据-取费表'!m"&amp;$G$1)*F16,0)</f>
        <v>#N/A</v>
      </c>
      <c r="D16" s="684" t="s">
        <v>926</v>
      </c>
      <c r="E16" s="684" t="s">
        <v>927</v>
      </c>
      <c r="F16" s="707" t="e">
        <f ca="1">IF(INDIRECT("'数据-取费表'!c"&amp;$G$1)="住宅",'数据-取费表'!B34,0)</f>
        <v>#N/A</v>
      </c>
      <c r="G16" s="2286"/>
      <c r="H16" s="2663" t="s">
        <v>2338</v>
      </c>
      <c r="I16" s="2664" t="s">
        <v>928</v>
      </c>
      <c r="J16" s="692" t="e">
        <f ca="1">ROUND(J17+J22+J23+J24,0)</f>
        <v>#N/A</v>
      </c>
      <c r="K16" s="2673" t="s">
        <v>929</v>
      </c>
      <c r="L16" s="2674"/>
      <c r="M16" s="2625"/>
    </row>
    <row r="17" spans="1:37" s="706" customFormat="1" ht="18" customHeight="1">
      <c r="A17" s="2436" t="s">
        <v>2608</v>
      </c>
      <c r="B17" s="684" t="s">
        <v>362</v>
      </c>
      <c r="C17" s="313" t="e">
        <f ca="1">ROUND(F17*(F43+INDIRECT("'数据-取费表'!S"&amp;$G$1))/10000,0)</f>
        <v>#N/A</v>
      </c>
      <c r="D17" s="684" t="s">
        <v>930</v>
      </c>
      <c r="E17" s="684" t="s">
        <v>931</v>
      </c>
      <c r="F17" s="315">
        <f>'数据-取费表'!B35</f>
        <v>200</v>
      </c>
      <c r="G17" s="2287"/>
      <c r="H17" s="2436" t="s">
        <v>2373</v>
      </c>
      <c r="I17" s="684" t="s">
        <v>363</v>
      </c>
      <c r="J17" s="313" t="e">
        <f ca="1">ROUND(IF(项目基本情况!B11="自然人",J5*M17,J18+J19+J20),1)</f>
        <v>#N/A</v>
      </c>
      <c r="K17" s="2213" t="s">
        <v>932</v>
      </c>
      <c r="L17" s="2211"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t="e">
        <f ca="1">ROUND(C14*F18,0)</f>
        <v>#N/A</v>
      </c>
      <c r="D18" s="684" t="s">
        <v>926</v>
      </c>
      <c r="E18" s="684" t="s">
        <v>927</v>
      </c>
      <c r="F18" s="707">
        <f>'数据-取费表'!B36</f>
        <v>1.4999999999999999E-2</v>
      </c>
      <c r="G18" s="2287"/>
      <c r="H18" s="2436" t="s">
        <v>2370</v>
      </c>
      <c r="I18" s="684" t="s">
        <v>934</v>
      </c>
      <c r="J18" s="313" t="e">
        <f ca="1">ROUND(J5*M18/(1+'数据-取费表'!C42),2)</f>
        <v>#N/A</v>
      </c>
      <c r="K18" s="2211" t="s">
        <v>935</v>
      </c>
      <c r="L18" s="684" t="s">
        <v>927</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2540</v>
      </c>
      <c r="B19" s="684" t="s">
        <v>366</v>
      </c>
      <c r="C19" s="313" t="e">
        <f ca="1">SUM(C14:C18)</f>
        <v>#N/A</v>
      </c>
      <c r="D19" s="471" t="s">
        <v>936</v>
      </c>
      <c r="E19" s="2221"/>
      <c r="F19" s="315"/>
      <c r="G19" s="2286"/>
      <c r="H19" s="2436" t="s">
        <v>2606</v>
      </c>
      <c r="I19" s="684" t="s">
        <v>937</v>
      </c>
      <c r="J19" s="313" t="e">
        <f ca="1">IF(K19="按租金收入计税",ROUND(J5*M19,2),ROUND(C29*M19*0.7,2))</f>
        <v>#N/A</v>
      </c>
      <c r="K19" s="1301" t="s">
        <v>2413</v>
      </c>
      <c r="L19" s="684" t="s">
        <v>927</v>
      </c>
      <c r="M19" s="707">
        <f>IF(K19="按租金收入计税",'数据-取费表'!B51,'数据-取费表'!B50)</f>
        <v>1.2E-2</v>
      </c>
    </row>
    <row r="20" spans="1:37" s="706" customFormat="1" ht="18" customHeight="1">
      <c r="A20" s="2436" t="s">
        <v>2610</v>
      </c>
      <c r="B20" s="684" t="s">
        <v>367</v>
      </c>
      <c r="C20" s="313" t="e">
        <f ca="1">ROUND(C19*F20,0)</f>
        <v>#N/A</v>
      </c>
      <c r="D20" s="709" t="s">
        <v>938</v>
      </c>
      <c r="E20" s="684" t="s">
        <v>927</v>
      </c>
      <c r="F20" s="707">
        <f>'数据-取费表'!B37</f>
        <v>0.02</v>
      </c>
      <c r="G20" s="2287"/>
      <c r="H20" s="2436" t="s">
        <v>2607</v>
      </c>
      <c r="I20" s="496" t="s">
        <v>939</v>
      </c>
      <c r="J20" s="314" t="e">
        <f ca="1">ROUND(M20*M21/10000,2)</f>
        <v>#N/A</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71</v>
      </c>
      <c r="D21" s="709" t="s">
        <v>943</v>
      </c>
      <c r="E21" s="684" t="s">
        <v>944</v>
      </c>
      <c r="F21" s="707">
        <f>'数据-取费表'!B38</f>
        <v>0.02</v>
      </c>
      <c r="G21" s="2287"/>
      <c r="H21" s="712"/>
      <c r="I21" s="693"/>
      <c r="J21" s="318"/>
      <c r="K21" s="713"/>
      <c r="L21" s="684" t="s">
        <v>945</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2221"/>
      <c r="F22" s="315"/>
      <c r="G22" s="2286"/>
      <c r="H22" s="2436" t="s">
        <v>2380</v>
      </c>
      <c r="I22" s="684" t="s">
        <v>947</v>
      </c>
      <c r="J22" s="313" t="e">
        <f ca="1">ROUND(J14*M22,1)</f>
        <v>#N/A</v>
      </c>
      <c r="K22" s="2211" t="s">
        <v>948</v>
      </c>
      <c r="L22" s="684" t="s">
        <v>927</v>
      </c>
      <c r="M22" s="714" t="e">
        <f ca="1">INDIRECT("'数据-取费表'!Ak"&amp;$G$1)</f>
        <v>#N/A</v>
      </c>
    </row>
    <row r="23" spans="1:37" s="706" customFormat="1" ht="18" customHeight="1">
      <c r="A23" s="2436" t="s">
        <v>2370</v>
      </c>
      <c r="B23" s="684" t="s">
        <v>2526</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t="e">
        <f ca="1">ROUND(J13*M23,1)</f>
        <v>#N/A</v>
      </c>
      <c r="K23" s="2211" t="s">
        <v>950</v>
      </c>
      <c r="L23" s="684" t="s">
        <v>927</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t="e">
        <f ca="1">ROUND(J5*M24,1)</f>
        <v>#N/A</v>
      </c>
      <c r="K24" s="2678" t="s">
        <v>953</v>
      </c>
      <c r="L24" s="2676" t="s">
        <v>927</v>
      </c>
      <c r="M24" s="2672"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2221"/>
      <c r="F25" s="315"/>
      <c r="G25" s="2286"/>
      <c r="H25" s="2663" t="s">
        <v>2353</v>
      </c>
      <c r="I25" s="2680" t="s">
        <v>955</v>
      </c>
      <c r="J25" s="692" t="e">
        <f ca="1">J5-J16</f>
        <v>#N/A</v>
      </c>
      <c r="K25" s="2681" t="s">
        <v>956</v>
      </c>
      <c r="L25" s="2682"/>
      <c r="M25" s="2683"/>
    </row>
    <row r="26" spans="1:37" ht="18" customHeight="1">
      <c r="A26" s="2436" t="s">
        <v>2370</v>
      </c>
      <c r="B26" s="684" t="s">
        <v>2527</v>
      </c>
      <c r="C26" s="313" t="e">
        <f ca="1">ROUND((C19+C20)*F26,0)</f>
        <v>#N/A</v>
      </c>
      <c r="D26" s="709" t="s">
        <v>957</v>
      </c>
      <c r="E26" s="695" t="s">
        <v>958</v>
      </c>
      <c r="F26" s="694" t="e">
        <f ca="1">INDIRECT("'数据-取费表'!q"&amp;$G$1)</f>
        <v>#N/A</v>
      </c>
      <c r="G26" s="2286"/>
      <c r="H26" s="681" t="s">
        <v>2356</v>
      </c>
      <c r="I26" s="682" t="s">
        <v>959</v>
      </c>
      <c r="J26" s="683" t="e">
        <f ca="1">IF(J5&lt;&gt;0,ROUND(J25*(1-((1+M28)/(1+M26))^M27)/(M26-M28),0),0)</f>
        <v>#N/A</v>
      </c>
      <c r="K26" s="710" t="s">
        <v>960</v>
      </c>
      <c r="L26" s="684" t="s">
        <v>966</v>
      </c>
      <c r="M26" s="694" t="e">
        <f ca="1">INDIRECT("'数据-取费表'!I"&amp;$G$1)</f>
        <v>#N/A</v>
      </c>
    </row>
    <row r="27" spans="1:37" ht="18" customHeight="1">
      <c r="A27" s="2436" t="s">
        <v>2376</v>
      </c>
      <c r="B27" s="684" t="s">
        <v>375</v>
      </c>
      <c r="C27" s="313" t="e">
        <f ca="1">ROUND(F21*F26,4)</f>
        <v>#N/A</v>
      </c>
      <c r="D27" s="709" t="s">
        <v>961</v>
      </c>
      <c r="E27" s="704"/>
      <c r="F27" s="705"/>
      <c r="G27" s="2286"/>
      <c r="H27" s="686"/>
      <c r="I27" s="687"/>
      <c r="J27" s="688"/>
      <c r="K27" s="718" t="s">
        <v>962</v>
      </c>
      <c r="L27" s="684" t="s">
        <v>967</v>
      </c>
      <c r="M27" s="719" t="e">
        <f ca="1">INDIRECT("'数据-取费表'!ag"&amp;$G$1)</f>
        <v>#N/A</v>
      </c>
    </row>
    <row r="28" spans="1:37" s="706" customFormat="1" ht="18" customHeight="1">
      <c r="A28" s="2436" t="s">
        <v>2378</v>
      </c>
      <c r="B28" s="684" t="s">
        <v>376</v>
      </c>
      <c r="C28" s="313">
        <f>ROUND(F28/(1+'数据-取费表'!C42),4)</f>
        <v>5.33E-2</v>
      </c>
      <c r="D28" s="709" t="s">
        <v>968</v>
      </c>
      <c r="E28" s="684" t="s">
        <v>927</v>
      </c>
      <c r="F28" s="707">
        <f>'数据-取费表'!B41</f>
        <v>5.6000000000000001E-2</v>
      </c>
      <c r="G28" s="2287"/>
      <c r="H28" s="690"/>
      <c r="I28" s="691"/>
      <c r="J28" s="692"/>
      <c r="K28" s="713"/>
      <c r="L28" s="684" t="s">
        <v>969</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t="e">
        <f ca="1">ROUND((C19+C20+C23+C26)/(1-F21-C24-C27-C28),0)</f>
        <v>#N/A</v>
      </c>
      <c r="D29" s="2678"/>
      <c r="E29" s="2676"/>
      <c r="F29" s="2679"/>
      <c r="G29" s="2287"/>
      <c r="H29" s="720" t="s">
        <v>2363</v>
      </c>
      <c r="I29" s="721" t="s">
        <v>963</v>
      </c>
      <c r="J29" s="722" t="e">
        <f ca="1">ROUND(J26/(1+F40)^F41,0)</f>
        <v>#N/A</v>
      </c>
      <c r="K29" s="723" t="s">
        <v>964</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t="e">
        <f ca="1">ROUND(C31+C36+C37+C38,0)</f>
        <v>#N/A</v>
      </c>
      <c r="D30" s="2673" t="s">
        <v>929</v>
      </c>
      <c r="E30" s="2674"/>
      <c r="F30" s="2625"/>
      <c r="G30" s="2286"/>
      <c r="H30" s="1278"/>
      <c r="I30" s="1279"/>
      <c r="J30" s="1280"/>
      <c r="K30" s="1281"/>
      <c r="L30" s="1282"/>
      <c r="M30" s="1283"/>
    </row>
    <row r="31" spans="1:37" ht="18" customHeight="1">
      <c r="A31" s="2436" t="s">
        <v>2540</v>
      </c>
      <c r="B31" s="684" t="s">
        <v>363</v>
      </c>
      <c r="C31" s="313" t="e">
        <f ca="1">ROUND(IF(项目基本情况!B11="自然人",C5*F31,C32+C33+C34),1)</f>
        <v>#N/A</v>
      </c>
      <c r="D31" s="2213" t="s">
        <v>932</v>
      </c>
      <c r="E31" s="2211"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2605</v>
      </c>
      <c r="B32" s="684" t="s">
        <v>934</v>
      </c>
      <c r="C32" s="313" t="e">
        <f ca="1">IF(项目基本情况!B11="自然人","——",ROUND(C5*F32/(1+'数据-取费表'!C42),2))</f>
        <v>#N/A</v>
      </c>
      <c r="D32" s="2211" t="s">
        <v>935</v>
      </c>
      <c r="E32" s="684" t="s">
        <v>927</v>
      </c>
      <c r="F32" s="717">
        <f>'数据-取费表'!B41</f>
        <v>5.6000000000000001E-2</v>
      </c>
      <c r="G32" s="2286"/>
      <c r="H32" s="1284"/>
      <c r="I32" s="1285"/>
      <c r="J32" s="1286"/>
      <c r="K32" s="1287"/>
      <c r="L32" s="1288"/>
      <c r="M32" s="1289"/>
    </row>
    <row r="33" spans="1:18" ht="18" customHeight="1">
      <c r="A33" s="2436" t="s">
        <v>2606</v>
      </c>
      <c r="B33" s="684" t="s">
        <v>937</v>
      </c>
      <c r="C33" s="313" t="e">
        <f ca="1">IF(项目基本情况!B11="自然人","——",IF(D33="按租金收入计税",ROUND(C5*F33,2),IF(D33="按房产原值计税",ROUND(C29*F33*0.7,2),INDIRECT("'数据-取费表'!Aj"&amp;$G$1))))</f>
        <v>#N/A</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972</v>
      </c>
      <c r="C34" s="314" t="e">
        <f ca="1">IF(项目基本情况!B11="自然人","——",ROUND(F34*F35/10000,2))</f>
        <v>#N/A</v>
      </c>
      <c r="D34" s="710" t="s">
        <v>973</v>
      </c>
      <c r="E34" s="684" t="s">
        <v>974</v>
      </c>
      <c r="F34" s="711">
        <f>'数据-取费表'!B52</f>
        <v>18</v>
      </c>
      <c r="G34" s="2286"/>
      <c r="H34" s="1278"/>
      <c r="I34" s="2878"/>
      <c r="J34" s="2879"/>
      <c r="K34" s="1292"/>
      <c r="L34" s="1293"/>
      <c r="M34" s="1293"/>
    </row>
    <row r="35" spans="1:18" ht="18" customHeight="1">
      <c r="A35" s="2693"/>
      <c r="B35" s="2691"/>
      <c r="C35" s="318"/>
      <c r="D35" s="713"/>
      <c r="E35" s="684" t="s">
        <v>945</v>
      </c>
      <c r="F35" s="685" t="e">
        <f ca="1">INDIRECT("'数据-取费表'!r"&amp;$G$1)</f>
        <v>#N/A</v>
      </c>
      <c r="G35" s="2286"/>
      <c r="H35" s="1278"/>
      <c r="I35" s="2878"/>
      <c r="J35" s="2879"/>
      <c r="K35" s="1291"/>
      <c r="L35" s="1290"/>
      <c r="M35" s="1290"/>
    </row>
    <row r="36" spans="1:18" ht="18" customHeight="1">
      <c r="A36" s="2692" t="s">
        <v>2380</v>
      </c>
      <c r="B36" s="684" t="s">
        <v>947</v>
      </c>
      <c r="C36" s="313" t="e">
        <f ca="1">ROUND(C29*F36,1)</f>
        <v>#N/A</v>
      </c>
      <c r="D36" s="2211" t="s">
        <v>977</v>
      </c>
      <c r="E36" s="684" t="s">
        <v>978</v>
      </c>
      <c r="F36" s="714" t="e">
        <f ca="1">INDIRECT("'数据-取费表'!Ak"&amp;$G$1)</f>
        <v>#N/A</v>
      </c>
      <c r="G36" s="2286"/>
      <c r="H36" s="1290"/>
      <c r="I36" s="2878"/>
      <c r="J36" s="2879"/>
      <c r="K36" s="1294"/>
      <c r="L36" s="1290"/>
      <c r="M36" s="1290"/>
    </row>
    <row r="37" spans="1:18" ht="18" customHeight="1">
      <c r="A37" s="2436" t="s">
        <v>2611</v>
      </c>
      <c r="B37" s="684" t="s">
        <v>368</v>
      </c>
      <c r="C37" s="313" t="e">
        <f ca="1">ROUND(C13*F37,1)</f>
        <v>#N/A</v>
      </c>
      <c r="D37" s="2211" t="s">
        <v>369</v>
      </c>
      <c r="E37" s="684" t="s">
        <v>370</v>
      </c>
      <c r="F37" s="716" t="e">
        <f ca="1">INDIRECT("'数据-取费表'!Al"&amp;$G$1)</f>
        <v>#N/A</v>
      </c>
      <c r="G37" s="2286"/>
      <c r="H37" s="1290"/>
      <c r="I37" s="2878"/>
      <c r="J37" s="2879"/>
      <c r="K37" s="1294"/>
      <c r="L37" s="1290"/>
      <c r="M37" s="1290"/>
    </row>
    <row r="38" spans="1:18" ht="18" customHeight="1" thickBot="1">
      <c r="A38" s="2675" t="s">
        <v>2612</v>
      </c>
      <c r="B38" s="2676" t="s">
        <v>367</v>
      </c>
      <c r="C38" s="2677" t="e">
        <f ca="1">ROUND(C5*F38,1)</f>
        <v>#N/A</v>
      </c>
      <c r="D38" s="2678" t="s">
        <v>371</v>
      </c>
      <c r="E38" s="2676" t="s">
        <v>370</v>
      </c>
      <c r="F38" s="2672" t="e">
        <f ca="1">INDIRECT("'数据-取费表'!Am"&amp;$G$1)</f>
        <v>#N/A</v>
      </c>
      <c r="G38" s="2286"/>
      <c r="H38" s="1290"/>
      <c r="I38" s="2878"/>
      <c r="J38" s="2879"/>
      <c r="K38" s="1295"/>
      <c r="L38" s="1290"/>
      <c r="M38" s="1290"/>
    </row>
    <row r="39" spans="1:18" ht="24.6" customHeight="1" thickTop="1">
      <c r="A39" s="2663" t="s">
        <v>2353</v>
      </c>
      <c r="B39" s="2680" t="s">
        <v>377</v>
      </c>
      <c r="C39" s="692" t="e">
        <f ca="1">C5-C30</f>
        <v>#N/A</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#N/A</v>
      </c>
      <c r="D40" s="710" t="s">
        <v>373</v>
      </c>
      <c r="E40" s="684" t="s">
        <v>374</v>
      </c>
      <c r="F40" s="694" t="e">
        <f ca="1">INDIRECT("'数据-取费表'!I"&amp;$G$1)</f>
        <v>#N/A</v>
      </c>
      <c r="G40" s="2286"/>
      <c r="H40" s="1296"/>
      <c r="I40" s="2878"/>
      <c r="J40" s="2879"/>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6"/>
      <c r="H41" s="1192"/>
      <c r="I41" s="2878"/>
      <c r="J41" s="2879"/>
      <c r="K41" s="1294"/>
      <c r="L41" s="1192"/>
      <c r="M41" s="1192"/>
    </row>
    <row r="42" spans="1:18" ht="18" customHeight="1">
      <c r="A42" s="690"/>
      <c r="B42" s="691"/>
      <c r="C42" s="692"/>
      <c r="D42" s="713"/>
      <c r="E42" s="684" t="s">
        <v>382</v>
      </c>
      <c r="F42" s="694" t="e">
        <f ca="1">INDIRECT("'数据-取费表'!v"&amp;$G$1)</f>
        <v>#N/A</v>
      </c>
      <c r="G42" s="2286"/>
      <c r="H42" s="1192"/>
      <c r="I42" s="2878"/>
      <c r="J42" s="2879"/>
      <c r="K42" s="1294"/>
      <c r="L42" s="1192"/>
      <c r="M42" s="1192"/>
    </row>
    <row r="43" spans="1:18" ht="18" customHeight="1" thickBot="1">
      <c r="A43" s="720" t="s">
        <v>2363</v>
      </c>
      <c r="B43" s="721" t="s">
        <v>383</v>
      </c>
      <c r="C43" s="722" t="e">
        <f ca="1">ROUND(C40*10000/F43,0)</f>
        <v>#N/A</v>
      </c>
      <c r="D43" s="723" t="s">
        <v>384</v>
      </c>
      <c r="E43" s="724" t="s">
        <v>385</v>
      </c>
      <c r="F43" s="725" t="e">
        <f ca="1">INDIRECT("'数据-取费表'!k"&amp;$G$1)</f>
        <v>#N/A</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t="e">
        <f ca="1">C68-C40</f>
        <v>#N/A</v>
      </c>
      <c r="D46" s="2723" t="str">
        <f>C2</f>
        <v>万元</v>
      </c>
      <c r="E46" s="1433"/>
      <c r="F46" s="1433"/>
      <c r="I46" s="2575" t="s">
        <v>2421</v>
      </c>
      <c r="J46" s="2576"/>
      <c r="K46" s="2577"/>
      <c r="L46" s="2579" t="e">
        <f ca="1">IF(M47="住宅",0,IF(L48&gt;J51,L60,J60))</f>
        <v>#N/A</v>
      </c>
      <c r="O46" s="2591" t="s">
        <v>2464</v>
      </c>
      <c r="P46" s="2592" t="s">
        <v>2465</v>
      </c>
      <c r="Q46" s="2593" t="s">
        <v>2463</v>
      </c>
      <c r="R46" s="2593" t="s">
        <v>2466</v>
      </c>
    </row>
    <row r="47" spans="1:18" s="1455" customFormat="1" ht="15.75" thickBot="1">
      <c r="A47" s="2396" t="s">
        <v>2327</v>
      </c>
      <c r="B47" s="2432" t="s">
        <v>2328</v>
      </c>
      <c r="C47" s="2727" t="s">
        <v>2329</v>
      </c>
      <c r="D47" s="2432" t="s">
        <v>2330</v>
      </c>
      <c r="E47" s="2534" t="s">
        <v>2331</v>
      </c>
      <c r="F47" s="2535"/>
      <c r="G47" s="1457"/>
      <c r="I47" s="2550" t="s">
        <v>2414</v>
      </c>
      <c r="J47" s="2551" t="s">
        <v>3092</v>
      </c>
      <c r="K47" s="2560" t="s">
        <v>2437</v>
      </c>
      <c r="L47" s="2561" t="e">
        <f ca="1">INDIRECT("'数据-取费表'!d"&amp;$G$1)</f>
        <v>#N/A</v>
      </c>
      <c r="M47" s="2581" t="str">
        <f>IF(ISNUMBER(FIND("住宅",C1)),"住宅","非住宅")</f>
        <v>非住宅</v>
      </c>
      <c r="O47" s="2584" t="s">
        <v>2449</v>
      </c>
      <c r="P47" s="2594" t="s">
        <v>2467</v>
      </c>
      <c r="Q47" s="2585" t="e">
        <f ca="1">C40+J29</f>
        <v>#N/A</v>
      </c>
      <c r="R47" s="2585" t="s">
        <v>2468</v>
      </c>
    </row>
    <row r="48" spans="1:18" s="1455" customFormat="1" ht="47.25" thickBot="1">
      <c r="A48" s="2708" t="s">
        <v>2617</v>
      </c>
      <c r="B48" s="682" t="s">
        <v>2332</v>
      </c>
      <c r="C48" s="2718" t="e">
        <f ca="1">C49+C53+C55</f>
        <v>#N/A</v>
      </c>
      <c r="D48" s="2712"/>
      <c r="E48" s="2713"/>
      <c r="F48" s="2416"/>
      <c r="G48" s="1457"/>
      <c r="H48" s="1458"/>
      <c r="I48" s="2541" t="s">
        <v>2415</v>
      </c>
      <c r="J48" s="2552" t="s">
        <v>2416</v>
      </c>
      <c r="K48" s="2562" t="s">
        <v>2438</v>
      </c>
      <c r="L48" s="2166" t="e">
        <f ca="1">INDIRECT("'数据-取费表'!f"&amp;$G$1)</f>
        <v>#N/A</v>
      </c>
      <c r="O48" s="2584" t="s">
        <v>2450</v>
      </c>
      <c r="P48" s="2594" t="s">
        <v>2469</v>
      </c>
      <c r="Q48" s="2585" t="e">
        <f ca="1">J60</f>
        <v>#N/A</v>
      </c>
      <c r="R48" s="2585" t="s">
        <v>2477</v>
      </c>
    </row>
    <row r="49" spans="1:18" s="1455" customFormat="1" ht="15.75" thickBot="1">
      <c r="A49" s="2429" t="s">
        <v>2618</v>
      </c>
      <c r="B49" s="2711" t="s">
        <v>2620</v>
      </c>
      <c r="C49" s="2720" t="e">
        <f ca="1">ROUND(F49*F51*F50*(1-F52)/10000,0)</f>
        <v>#N/A</v>
      </c>
      <c r="D49" s="2530" t="s">
        <v>2333</v>
      </c>
      <c r="E49" s="2533" t="s">
        <v>2326</v>
      </c>
      <c r="F49" s="2536"/>
      <c r="G49" s="1459"/>
      <c r="H49" s="1458"/>
      <c r="I49" s="2541" t="s">
        <v>2435</v>
      </c>
      <c r="J49" s="2553">
        <v>1996</v>
      </c>
      <c r="K49" s="2563" t="s">
        <v>2440</v>
      </c>
      <c r="L49" s="2564"/>
      <c r="O49" s="2586" t="s">
        <v>2451</v>
      </c>
      <c r="P49" s="2594" t="s">
        <v>2470</v>
      </c>
      <c r="Q49" s="2585" t="e">
        <f ca="1">C29</f>
        <v>#N/A</v>
      </c>
      <c r="R49" s="2585" t="s">
        <v>2468</v>
      </c>
    </row>
    <row r="50" spans="1:18" s="1455" customFormat="1" ht="15.75" thickBot="1">
      <c r="A50" s="2430"/>
      <c r="B50" s="2433"/>
      <c r="C50" s="2728"/>
      <c r="D50" s="2403"/>
      <c r="E50" s="2531" t="s">
        <v>2334</v>
      </c>
      <c r="F50" s="2532" t="e">
        <f ca="1">F7</f>
        <v>#N/A</v>
      </c>
      <c r="H50" s="1458"/>
      <c r="I50" s="2541" t="s">
        <v>2417</v>
      </c>
      <c r="J50" s="2554">
        <f>SUMPRODUCT((I63:I65=J47)*(J62:L62=J48)*(J63:L65))</f>
        <v>60</v>
      </c>
      <c r="K50" s="2563" t="s">
        <v>2441</v>
      </c>
      <c r="L50" s="2564"/>
      <c r="M50" s="2558"/>
      <c r="O50" s="2586" t="s">
        <v>2452</v>
      </c>
      <c r="P50" s="2594" t="s">
        <v>2478</v>
      </c>
      <c r="Q50" s="2587" t="e">
        <f ca="1">J58</f>
        <v>#N/A</v>
      </c>
      <c r="R50" s="2585"/>
    </row>
    <row r="51" spans="1:18" s="1455" customFormat="1" ht="15.75" thickBot="1">
      <c r="A51" s="2431"/>
      <c r="B51" s="2433"/>
      <c r="C51" s="2434"/>
      <c r="D51" s="2403"/>
      <c r="E51" s="2435" t="s">
        <v>2335</v>
      </c>
      <c r="F51" s="685" t="e">
        <f ca="1">F8</f>
        <v>#N/A</v>
      </c>
      <c r="I51" s="2555" t="s">
        <v>2422</v>
      </c>
      <c r="J51" s="2556">
        <f>IF(J49="",J50,J49+J50-YEAR('数据-取费表'!B2))</f>
        <v>39</v>
      </c>
      <c r="K51" s="2565" t="s">
        <v>2442</v>
      </c>
      <c r="L51" s="2578" t="e">
        <f ca="1">ROUND(-PV(INDIRECT("'数据-取费表'!h"&amp;$G$1),L48,(C39-C13*C76),0),0)</f>
        <v>#N/A</v>
      </c>
      <c r="M51" s="2559"/>
      <c r="O51" s="2586" t="s">
        <v>2453</v>
      </c>
      <c r="P51" s="2594" t="s">
        <v>2479</v>
      </c>
      <c r="Q51" s="2587">
        <f>J52</f>
        <v>0</v>
      </c>
      <c r="R51" s="2585"/>
    </row>
    <row r="52" spans="1:18" s="1455" customFormat="1" ht="15.75" thickBot="1">
      <c r="A52" s="2431"/>
      <c r="B52" s="2433"/>
      <c r="C52" s="2434"/>
      <c r="D52" s="2403"/>
      <c r="E52" s="2435" t="s">
        <v>2336</v>
      </c>
      <c r="F52" s="2529"/>
      <c r="I52" s="2557" t="s">
        <v>2445</v>
      </c>
      <c r="J52" s="2571"/>
      <c r="K52" s="2557" t="s">
        <v>2430</v>
      </c>
      <c r="L52" s="2571"/>
      <c r="M52" s="2395"/>
      <c r="O52" s="2586" t="s">
        <v>2454</v>
      </c>
      <c r="P52" s="2594" t="s">
        <v>2471</v>
      </c>
      <c r="Q52" s="2585" t="e">
        <f ca="1">J53</f>
        <v>#N/A</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t="e">
        <f ca="1">IF(M47="住宅",J51,MIN(J51,L48))</f>
        <v>#N/A</v>
      </c>
      <c r="K53" s="36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40"/>
      <c r="O53" s="2584" t="s">
        <v>2455</v>
      </c>
      <c r="P53" s="2594" t="s">
        <v>2473</v>
      </c>
      <c r="Q53" s="2585" t="e">
        <f ca="1">Q47+Q48</f>
        <v>#N/A</v>
      </c>
      <c r="R53" s="2585" t="s">
        <v>2456</v>
      </c>
    </row>
    <row r="54" spans="1:18" s="1455" customFormat="1" ht="16.5" thickBot="1">
      <c r="A54" s="2824"/>
      <c r="B54" s="2621" t="s">
        <v>2696</v>
      </c>
      <c r="C54" s="2413"/>
      <c r="D54" s="2631"/>
      <c r="E54" s="2775"/>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2707"/>
      <c r="F55" s="2537"/>
      <c r="I55" s="3313" t="s">
        <v>2423</v>
      </c>
      <c r="J55" s="3312" t="e">
        <f ca="1">ROUND(IF(J47="钢混",J57/J50,1-(1-2%)*(J50-J57)/J50),3)</f>
        <v>#N/A</v>
      </c>
      <c r="K55" s="2548" t="s">
        <v>2424</v>
      </c>
      <c r="L55" s="2570"/>
      <c r="O55" s="2591" t="s">
        <v>2464</v>
      </c>
      <c r="P55" s="2592" t="s">
        <v>2465</v>
      </c>
      <c r="Q55" s="2593" t="s">
        <v>2463</v>
      </c>
      <c r="R55" s="2593" t="s">
        <v>2466</v>
      </c>
    </row>
    <row r="56" spans="1:18" s="1455" customFormat="1" ht="44.25" thickTop="1" thickBot="1">
      <c r="A56" s="2407">
        <v>2</v>
      </c>
      <c r="B56" s="2408" t="s">
        <v>2337</v>
      </c>
      <c r="C56" s="608" t="e">
        <f ca="1">C13</f>
        <v>#N/A</v>
      </c>
      <c r="D56" s="2695"/>
      <c r="E56" s="2409"/>
      <c r="F56" s="2537"/>
      <c r="I56" s="2540" t="s">
        <v>2425</v>
      </c>
      <c r="J56" s="2569" t="s">
        <v>3053</v>
      </c>
      <c r="K56" s="2541" t="s">
        <v>2429</v>
      </c>
      <c r="L56" s="2166" t="e">
        <f ca="1">IF(L48&lt;J51,"——",L48-J51)</f>
        <v>#N/A</v>
      </c>
      <c r="O56" s="2584" t="s">
        <v>2449</v>
      </c>
      <c r="P56" s="2594" t="s">
        <v>2467</v>
      </c>
      <c r="Q56" s="2585" t="e">
        <f ca="1">C40+J29</f>
        <v>#N/A</v>
      </c>
      <c r="R56" s="2585" t="s">
        <v>2468</v>
      </c>
    </row>
    <row r="57" spans="1:18" s="1455" customFormat="1" ht="29.25" thickBot="1">
      <c r="A57" s="2538"/>
      <c r="B57" s="2400" t="s">
        <v>2367</v>
      </c>
      <c r="C57" s="614" t="e">
        <f ca="1">C29</f>
        <v>#N/A</v>
      </c>
      <c r="D57" s="2411"/>
      <c r="E57" s="2412"/>
      <c r="F57" s="2539"/>
      <c r="I57" s="2542" t="s">
        <v>2446</v>
      </c>
      <c r="J57" s="2546" t="e">
        <f ca="1">IF(OR(M47="住宅",J51&lt;L48,J56="是"),"——",J51-L48)</f>
        <v>#N/A</v>
      </c>
      <c r="K57" s="2541" t="s">
        <v>2899</v>
      </c>
      <c r="L57" s="2166" t="e">
        <f ca="1">IF(L48&lt;J51,"——",IF(L55="比较法",L49,IF(L55="基准地价",L50,L51)))</f>
        <v>#N/A</v>
      </c>
      <c r="O57" s="2584" t="s">
        <v>2450</v>
      </c>
      <c r="P57" s="2594" t="s">
        <v>2474</v>
      </c>
      <c r="Q57" s="2585" t="e">
        <f ca="1">L60</f>
        <v>#N/A</v>
      </c>
      <c r="R57" s="2585" t="s">
        <v>2489</v>
      </c>
    </row>
    <row r="58" spans="1:18" s="1455" customFormat="1" ht="29.25" thickBot="1">
      <c r="A58" s="697" t="s">
        <v>2338</v>
      </c>
      <c r="B58" s="2408" t="s">
        <v>2368</v>
      </c>
      <c r="C58" s="698" t="e">
        <f ca="1">ROUND(C59+C64+C65+C66,0)</f>
        <v>#N/A</v>
      </c>
      <c r="D58" s="2414" t="s">
        <v>2369</v>
      </c>
      <c r="E58" s="2415"/>
      <c r="F58" s="2416"/>
      <c r="I58" s="2542" t="s">
        <v>2426</v>
      </c>
      <c r="J58" s="3314" t="e">
        <f ca="1">IF(J55&lt;0.4,0.4,J55)</f>
        <v>#N/A</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t="e">
        <f ca="1">ROUND(IF(项目基本情况!B11="自然人",C48*F59,C60+C61+C62),1)</f>
        <v>#N/A</v>
      </c>
      <c r="D59" s="2417" t="s">
        <v>2339</v>
      </c>
      <c r="E59" s="2418" t="s">
        <v>2340</v>
      </c>
      <c r="F59" s="708" t="str">
        <f ca="1">IF(项目基本情况!B11="企业","",IF(INDIRECT("'数据-取费表'!c"&amp;$G$1)="住宅",5%,IF(F49*F50*F51/12/(1+'数据-取费表'!C42)&gt;20000,12%,7%)))</f>
        <v/>
      </c>
      <c r="I59" s="2542" t="s">
        <v>2427</v>
      </c>
      <c r="J59" s="2546" t="e">
        <f ca="1">IF(OR(M47="住宅",J51&lt;L48,J56="是"),"——",ROUND(C29*J58,0))</f>
        <v>#N/A</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2341</v>
      </c>
      <c r="C60" s="313" t="e">
        <f ca="1">IF(项目基本情况!B11="自然人","——",ROUND(C48*F60/(1+'数据-取费表'!C42),2))</f>
        <v>#N/A</v>
      </c>
      <c r="D60" s="2418" t="s">
        <v>2342</v>
      </c>
      <c r="E60" s="2400" t="s">
        <v>2343</v>
      </c>
      <c r="F60" s="717">
        <f t="shared" ref="F60:F66" si="0">F32</f>
        <v>5.6000000000000001E-2</v>
      </c>
      <c r="I60" s="2543" t="s">
        <v>2428</v>
      </c>
      <c r="J60" s="2547" t="e">
        <f ca="1">IF(OR(M47="住宅",J51&lt;L48,J56="是"),"0",ROUND(J59/(1+J52)^J53,0))</f>
        <v>#N/A</v>
      </c>
      <c r="K60" s="2549" t="s">
        <v>2431</v>
      </c>
      <c r="L60" s="2547" t="e">
        <f ca="1">IF(OR(M47="住宅",L48&lt;J51),0,ROUND(L57*(L58/L59-1),0))</f>
        <v>#N/A</v>
      </c>
      <c r="O60" s="2586" t="s">
        <v>2453</v>
      </c>
      <c r="P60" s="2594" t="s">
        <v>2483</v>
      </c>
      <c r="Q60" s="2585">
        <f ca="1">L58</f>
        <v>0</v>
      </c>
      <c r="R60" s="2585" t="s">
        <v>2458</v>
      </c>
    </row>
    <row r="61" spans="1:18" s="1455" customFormat="1" ht="20.25" thickBot="1">
      <c r="A61" s="2436" t="s">
        <v>2371</v>
      </c>
      <c r="B61" s="2400" t="s">
        <v>2344</v>
      </c>
      <c r="C61" s="313" t="e">
        <f ca="1">IF(项目基本情况!B11="自然人","——",IF(D61="按租金收入计税",ROUND(C48*F61,2),IF(D61="按房产原值计税",ROUND(C57*F61*0.7,2),INDIRECT("'数据-取费表'!Aj"&amp;$G$1))))</f>
        <v>#N/A</v>
      </c>
      <c r="D61" s="1301" t="s">
        <v>2413</v>
      </c>
      <c r="E61" s="2400" t="s">
        <v>2343</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2345</v>
      </c>
      <c r="C62" s="314" t="e">
        <f ca="1">IF(项目基本情况!B11="自然人","——",ROUND(F62*F63/10000,2))</f>
        <v>#N/A</v>
      </c>
      <c r="D62" s="2419" t="s">
        <v>2346</v>
      </c>
      <c r="E62" s="2400" t="s">
        <v>2347</v>
      </c>
      <c r="F62" s="711">
        <f t="shared" si="0"/>
        <v>18</v>
      </c>
      <c r="I62" s="2544" t="s">
        <v>2418</v>
      </c>
      <c r="J62" s="2545" t="s">
        <v>2419</v>
      </c>
      <c r="K62" s="2545" t="s">
        <v>2420</v>
      </c>
      <c r="L62" s="2545" t="s">
        <v>2416</v>
      </c>
      <c r="M62" s="3315" t="s">
        <v>3036</v>
      </c>
      <c r="O62" s="2584" t="s">
        <v>2455</v>
      </c>
      <c r="P62" s="2594" t="s">
        <v>2473</v>
      </c>
      <c r="Q62" s="2585" t="e">
        <f ca="1">Q56+Q57</f>
        <v>#N/A</v>
      </c>
      <c r="R62" s="2585" t="s">
        <v>2456</v>
      </c>
    </row>
    <row r="63" spans="1:18" s="1455" customFormat="1" ht="16.5" thickBot="1">
      <c r="A63" s="712"/>
      <c r="B63" s="2406"/>
      <c r="C63" s="318"/>
      <c r="D63" s="2420"/>
      <c r="E63" s="2400" t="s">
        <v>2348</v>
      </c>
      <c r="F63" s="685" t="e">
        <f t="shared" ca="1" si="0"/>
        <v>#N/A</v>
      </c>
      <c r="I63" s="2544" t="s">
        <v>2432</v>
      </c>
      <c r="J63" s="3318">
        <v>70</v>
      </c>
      <c r="K63" s="3318">
        <v>50</v>
      </c>
      <c r="L63" s="3318">
        <v>80</v>
      </c>
      <c r="M63" s="3316">
        <v>0.02</v>
      </c>
      <c r="O63" s="2588" t="s">
        <v>2487</v>
      </c>
      <c r="P63" s="1296"/>
      <c r="Q63" s="1296"/>
      <c r="R63" s="1296"/>
    </row>
    <row r="64" spans="1:18" s="1455" customFormat="1" ht="15.75" thickBot="1">
      <c r="A64" s="2436" t="s">
        <v>2380</v>
      </c>
      <c r="B64" s="2400" t="s">
        <v>2349</v>
      </c>
      <c r="C64" s="313" t="e">
        <f ca="1">ROUND(C57*F64,1)</f>
        <v>#N/A</v>
      </c>
      <c r="D64" s="2418" t="s">
        <v>2350</v>
      </c>
      <c r="E64" s="2400" t="s">
        <v>2343</v>
      </c>
      <c r="F64" s="714" t="e">
        <f t="shared" ca="1" si="0"/>
        <v>#N/A</v>
      </c>
      <c r="I64" s="2544" t="s">
        <v>2433</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t="e">
        <f ca="1">ROUND(C56*F65,1)</f>
        <v>#N/A</v>
      </c>
      <c r="D65" s="2418" t="s">
        <v>2351</v>
      </c>
      <c r="E65" s="2400" t="s">
        <v>2343</v>
      </c>
      <c r="F65" s="716" t="e">
        <f t="shared" ca="1" si="0"/>
        <v>#N/A</v>
      </c>
      <c r="I65" s="2544" t="s">
        <v>2434</v>
      </c>
      <c r="J65" s="3318">
        <v>40</v>
      </c>
      <c r="K65" s="3318">
        <v>30</v>
      </c>
      <c r="L65" s="3318">
        <v>50</v>
      </c>
      <c r="M65" s="3316">
        <v>0.02</v>
      </c>
      <c r="O65" s="2584" t="s">
        <v>2449</v>
      </c>
      <c r="P65" s="2594" t="s">
        <v>2467</v>
      </c>
      <c r="Q65" s="2585" t="e">
        <f ca="1">C40+J29</f>
        <v>#N/A</v>
      </c>
      <c r="R65" s="2585" t="s">
        <v>2468</v>
      </c>
    </row>
    <row r="66" spans="1:18" s="1455" customFormat="1" ht="20.25" thickBot="1">
      <c r="A66" s="2436" t="s">
        <v>2375</v>
      </c>
      <c r="B66" s="2400" t="s">
        <v>367</v>
      </c>
      <c r="C66" s="313" t="e">
        <f ca="1">ROUND(C48*F66,1)</f>
        <v>#N/A</v>
      </c>
      <c r="D66" s="2418" t="s">
        <v>2352</v>
      </c>
      <c r="E66" s="2400" t="s">
        <v>2343</v>
      </c>
      <c r="F66" s="694" t="e">
        <f t="shared" ca="1" si="0"/>
        <v>#N/A</v>
      </c>
      <c r="O66" s="2584" t="s">
        <v>2450</v>
      </c>
      <c r="P66" s="2594" t="s">
        <v>2474</v>
      </c>
      <c r="Q66" s="2585" t="e">
        <f ca="1">L60</f>
        <v>#N/A</v>
      </c>
      <c r="R66" s="2585" t="s">
        <v>2457</v>
      </c>
    </row>
    <row r="67" spans="1:18" s="1455" customFormat="1" ht="23.25" thickBot="1">
      <c r="A67" s="2407" t="s">
        <v>2353</v>
      </c>
      <c r="B67" s="2421" t="s">
        <v>2354</v>
      </c>
      <c r="C67" s="698" t="e">
        <f ca="1">C48-C58</f>
        <v>#N/A</v>
      </c>
      <c r="D67" s="2417" t="s">
        <v>2355</v>
      </c>
      <c r="E67" s="2422"/>
      <c r="F67" s="2423"/>
      <c r="O67" s="2586" t="s">
        <v>2451</v>
      </c>
      <c r="P67" s="2594" t="s">
        <v>2481</v>
      </c>
      <c r="Q67" s="2589" t="e">
        <f ca="1">L51</f>
        <v>#N/A</v>
      </c>
      <c r="R67" s="2590" t="s">
        <v>2491</v>
      </c>
    </row>
    <row r="68" spans="1:18" s="1455" customFormat="1" ht="20.25" thickBot="1">
      <c r="A68" s="2397" t="s">
        <v>2356</v>
      </c>
      <c r="B68" s="2398" t="s">
        <v>2357</v>
      </c>
      <c r="C68" s="683" t="e">
        <f ca="1">ROUND(C67*(1-((1+F70)/(1+F68))^F69)/(F68-F70),0)</f>
        <v>#N/A</v>
      </c>
      <c r="D68" s="2419" t="s">
        <v>2358</v>
      </c>
      <c r="E68" s="2400" t="s">
        <v>2359</v>
      </c>
      <c r="F68" s="694" t="e">
        <f ca="1">F40</f>
        <v>#N/A</v>
      </c>
      <c r="O68" s="2586" t="s">
        <v>2452</v>
      </c>
      <c r="P68" s="2595" t="s">
        <v>2485</v>
      </c>
      <c r="Q68" s="2585" t="e">
        <f ca="1">ROUND(Q69-Q70*Q71,0)</f>
        <v>#N/A</v>
      </c>
      <c r="R68" s="2585" t="s">
        <v>2490</v>
      </c>
    </row>
    <row r="69" spans="1:18" s="1455" customFormat="1" ht="15.75" thickBot="1">
      <c r="A69" s="2401"/>
      <c r="B69" s="2402"/>
      <c r="C69" s="688"/>
      <c r="D69" s="2424" t="s">
        <v>2360</v>
      </c>
      <c r="E69" s="2400" t="s">
        <v>2361</v>
      </c>
      <c r="F69" s="719" t="e">
        <f ca="1">F41</f>
        <v>#N/A</v>
      </c>
      <c r="O69" s="2586" t="s">
        <v>2460</v>
      </c>
      <c r="P69" s="2595" t="s">
        <v>2475</v>
      </c>
      <c r="Q69" s="2585" t="e">
        <f ca="1">C39</f>
        <v>#N/A</v>
      </c>
      <c r="R69" s="2585" t="s">
        <v>2468</v>
      </c>
    </row>
    <row r="70" spans="1:18" s="1455" customFormat="1" ht="15.75" thickBot="1">
      <c r="A70" s="2404"/>
      <c r="B70" s="2405"/>
      <c r="C70" s="692"/>
      <c r="D70" s="2420"/>
      <c r="E70" s="2400" t="s">
        <v>2362</v>
      </c>
      <c r="F70" s="2529"/>
      <c r="O70" s="2586" t="s">
        <v>2461</v>
      </c>
      <c r="P70" s="2595" t="s">
        <v>2476</v>
      </c>
      <c r="Q70" s="2585" t="e">
        <f ca="1">C13</f>
        <v>#N/A</v>
      </c>
      <c r="R70" s="2585" t="s">
        <v>2468</v>
      </c>
    </row>
    <row r="71" spans="1:18" s="1455" customFormat="1" ht="15.75" thickBot="1">
      <c r="A71" s="2425" t="s">
        <v>2363</v>
      </c>
      <c r="B71" s="2426" t="s">
        <v>2364</v>
      </c>
      <c r="C71" s="722" t="e">
        <f ca="1">ROUND(C68*10000/F71,0)</f>
        <v>#N/A</v>
      </c>
      <c r="D71" s="2427" t="s">
        <v>2365</v>
      </c>
      <c r="E71" s="2428" t="s">
        <v>2366</v>
      </c>
      <c r="F71" s="725" t="e">
        <f ca="1">F43</f>
        <v>#N/A</v>
      </c>
      <c r="I71" s="2395"/>
      <c r="K71" s="2395"/>
      <c r="O71" s="2586" t="s">
        <v>2462</v>
      </c>
      <c r="P71" s="2595" t="s">
        <v>2488</v>
      </c>
      <c r="Q71" s="2587" t="e">
        <f ca="1">C76</f>
        <v>#N/A</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t="e">
        <f ca="1">ROUND(C13*C76,0)</f>
        <v>#N/A</v>
      </c>
      <c r="D75" s="1455"/>
      <c r="E75" s="1455"/>
      <c r="F75" s="1455"/>
      <c r="K75" s="1456"/>
      <c r="L75" s="1455"/>
      <c r="O75" s="2584" t="s">
        <v>2455</v>
      </c>
      <c r="P75" s="2594" t="s">
        <v>2473</v>
      </c>
      <c r="Q75" s="2585" t="e">
        <f ca="1">Q65+Q66</f>
        <v>#N/A</v>
      </c>
      <c r="R75" s="2585" t="s">
        <v>2456</v>
      </c>
    </row>
    <row r="76" spans="1:18">
      <c r="B76" s="731" t="s">
        <v>976</v>
      </c>
      <c r="C76" s="732" t="e">
        <f ca="1">INDIRECT("'数据-取费表'!j"&amp;$G$1)</f>
        <v>#N/A</v>
      </c>
      <c r="I76" s="1455"/>
      <c r="J76" s="1455"/>
      <c r="K76" s="1456"/>
      <c r="L76" s="1455"/>
    </row>
    <row r="77" spans="1:18">
      <c r="B77" s="733" t="s">
        <v>979</v>
      </c>
      <c r="C77" s="734"/>
      <c r="I77" s="1455"/>
      <c r="J77" s="1455"/>
      <c r="K77" s="1456"/>
      <c r="L77" s="1455"/>
    </row>
    <row r="78" spans="1:18">
      <c r="B78" s="646" t="s">
        <v>2697</v>
      </c>
      <c r="C78" s="735"/>
    </row>
    <row r="79" spans="1:18">
      <c r="B79" s="2870" t="s">
        <v>2701</v>
      </c>
      <c r="C79" s="650" t="e">
        <f ca="1">1-C80</f>
        <v>#N/A</v>
      </c>
    </row>
    <row r="80" spans="1:18">
      <c r="B80" s="2870" t="s">
        <v>2700</v>
      </c>
      <c r="C80" s="650" t="e">
        <f ca="1">ROUND(C75/C39,3)</f>
        <v>#N/A</v>
      </c>
    </row>
    <row r="81" spans="2:3">
      <c r="B81" s="646" t="s">
        <v>387</v>
      </c>
      <c r="C81" s="647"/>
    </row>
    <row r="82" spans="2:3">
      <c r="B82" s="2869" t="s">
        <v>2699</v>
      </c>
      <c r="C82" s="651" t="e">
        <f ca="1">1-C83</f>
        <v>#N/A</v>
      </c>
    </row>
    <row r="83" spans="2:3">
      <c r="B83" s="2869" t="s">
        <v>2698</v>
      </c>
      <c r="C83" s="650"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c r="D1" s="1274"/>
      <c r="E1" s="2582" t="s">
        <v>538</v>
      </c>
      <c r="F1" s="2583">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1098</v>
      </c>
      <c r="D2" s="2721" t="e">
        <f ca="1">C40+J29+L46</f>
        <v>#DIV/0!</v>
      </c>
      <c r="E2" s="2572" t="s">
        <v>2621</v>
      </c>
      <c r="F2" s="1277"/>
      <c r="G2" s="2285"/>
      <c r="H2" s="1275"/>
      <c r="I2" s="1275"/>
      <c r="J2" s="1275"/>
      <c r="K2" s="1299"/>
      <c r="L2" s="1275"/>
      <c r="M2" s="1275"/>
    </row>
    <row r="3" spans="1:37" ht="18" customHeight="1" thickBot="1">
      <c r="A3" s="675" t="s">
        <v>346</v>
      </c>
      <c r="B3" s="1408">
        <f ca="1">IF(ISERROR(D2/F43),0,ROUND(D2/F43,0))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f ca="1">C6+C10+C12</f>
        <v>0</v>
      </c>
      <c r="D5" s="2633" t="s">
        <v>2535</v>
      </c>
      <c r="E5" s="2624"/>
      <c r="F5" s="2625"/>
      <c r="G5" s="2286"/>
      <c r="H5" s="681">
        <v>1</v>
      </c>
      <c r="I5" s="682" t="s">
        <v>2332</v>
      </c>
      <c r="J5" s="2623">
        <f ca="1">J6+J10+J12</f>
        <v>0</v>
      </c>
      <c r="K5" s="2626" t="s">
        <v>2535</v>
      </c>
      <c r="L5" s="2624"/>
      <c r="M5" s="2625"/>
    </row>
    <row r="6" spans="1:37" ht="18" customHeight="1">
      <c r="A6" s="2619" t="s">
        <v>2373</v>
      </c>
      <c r="B6" s="3636" t="s">
        <v>2534</v>
      </c>
      <c r="C6" s="2628">
        <f ca="1">ROUND(F6*F8*F7*(1-F9),0)</f>
        <v>0</v>
      </c>
      <c r="D6" s="2622" t="s">
        <v>2536</v>
      </c>
      <c r="E6" s="684" t="s">
        <v>917</v>
      </c>
      <c r="F6" s="685">
        <f ca="1">INDIRECT("'数据-取费表'!u"&amp;$G$1)</f>
        <v>0</v>
      </c>
      <c r="G6" s="2286"/>
      <c r="H6" s="2619" t="s">
        <v>2373</v>
      </c>
      <c r="I6" s="3636" t="s">
        <v>2534</v>
      </c>
      <c r="J6" s="683">
        <f ca="1">ROUND(M6*M8*M7*(1-M9),0)</f>
        <v>0</v>
      </c>
      <c r="K6" s="2622" t="s">
        <v>2536</v>
      </c>
      <c r="L6" s="684" t="s">
        <v>917</v>
      </c>
      <c r="M6" s="685">
        <f ca="1">INDIRECT("'数据-取费表'!z"&amp;$G$1)</f>
        <v>0</v>
      </c>
    </row>
    <row r="7" spans="1:37" ht="18" customHeight="1">
      <c r="A7" s="2627"/>
      <c r="B7" s="3637"/>
      <c r="C7" s="2629"/>
      <c r="D7" s="2059"/>
      <c r="E7" s="2630" t="s">
        <v>918</v>
      </c>
      <c r="F7" s="685">
        <f ca="1">IF(INDIRECT("'数据-取费表'!ah"&amp;$G$1)="",INDIRECT("'数据-取费表'!k"&amp;$G$1),INDIRECT("'数据-取费表'!ah"&amp;$G$1))</f>
        <v>0</v>
      </c>
      <c r="G7" s="2286"/>
      <c r="H7" s="686"/>
      <c r="I7" s="3637"/>
      <c r="J7" s="688"/>
      <c r="K7" s="689"/>
      <c r="L7" s="684" t="s">
        <v>918</v>
      </c>
      <c r="M7" s="685">
        <f ca="1">F7</f>
        <v>0</v>
      </c>
    </row>
    <row r="8" spans="1:37" ht="18" customHeight="1">
      <c r="A8" s="686"/>
      <c r="B8" s="3637"/>
      <c r="C8" s="688"/>
      <c r="D8" s="689"/>
      <c r="E8" s="684" t="s">
        <v>919</v>
      </c>
      <c r="F8" s="685">
        <f ca="1">INDIRECT("'数据-取费表'!ai"&amp;$G$1)</f>
        <v>0</v>
      </c>
      <c r="G8" s="2286"/>
      <c r="H8" s="686"/>
      <c r="I8" s="3637"/>
      <c r="J8" s="688"/>
      <c r="K8" s="689"/>
      <c r="L8" s="684" t="s">
        <v>919</v>
      </c>
      <c r="M8" s="685">
        <f ca="1">INDIRECT("'数据-取费表'!ai"&amp;$G$1)</f>
        <v>0</v>
      </c>
    </row>
    <row r="9" spans="1:37" ht="18" customHeight="1">
      <c r="A9" s="686"/>
      <c r="B9" s="3638"/>
      <c r="C9" s="688"/>
      <c r="D9" s="689"/>
      <c r="E9" s="684" t="s">
        <v>920</v>
      </c>
      <c r="F9" s="694">
        <f ca="1">INDIRECT("'数据-取费表'!w"&amp;$G$1)</f>
        <v>0</v>
      </c>
      <c r="G9" s="2286"/>
      <c r="H9" s="686"/>
      <c r="I9" s="3638"/>
      <c r="J9" s="688"/>
      <c r="K9" s="689"/>
      <c r="L9" s="695" t="s">
        <v>920</v>
      </c>
      <c r="M9" s="696">
        <f ca="1">INDIRECT("'数据-取费表'!ab"&amp;$G$1)</f>
        <v>0</v>
      </c>
    </row>
    <row r="10" spans="1:37" ht="18" customHeight="1">
      <c r="A10" s="2619" t="s">
        <v>2380</v>
      </c>
      <c r="B10" s="2620" t="s">
        <v>2529</v>
      </c>
      <c r="C10" s="698">
        <f ca="1">ROUND(IF(F10="押一",F6*F8*F7/12*F11,IF(F10="押二",F6*F8*F7/12*2*F11,IF(F10="押三",F6*F8*F7/12*3*F11,C11*F11))),0)</f>
        <v>0</v>
      </c>
      <c r="D10" s="2631" t="s">
        <v>2537</v>
      </c>
      <c r="E10" s="2095" t="s">
        <v>2531</v>
      </c>
      <c r="F10" s="2825"/>
      <c r="G10" s="2286"/>
      <c r="H10" s="2619" t="s">
        <v>2380</v>
      </c>
      <c r="I10" s="2620" t="s">
        <v>2529</v>
      </c>
      <c r="J10" s="683">
        <f ca="1">ROUND(IF(M10="押一",M6*M8*M7/12*M11,IF(M10="押二",M6*M8*M7/12*2*M11,IF(M10="押三",M6*M8*M7/12*3*M11,J11*M11))),0)</f>
        <v>0</v>
      </c>
      <c r="K10" s="2631" t="s">
        <v>2537</v>
      </c>
      <c r="L10" s="2095" t="s">
        <v>2531</v>
      </c>
      <c r="M10" s="2825" t="s">
        <v>2693</v>
      </c>
    </row>
    <row r="11" spans="1:37" ht="18" customHeight="1">
      <c r="A11" s="690"/>
      <c r="B11" s="2621" t="s">
        <v>2539</v>
      </c>
      <c r="C11" s="2413"/>
      <c r="D11" s="689"/>
      <c r="E11" s="2095" t="s">
        <v>2532</v>
      </c>
      <c r="F11" s="696">
        <f ca="1">'数据-取费表'!B39</f>
        <v>1.4999999999999999E-2</v>
      </c>
      <c r="G11" s="2286"/>
      <c r="H11" s="2632"/>
      <c r="I11" s="2621" t="s">
        <v>2694</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f ca="1">ROUND(C29*F13,0)</f>
        <v>0</v>
      </c>
      <c r="D13" s="2665" t="s">
        <v>922</v>
      </c>
      <c r="E13" s="2665" t="s">
        <v>923</v>
      </c>
      <c r="F13" s="2666">
        <f ca="1">INDIRECT("'数据-取费表'!y"&amp;$G$1)</f>
        <v>0</v>
      </c>
      <c r="G13" s="2286"/>
      <c r="H13" s="2663">
        <v>2</v>
      </c>
      <c r="I13" s="2664" t="s">
        <v>921</v>
      </c>
      <c r="J13" s="2618">
        <f ca="1">ROUND(J14*J15,0)</f>
        <v>0</v>
      </c>
      <c r="K13" s="2673" t="s">
        <v>922</v>
      </c>
      <c r="L13" s="2684"/>
      <c r="M13" s="2685"/>
    </row>
    <row r="14" spans="1:37" ht="18" customHeight="1">
      <c r="A14" s="2436" t="s">
        <v>2370</v>
      </c>
      <c r="B14" s="684" t="s">
        <v>359</v>
      </c>
      <c r="C14" s="702">
        <f ca="1">ROUND(INDIRECT("'数据-取费表'!l"&amp;$G$1)*F43+'数据-取费表'!L14*INDIRECT("'数据-取费表'!S"&amp;$G$1),0)</f>
        <v>0</v>
      </c>
      <c r="D14" s="2716" t="s">
        <v>924</v>
      </c>
      <c r="E14" s="2715"/>
      <c r="F14" s="703"/>
      <c r="G14" s="2286"/>
      <c r="H14" s="2436" t="s">
        <v>2373</v>
      </c>
      <c r="I14" s="684" t="s">
        <v>925</v>
      </c>
      <c r="J14" s="313">
        <f ca="1">C29</f>
        <v>0</v>
      </c>
      <c r="K14" s="303"/>
      <c r="L14" s="700"/>
      <c r="M14" s="701"/>
    </row>
    <row r="15" spans="1:37" s="706" customFormat="1" ht="18" customHeight="1" thickBot="1">
      <c r="A15" s="2436" t="s">
        <v>2606</v>
      </c>
      <c r="B15" s="684" t="s">
        <v>360</v>
      </c>
      <c r="C15" s="313">
        <f ca="1">ROUND(C14*F15,0)</f>
        <v>0</v>
      </c>
      <c r="D15" s="704" t="s">
        <v>926</v>
      </c>
      <c r="E15" s="704" t="s">
        <v>365</v>
      </c>
      <c r="F15" s="705">
        <f>'数据-取费表'!B33</f>
        <v>0.05</v>
      </c>
      <c r="G15" s="2287"/>
      <c r="H15" s="2675" t="s">
        <v>2380</v>
      </c>
      <c r="I15" s="2676" t="s">
        <v>923</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f ca="1">ROUND(INDIRECT("'数据-取费表'!l"&amp;$G$1)*F43*F16,0)</f>
        <v>0</v>
      </c>
      <c r="D16" s="684" t="s">
        <v>926</v>
      </c>
      <c r="E16" s="684" t="s">
        <v>365</v>
      </c>
      <c r="F16" s="707">
        <f ca="1">IF(INDIRECT("'数据-取费表'!c"&amp;$G$1)="住宅",'数据-取费表'!B34,0)</f>
        <v>0</v>
      </c>
      <c r="G16" s="2286"/>
      <c r="H16" s="2663" t="s">
        <v>2338</v>
      </c>
      <c r="I16" s="2664" t="s">
        <v>928</v>
      </c>
      <c r="J16" s="692">
        <f ca="1">ROUND(J17+J22+J23+J24,0)</f>
        <v>0</v>
      </c>
      <c r="K16" s="2673" t="s">
        <v>929</v>
      </c>
      <c r="L16" s="2674"/>
      <c r="M16" s="2625"/>
    </row>
    <row r="17" spans="1:37" s="706" customFormat="1" ht="18" customHeight="1">
      <c r="A17" s="2436" t="s">
        <v>2608</v>
      </c>
      <c r="B17" s="684" t="s">
        <v>362</v>
      </c>
      <c r="C17" s="313">
        <f ca="1">ROUND(F17*(F43+INDIRECT("'数据-取费表'!S"&amp;$G$1)),0)</f>
        <v>0</v>
      </c>
      <c r="D17" s="684" t="s">
        <v>930</v>
      </c>
      <c r="E17" s="684" t="s">
        <v>931</v>
      </c>
      <c r="F17" s="315">
        <f>'数据-取费表'!B35</f>
        <v>200</v>
      </c>
      <c r="G17" s="2287"/>
      <c r="H17" s="2436" t="s">
        <v>2373</v>
      </c>
      <c r="I17" s="684" t="s">
        <v>363</v>
      </c>
      <c r="J17" s="313">
        <f ca="1">ROUND(IF(项目基本情况!B11="自然人",J5*M17,J18+J19+J20),0)</f>
        <v>0</v>
      </c>
      <c r="K17" s="2716" t="s">
        <v>932</v>
      </c>
      <c r="L17" s="2717"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f ca="1">ROUND(C14*F18,0)</f>
        <v>0</v>
      </c>
      <c r="D18" s="684" t="s">
        <v>926</v>
      </c>
      <c r="E18" s="684" t="s">
        <v>365</v>
      </c>
      <c r="F18" s="707">
        <f>'数据-取费表'!B36</f>
        <v>1.4999999999999999E-2</v>
      </c>
      <c r="G18" s="2287"/>
      <c r="H18" s="2436" t="s">
        <v>2370</v>
      </c>
      <c r="I18" s="684" t="s">
        <v>934</v>
      </c>
      <c r="J18" s="313">
        <f ca="1">ROUND(J5*M18/(1+'数据-取费表'!C42),0)</f>
        <v>0</v>
      </c>
      <c r="K18" s="2717"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f ca="1">SUM(C14:C18)</f>
        <v>0</v>
      </c>
      <c r="D19" s="471" t="s">
        <v>936</v>
      </c>
      <c r="E19" s="2719"/>
      <c r="F19" s="315"/>
      <c r="G19" s="2286"/>
      <c r="H19" s="2436" t="s">
        <v>2606</v>
      </c>
      <c r="I19" s="684" t="s">
        <v>937</v>
      </c>
      <c r="J19" s="313">
        <f ca="1">IF(K19="按租金收入计税",ROUND(J5*M19,0),ROUND(C29*M19*0.7,0))</f>
        <v>0</v>
      </c>
      <c r="K19" s="1301" t="s">
        <v>2413</v>
      </c>
      <c r="L19" s="684" t="s">
        <v>365</v>
      </c>
      <c r="M19" s="707">
        <f>IF(K19="按租金收入计税",'数据-取费表'!B51,'数据-取费表'!B50)</f>
        <v>1.2E-2</v>
      </c>
    </row>
    <row r="20" spans="1:37" s="706" customFormat="1" ht="18" customHeight="1">
      <c r="A20" s="2436" t="s">
        <v>2610</v>
      </c>
      <c r="B20" s="684" t="s">
        <v>367</v>
      </c>
      <c r="C20" s="313">
        <f ca="1">ROUND(C19*F20,0)</f>
        <v>0</v>
      </c>
      <c r="D20" s="709" t="s">
        <v>938</v>
      </c>
      <c r="E20" s="684" t="s">
        <v>365</v>
      </c>
      <c r="F20" s="707">
        <f>'数据-取费表'!B37</f>
        <v>0.02</v>
      </c>
      <c r="G20" s="2287"/>
      <c r="H20" s="2436" t="s">
        <v>2607</v>
      </c>
      <c r="I20" s="496" t="s">
        <v>939</v>
      </c>
      <c r="J20" s="314">
        <f ca="1">ROUND(M20*M21,0)</f>
        <v>0</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2719"/>
      <c r="F22" s="315"/>
      <c r="G22" s="2286"/>
      <c r="H22" s="2436" t="s">
        <v>2380</v>
      </c>
      <c r="I22" s="684" t="s">
        <v>947</v>
      </c>
      <c r="J22" s="313">
        <f ca="1">ROUND(J14*M22,0)</f>
        <v>0</v>
      </c>
      <c r="K22" s="2717" t="s">
        <v>948</v>
      </c>
      <c r="L22" s="684" t="s">
        <v>365</v>
      </c>
      <c r="M22" s="714">
        <f ca="1">INDIRECT("'数据-取费表'!Ak"&amp;$G$1)</f>
        <v>0</v>
      </c>
    </row>
    <row r="23" spans="1:37" s="706" customFormat="1" ht="18" customHeight="1">
      <c r="A23" s="2436" t="s">
        <v>2370</v>
      </c>
      <c r="B23" s="684" t="s">
        <v>2526</v>
      </c>
      <c r="C23" s="313">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f ca="1">ROUND(J13*M23,0)</f>
        <v>0</v>
      </c>
      <c r="K23" s="2717"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f ca="1">ROUND(J5*M24,0)</f>
        <v>0</v>
      </c>
      <c r="K24" s="2678" t="s">
        <v>371</v>
      </c>
      <c r="L24" s="2676" t="s">
        <v>365</v>
      </c>
      <c r="M24" s="2672">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2719"/>
      <c r="F25" s="315"/>
      <c r="G25" s="2286"/>
      <c r="H25" s="2663" t="s">
        <v>2353</v>
      </c>
      <c r="I25" s="2680" t="s">
        <v>377</v>
      </c>
      <c r="J25" s="692">
        <f ca="1">J5-J16</f>
        <v>0</v>
      </c>
      <c r="K25" s="2681" t="s">
        <v>378</v>
      </c>
      <c r="L25" s="2682"/>
      <c r="M25" s="2683"/>
    </row>
    <row r="26" spans="1:37" ht="18" customHeight="1">
      <c r="A26" s="2436" t="s">
        <v>2370</v>
      </c>
      <c r="B26" s="684" t="s">
        <v>2527</v>
      </c>
      <c r="C26" s="313">
        <f ca="1">ROUND((C19+C20)*F26,0)</f>
        <v>0</v>
      </c>
      <c r="D26" s="709" t="s">
        <v>957</v>
      </c>
      <c r="E26" s="695" t="s">
        <v>958</v>
      </c>
      <c r="F26" s="694">
        <f ca="1">INDIRECT("'数据-取费表'!q"&amp;$G$1)</f>
        <v>0</v>
      </c>
      <c r="G26" s="2286"/>
      <c r="H26" s="681" t="s">
        <v>2356</v>
      </c>
      <c r="I26" s="682" t="s">
        <v>959</v>
      </c>
      <c r="J26" s="683">
        <f ca="1">IF(J5&lt;&gt;0,ROUND(J25*(1-((1+M28)/(1+M26))^M27)/(M26-M28),0),0)</f>
        <v>0</v>
      </c>
      <c r="K26" s="710" t="s">
        <v>373</v>
      </c>
      <c r="L26" s="684" t="s">
        <v>374</v>
      </c>
      <c r="M26" s="694">
        <f ca="1">INDIRECT("'数据-取费表'!I"&amp;$G$1)</f>
        <v>0</v>
      </c>
    </row>
    <row r="27" spans="1:37" ht="18" customHeight="1">
      <c r="A27" s="2436" t="s">
        <v>2376</v>
      </c>
      <c r="B27" s="684" t="s">
        <v>375</v>
      </c>
      <c r="C27" s="313">
        <f ca="1">ROUND(F21*F26,4)</f>
        <v>0</v>
      </c>
      <c r="D27" s="709" t="s">
        <v>961</v>
      </c>
      <c r="E27" s="704"/>
      <c r="F27" s="705"/>
      <c r="G27" s="2286"/>
      <c r="H27" s="686"/>
      <c r="I27" s="687"/>
      <c r="J27" s="688"/>
      <c r="K27" s="718" t="s">
        <v>962</v>
      </c>
      <c r="L27" s="684" t="s">
        <v>381</v>
      </c>
      <c r="M27" s="719">
        <f ca="1">INDIRECT("'数据-取费表'!ag"&amp;$G$1)</f>
        <v>0</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f ca="1">ROUND((C19+C20+C23+C26)/(1-F21-C24-C27-C28),0)</f>
        <v>0</v>
      </c>
      <c r="D29" s="2678"/>
      <c r="E29" s="2676"/>
      <c r="F29" s="2679"/>
      <c r="G29" s="2287"/>
      <c r="H29" s="720" t="s">
        <v>2363</v>
      </c>
      <c r="I29" s="721" t="s">
        <v>963</v>
      </c>
      <c r="J29" s="722">
        <f ca="1">ROUND(J26/(1+F40)^F41,0)</f>
        <v>0</v>
      </c>
      <c r="K29" s="723" t="s">
        <v>964</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f ca="1">ROUND(C31+C36+C37+C38,0)</f>
        <v>0</v>
      </c>
      <c r="D30" s="2673" t="s">
        <v>929</v>
      </c>
      <c r="E30" s="2674"/>
      <c r="F30" s="2625"/>
      <c r="G30" s="2286"/>
      <c r="H30" s="1278"/>
      <c r="I30" s="1279"/>
      <c r="J30" s="1280"/>
      <c r="K30" s="1281"/>
      <c r="L30" s="1282"/>
      <c r="M30" s="1283"/>
    </row>
    <row r="31" spans="1:37" ht="18" customHeight="1">
      <c r="A31" s="2436" t="s">
        <v>2373</v>
      </c>
      <c r="B31" s="684" t="s">
        <v>363</v>
      </c>
      <c r="C31" s="313">
        <f ca="1">ROUND(IF(项目基本情况!B11="自然人",C5*F31,C32+C33+C34),0)</f>
        <v>0</v>
      </c>
      <c r="D31" s="2716" t="s">
        <v>932</v>
      </c>
      <c r="E31" s="2717"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f ca="1">IF(项目基本情况!B11="自然人","——",ROUND(C5*F32/(1+'数据-取费表'!C42),0))</f>
        <v>0</v>
      </c>
      <c r="D32" s="2717"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f ca="1">IF(项目基本情况!B11="自然人","——",IF(D33="按租金收入计税",ROUND(C5*F33,0),IF(D33="按房产原值计税",ROUND(C29*F33*0.7,0),INDIRECT("'数据-取费表'!Aj"&amp;$G$1))))</f>
        <v>0</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f ca="1">IF(项目基本情况!B11="自然人","——",ROUND(F34*F35,))</f>
        <v>0</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f ca="1">INDIRECT("'数据-取费表'!r"&amp;$G$1)</f>
        <v>0</v>
      </c>
      <c r="G35" s="2286"/>
      <c r="H35" s="1278"/>
      <c r="I35" s="2878"/>
      <c r="J35" s="2879"/>
      <c r="K35" s="1291"/>
      <c r="L35" s="1290"/>
      <c r="M35" s="1290"/>
    </row>
    <row r="36" spans="1:18" ht="18" customHeight="1">
      <c r="A36" s="2692" t="s">
        <v>2380</v>
      </c>
      <c r="B36" s="684" t="s">
        <v>947</v>
      </c>
      <c r="C36" s="313">
        <f ca="1">ROUND(C29*F36,0)</f>
        <v>0</v>
      </c>
      <c r="D36" s="2717" t="s">
        <v>977</v>
      </c>
      <c r="E36" s="684" t="s">
        <v>365</v>
      </c>
      <c r="F36" s="714">
        <f ca="1">INDIRECT("'数据-取费表'!Ak"&amp;$G$1)</f>
        <v>0</v>
      </c>
      <c r="G36" s="2286"/>
      <c r="H36" s="1290"/>
      <c r="I36" s="2878"/>
      <c r="J36" s="2879"/>
      <c r="K36" s="1294"/>
      <c r="L36" s="1290"/>
      <c r="M36" s="1290"/>
    </row>
    <row r="37" spans="1:18" ht="18" customHeight="1">
      <c r="A37" s="2436" t="s">
        <v>2611</v>
      </c>
      <c r="B37" s="684" t="s">
        <v>368</v>
      </c>
      <c r="C37" s="313">
        <f ca="1">ROUND(C13*F37,0)</f>
        <v>0</v>
      </c>
      <c r="D37" s="2717" t="s">
        <v>369</v>
      </c>
      <c r="E37" s="684" t="s">
        <v>365</v>
      </c>
      <c r="F37" s="716">
        <f ca="1">INDIRECT("'数据-取费表'!Al"&amp;$G$1)</f>
        <v>0</v>
      </c>
      <c r="G37" s="2286"/>
      <c r="H37" s="1290"/>
      <c r="I37" s="2878"/>
      <c r="J37" s="2879"/>
      <c r="K37" s="1294"/>
      <c r="L37" s="1290"/>
      <c r="M37" s="1290"/>
    </row>
    <row r="38" spans="1:18" ht="18" customHeight="1" thickBot="1">
      <c r="A38" s="2675" t="s">
        <v>2612</v>
      </c>
      <c r="B38" s="2676" t="s">
        <v>367</v>
      </c>
      <c r="C38" s="2677">
        <f ca="1">ROUND(C5*F38,1)</f>
        <v>0</v>
      </c>
      <c r="D38" s="2678" t="s">
        <v>371</v>
      </c>
      <c r="E38" s="2676" t="s">
        <v>365</v>
      </c>
      <c r="F38" s="2672">
        <f ca="1">INDIRECT("'数据-取费表'!Am"&amp;$G$1)</f>
        <v>0</v>
      </c>
      <c r="G38" s="2286"/>
      <c r="H38" s="1290"/>
      <c r="I38" s="2878"/>
      <c r="J38" s="2879"/>
      <c r="K38" s="1295"/>
      <c r="L38" s="1290"/>
      <c r="M38" s="1290"/>
    </row>
    <row r="39" spans="1:18" ht="24.6" customHeight="1" thickTop="1">
      <c r="A39" s="2663" t="s">
        <v>2353</v>
      </c>
      <c r="B39" s="2680" t="s">
        <v>377</v>
      </c>
      <c r="C39" s="692">
        <f ca="1">C5-C30</f>
        <v>0</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#DIV/0!</v>
      </c>
      <c r="D40" s="710" t="s">
        <v>373</v>
      </c>
      <c r="E40" s="684" t="s">
        <v>374</v>
      </c>
      <c r="F40" s="694">
        <f ca="1">INDIRECT("'数据-取费表'!I"&amp;$G$1)</f>
        <v>0</v>
      </c>
      <c r="G40" s="2286"/>
      <c r="H40" s="1296"/>
      <c r="I40" s="2878"/>
      <c r="J40" s="2879"/>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6"/>
      <c r="H41" s="1192"/>
      <c r="I41" s="2878"/>
      <c r="J41" s="2879"/>
      <c r="K41" s="1294"/>
      <c r="L41" s="1192"/>
      <c r="M41" s="1192"/>
    </row>
    <row r="42" spans="1:18" ht="18" customHeight="1">
      <c r="A42" s="690"/>
      <c r="B42" s="691"/>
      <c r="C42" s="692"/>
      <c r="D42" s="713"/>
      <c r="E42" s="684" t="s">
        <v>382</v>
      </c>
      <c r="F42" s="694">
        <f ca="1">INDIRECT("'数据-取费表'!v"&amp;$G$1)</f>
        <v>0</v>
      </c>
      <c r="G42" s="2286"/>
      <c r="H42" s="1192"/>
      <c r="I42" s="2878"/>
      <c r="J42" s="2879"/>
      <c r="K42" s="1294"/>
      <c r="L42" s="1192"/>
      <c r="M42" s="1192"/>
    </row>
    <row r="43" spans="1:18" ht="18" customHeight="1" thickBot="1">
      <c r="A43" s="720" t="s">
        <v>2363</v>
      </c>
      <c r="B43" s="721" t="s">
        <v>383</v>
      </c>
      <c r="C43" s="722" t="e">
        <f ca="1">ROUND(C40/F43,0)</f>
        <v>#DIV/0!</v>
      </c>
      <c r="D43" s="723" t="s">
        <v>384</v>
      </c>
      <c r="E43" s="724" t="s">
        <v>385</v>
      </c>
      <c r="F43" s="725">
        <f ca="1">INDIRECT("'数据-取费表'!k"&amp;$G$1)</f>
        <v>0</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4" t="e">
        <f ca="1">C68-C40</f>
        <v>#DIV/0!</v>
      </c>
      <c r="D45" s="2725" t="s">
        <v>2622</v>
      </c>
      <c r="E45" s="1433"/>
      <c r="F45" s="1433"/>
      <c r="O45" s="2588" t="s">
        <v>2486</v>
      </c>
      <c r="P45" s="1296"/>
      <c r="Q45" s="1296"/>
      <c r="R45" s="1296"/>
    </row>
    <row r="46" spans="1:18" s="1455" customFormat="1" ht="21" thickBot="1">
      <c r="A46" s="2394" t="s">
        <v>2325</v>
      </c>
      <c r="B46" s="2395"/>
      <c r="C46" s="2722" t="e">
        <f ca="1">ROUND(C45/10000,0)</f>
        <v>#DIV/0!</v>
      </c>
      <c r="D46" s="2723" t="str">
        <f>C2</f>
        <v>万元</v>
      </c>
      <c r="I46" s="2575" t="s">
        <v>2421</v>
      </c>
      <c r="J46" s="2576"/>
      <c r="K46" s="2577"/>
      <c r="L46" s="2579" t="e">
        <f ca="1">IF(M47="住宅",0,IF(L48&gt;J51,L60,J60))</f>
        <v>#DIV/0!</v>
      </c>
      <c r="O46" s="2591" t="s">
        <v>2464</v>
      </c>
      <c r="P46" s="2592" t="s">
        <v>2465</v>
      </c>
      <c r="Q46" s="2593" t="s">
        <v>2463</v>
      </c>
      <c r="R46" s="2593" t="s">
        <v>2466</v>
      </c>
    </row>
    <row r="47" spans="1:18" s="1455" customFormat="1" ht="15.75" thickBot="1">
      <c r="A47" s="2396" t="s">
        <v>912</v>
      </c>
      <c r="B47" s="2432" t="s">
        <v>913</v>
      </c>
      <c r="C47" s="2432" t="s">
        <v>914</v>
      </c>
      <c r="D47" s="2432" t="s">
        <v>915</v>
      </c>
      <c r="E47" s="2534" t="s">
        <v>916</v>
      </c>
      <c r="F47" s="2535"/>
      <c r="G47" s="1457"/>
      <c r="I47" s="2550" t="s">
        <v>2414</v>
      </c>
      <c r="J47" s="2551"/>
      <c r="K47" s="2560" t="s">
        <v>2437</v>
      </c>
      <c r="L47" s="2561">
        <f ca="1">INDIRECT("'数据-取费表'!d"&amp;$G$1)</f>
        <v>0</v>
      </c>
      <c r="M47" s="2581" t="str">
        <f>IF(ISNUMBER(FIND("住宅",C1)),"住宅","非住宅")</f>
        <v>非住宅</v>
      </c>
      <c r="O47" s="2584" t="s">
        <v>2449</v>
      </c>
      <c r="P47" s="2594" t="s">
        <v>2467</v>
      </c>
      <c r="Q47" s="2585" t="e">
        <f ca="1">C40+J29</f>
        <v>#DIV/0!</v>
      </c>
      <c r="R47" s="2585" t="s">
        <v>2468</v>
      </c>
    </row>
    <row r="48" spans="1:18" s="1455" customFormat="1" ht="47.25" thickBot="1">
      <c r="A48" s="2708" t="s">
        <v>2617</v>
      </c>
      <c r="B48" s="682" t="s">
        <v>2332</v>
      </c>
      <c r="C48" s="2718">
        <f ca="1">C49+C53+C55</f>
        <v>0</v>
      </c>
      <c r="D48" s="2712"/>
      <c r="E48" s="2713"/>
      <c r="F48" s="2416"/>
      <c r="G48" s="1457"/>
      <c r="H48" s="1458"/>
      <c r="I48" s="2541" t="s">
        <v>2415</v>
      </c>
      <c r="J48" s="2552"/>
      <c r="K48" s="2562" t="s">
        <v>681</v>
      </c>
      <c r="L48" s="2166">
        <f ca="1">INDIRECT("'数据-取费表'!f"&amp;$G$1)</f>
        <v>0</v>
      </c>
      <c r="O48" s="2584" t="s">
        <v>2450</v>
      </c>
      <c r="P48" s="2594" t="s">
        <v>2469</v>
      </c>
      <c r="Q48" s="2585" t="e">
        <f ca="1">J60</f>
        <v>#DIV/0!</v>
      </c>
      <c r="R48" s="2585" t="s">
        <v>2477</v>
      </c>
    </row>
    <row r="49" spans="1:18" s="1455" customFormat="1" ht="15.75" thickBot="1">
      <c r="A49" s="2429" t="s">
        <v>2618</v>
      </c>
      <c r="B49" s="2711" t="s">
        <v>2620</v>
      </c>
      <c r="C49" s="2720">
        <f ca="1">ROUND(F49*F51*F50*(1-F52),0)</f>
        <v>0</v>
      </c>
      <c r="D49" s="2530" t="s">
        <v>2333</v>
      </c>
      <c r="E49" s="2533" t="s">
        <v>2326</v>
      </c>
      <c r="F49" s="2536"/>
      <c r="G49" s="1459"/>
      <c r="H49" s="1458"/>
      <c r="I49" s="2541" t="s">
        <v>2435</v>
      </c>
      <c r="J49" s="2553"/>
      <c r="K49" s="2563" t="s">
        <v>2440</v>
      </c>
      <c r="L49" s="2564"/>
      <c r="O49" s="2586" t="s">
        <v>2451</v>
      </c>
      <c r="P49" s="2594" t="s">
        <v>2470</v>
      </c>
      <c r="Q49" s="2585">
        <f ca="1">C29</f>
        <v>0</v>
      </c>
      <c r="R49" s="2585" t="s">
        <v>2468</v>
      </c>
    </row>
    <row r="50" spans="1:18" s="1455" customFormat="1" ht="15.75" thickBot="1">
      <c r="A50" s="2430"/>
      <c r="B50" s="2433"/>
      <c r="C50" s="2434"/>
      <c r="D50" s="2403"/>
      <c r="E50" s="2531" t="s">
        <v>918</v>
      </c>
      <c r="F50" s="2532">
        <f ca="1">F7</f>
        <v>0</v>
      </c>
      <c r="H50" s="1458"/>
      <c r="I50" s="2541" t="s">
        <v>2417</v>
      </c>
      <c r="J50" s="2554">
        <f>SUMPRODUCT((I63:I65=J47)*(J62:L62=J48)*(J63:L65))</f>
        <v>0</v>
      </c>
      <c r="K50" s="2563" t="s">
        <v>2441</v>
      </c>
      <c r="L50" s="2564"/>
      <c r="M50" s="2558"/>
      <c r="O50" s="2586" t="s">
        <v>2452</v>
      </c>
      <c r="P50" s="2594" t="s">
        <v>2478</v>
      </c>
      <c r="Q50" s="2587" t="e">
        <f ca="1">J58</f>
        <v>#DIV/0!</v>
      </c>
      <c r="R50" s="2585"/>
    </row>
    <row r="51" spans="1:18" s="1455" customFormat="1" ht="15.75" thickBot="1">
      <c r="A51" s="2431"/>
      <c r="B51" s="2433"/>
      <c r="C51" s="2434"/>
      <c r="D51" s="2403"/>
      <c r="E51" s="2435" t="s">
        <v>919</v>
      </c>
      <c r="F51" s="685">
        <f ca="1">F8</f>
        <v>0</v>
      </c>
      <c r="I51" s="2555" t="s">
        <v>2422</v>
      </c>
      <c r="J51" s="2556">
        <f>IF(J49="",J50,J49+J50-YEAR('数据-取费表'!B2))</f>
        <v>0</v>
      </c>
      <c r="K51" s="2565" t="s">
        <v>2442</v>
      </c>
      <c r="L51" s="2578">
        <f ca="1">ROUND(-PV(INDIRECT("'数据-取费表'!h"&amp;$G$1),L48,(C39-C13*C76),0),0)</f>
        <v>0</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f ca="1">J53</f>
        <v>0</v>
      </c>
      <c r="R52" s="2585" t="s">
        <v>2472</v>
      </c>
    </row>
    <row r="53" spans="1:18" s="1455" customFormat="1" ht="43.5" thickBot="1">
      <c r="A53" s="2709" t="s">
        <v>2619</v>
      </c>
      <c r="B53" s="2710" t="s">
        <v>2529</v>
      </c>
      <c r="C53" s="698">
        <f ca="1">ROUND(IF(F53="押一",F49*F51*F50/12*F11,IF(F53="押二",F49*F51*F50/12*2*F11,IF(F53="押三",F49*F51*F50/12*3*F11,C54*F11))),0)</f>
        <v>0</v>
      </c>
      <c r="D53" s="2631" t="s">
        <v>2537</v>
      </c>
      <c r="E53" s="2095" t="s">
        <v>2531</v>
      </c>
      <c r="F53" s="2825"/>
      <c r="I53" s="2567" t="s">
        <v>2447</v>
      </c>
      <c r="J53" s="2568">
        <f ca="1">IF(M47="住宅",J51,MIN(J51,L48))</f>
        <v>0</v>
      </c>
      <c r="K53" s="36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0"/>
      <c r="O53" s="2584" t="s">
        <v>2455</v>
      </c>
      <c r="P53" s="2594" t="s">
        <v>2473</v>
      </c>
      <c r="Q53" s="2585" t="e">
        <f ca="1">Q47+Q48</f>
        <v>#DIV/0!</v>
      </c>
      <c r="R53" s="2585" t="s">
        <v>2456</v>
      </c>
    </row>
    <row r="54" spans="1:18" s="1455" customFormat="1" ht="16.5" thickBot="1">
      <c r="A54" s="2429"/>
      <c r="B54" s="2822" t="s">
        <v>2694</v>
      </c>
      <c r="C54" s="2413"/>
      <c r="D54" s="2631"/>
      <c r="E54" s="2775"/>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2714"/>
      <c r="F55" s="2537"/>
      <c r="I55" s="3313" t="s">
        <v>2423</v>
      </c>
      <c r="J55" s="3312" t="e">
        <f ca="1">ROUND(IF(J47="钢混",J57/J50,1-(1-2%)*(J50-J57)/J50),3)</f>
        <v>#DIV/0!</v>
      </c>
      <c r="K55" s="2548" t="s">
        <v>2424</v>
      </c>
      <c r="L55" s="2570"/>
      <c r="O55" s="2591" t="s">
        <v>2464</v>
      </c>
      <c r="P55" s="2592" t="s">
        <v>2465</v>
      </c>
      <c r="Q55" s="2593" t="s">
        <v>2463</v>
      </c>
      <c r="R55" s="2593" t="s">
        <v>2466</v>
      </c>
    </row>
    <row r="56" spans="1:18" s="1455" customFormat="1" ht="44.25" thickTop="1" thickBot="1">
      <c r="A56" s="2407">
        <v>2</v>
      </c>
      <c r="B56" s="2408" t="s">
        <v>921</v>
      </c>
      <c r="C56" s="608">
        <f ca="1">C13</f>
        <v>0</v>
      </c>
      <c r="D56" s="2695"/>
      <c r="E56" s="2409"/>
      <c r="F56" s="2537"/>
      <c r="I56" s="2540" t="s">
        <v>2425</v>
      </c>
      <c r="J56" s="2569"/>
      <c r="K56" s="2541" t="s">
        <v>2429</v>
      </c>
      <c r="L56" s="2166">
        <f ca="1">IF(L48&lt;J51,"——",L48-J51)</f>
        <v>0</v>
      </c>
      <c r="O56" s="2584" t="s">
        <v>2449</v>
      </c>
      <c r="P56" s="2594" t="s">
        <v>2467</v>
      </c>
      <c r="Q56" s="2585" t="e">
        <f ca="1">C40+J29</f>
        <v>#DIV/0!</v>
      </c>
      <c r="R56" s="2585" t="s">
        <v>2468</v>
      </c>
    </row>
    <row r="57" spans="1:18" s="1455" customFormat="1" ht="29.25" thickBot="1">
      <c r="A57" s="2538"/>
      <c r="B57" s="2400" t="s">
        <v>970</v>
      </c>
      <c r="C57" s="614">
        <f ca="1">C29</f>
        <v>0</v>
      </c>
      <c r="D57" s="2411"/>
      <c r="E57" s="2412"/>
      <c r="F57" s="2539"/>
      <c r="I57" s="2542" t="s">
        <v>2446</v>
      </c>
      <c r="J57" s="2546">
        <f ca="1">IF(OR(M47="住宅",J51&lt;L48,J56="是"),"——",J51-L48)</f>
        <v>0</v>
      </c>
      <c r="K57" s="2541" t="s">
        <v>2439</v>
      </c>
      <c r="L57" s="2166">
        <f ca="1">IF(L48&lt;J51,"——",IF(L55="比较法",L49,IF(L55="基准地价",L50,L51)))</f>
        <v>0</v>
      </c>
      <c r="O57" s="2584" t="s">
        <v>2450</v>
      </c>
      <c r="P57" s="2594" t="s">
        <v>2474</v>
      </c>
      <c r="Q57" s="2585" t="e">
        <f ca="1">L60</f>
        <v>#DIV/0!</v>
      </c>
      <c r="R57" s="2585" t="s">
        <v>2489</v>
      </c>
    </row>
    <row r="58" spans="1:18" s="1455" customFormat="1" ht="29.25" thickBot="1">
      <c r="A58" s="697" t="s">
        <v>2338</v>
      </c>
      <c r="B58" s="2408" t="s">
        <v>928</v>
      </c>
      <c r="C58" s="698">
        <f ca="1">ROUND(C59+C64+C65+C66,0)</f>
        <v>0</v>
      </c>
      <c r="D58" s="2414" t="s">
        <v>929</v>
      </c>
      <c r="E58" s="2415"/>
      <c r="F58" s="2416"/>
      <c r="I58" s="2542" t="s">
        <v>2426</v>
      </c>
      <c r="J58" s="3314" t="e">
        <f ca="1">IF(J55&lt;0.4,0.4,J55)</f>
        <v>#DIV/0!</v>
      </c>
      <c r="K58" s="2565" t="s">
        <v>2448</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f ca="1">ROUND(IF(项目基本情况!B11="自然人",C48*F59,C60+C61+C62),0)</f>
        <v>0</v>
      </c>
      <c r="D59" s="2417" t="s">
        <v>932</v>
      </c>
      <c r="E59" s="2418" t="s">
        <v>933</v>
      </c>
      <c r="F59" s="708" t="str">
        <f ca="1">IF(项目基本情况!B11="企业","",IF(INDIRECT("'数据-取费表'!c"&amp;$G$1)="住宅",5%,IF(F49*F50*F51/12/(1+'数据-取费表'!C42)&gt;20000,12%,7%)))</f>
        <v/>
      </c>
      <c r="I59" s="2542" t="s">
        <v>2427</v>
      </c>
      <c r="J59" s="2546" t="e">
        <f ca="1">IF(OR(M47="住宅",J51&lt;L48,J56="是"),"——",ROUND(C29*J58,0))</f>
        <v>#DIV/0!</v>
      </c>
      <c r="K59" s="2565" t="s">
        <v>2436</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f ca="1">IF(项目基本情况!B11="自然人","——",ROUND(C48*F60/(1+'数据-取费表'!C42),0))</f>
        <v>0</v>
      </c>
      <c r="D60" s="2418" t="s">
        <v>935</v>
      </c>
      <c r="E60" s="2400" t="s">
        <v>365</v>
      </c>
      <c r="F60" s="717">
        <f t="shared" ref="F60:F66" si="0">F32</f>
        <v>5.6000000000000001E-2</v>
      </c>
      <c r="I60" s="2543" t="s">
        <v>2428</v>
      </c>
      <c r="J60" s="2547" t="e">
        <f ca="1">IF(OR(M47="住宅",J51&lt;L48,J56="是"),"0",ROUND(J59/(1+J52)^J53,0))</f>
        <v>#DIV/0!</v>
      </c>
      <c r="K60" s="2549" t="s">
        <v>2431</v>
      </c>
      <c r="L60" s="2547" t="e">
        <f ca="1">IF(OR(M47="住宅",L48&lt;J51),0,ROUND(L57*(L58/L59-1),0))</f>
        <v>#DIV/0!</v>
      </c>
      <c r="O60" s="2586" t="s">
        <v>2453</v>
      </c>
      <c r="P60" s="2594" t="s">
        <v>2483</v>
      </c>
      <c r="Q60" s="2585">
        <f ca="1">L58</f>
        <v>0</v>
      </c>
      <c r="R60" s="2585" t="s">
        <v>2458</v>
      </c>
    </row>
    <row r="61" spans="1:18" s="1455" customFormat="1" ht="20.25" thickBot="1">
      <c r="A61" s="2436" t="s">
        <v>2371</v>
      </c>
      <c r="B61" s="2400" t="s">
        <v>937</v>
      </c>
      <c r="C61" s="313">
        <f ca="1">IF(项目基本情况!B11="自然人","——",IF(D61="按租金收入计税",ROUND(C48*F61,0),IF(D61="按房产原值计税",ROUND(C57*F61*0.7,0),INDIRECT("'数据-取费表'!Aj"&amp;$G$1))))</f>
        <v>0</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f ca="1">IF(项目基本情况!B11="自然人","——",ROUND(F62*F63,0))</f>
        <v>0</v>
      </c>
      <c r="D62" s="2419" t="s">
        <v>940</v>
      </c>
      <c r="E62" s="2400" t="s">
        <v>941</v>
      </c>
      <c r="F62" s="711">
        <f t="shared" si="0"/>
        <v>18</v>
      </c>
      <c r="I62" s="2544" t="s">
        <v>2418</v>
      </c>
      <c r="J62" s="2545" t="s">
        <v>2419</v>
      </c>
      <c r="K62" s="2545" t="s">
        <v>2420</v>
      </c>
      <c r="L62" s="2545" t="s">
        <v>2416</v>
      </c>
      <c r="M62" s="3315" t="s">
        <v>3036</v>
      </c>
      <c r="O62" s="2584" t="s">
        <v>2455</v>
      </c>
      <c r="P62" s="2594" t="s">
        <v>2473</v>
      </c>
      <c r="Q62" s="2585" t="e">
        <f ca="1">Q56+Q57</f>
        <v>#DIV/0!</v>
      </c>
      <c r="R62" s="2585" t="s">
        <v>2456</v>
      </c>
    </row>
    <row r="63" spans="1:18" s="1455" customFormat="1" ht="16.5" thickBot="1">
      <c r="A63" s="712"/>
      <c r="B63" s="2406"/>
      <c r="C63" s="318"/>
      <c r="D63" s="2420"/>
      <c r="E63" s="2400" t="s">
        <v>945</v>
      </c>
      <c r="F63" s="685">
        <f t="shared" ca="1" si="0"/>
        <v>0</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f ca="1">ROUND(C57*F64,0)</f>
        <v>0</v>
      </c>
      <c r="D64" s="2418" t="s">
        <v>977</v>
      </c>
      <c r="E64" s="2400" t="s">
        <v>365</v>
      </c>
      <c r="F64" s="714">
        <f t="shared" ca="1" si="0"/>
        <v>0</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f ca="1">ROUND(C56*F65,0)</f>
        <v>0</v>
      </c>
      <c r="D65" s="2418" t="s">
        <v>369</v>
      </c>
      <c r="E65" s="2400" t="s">
        <v>365</v>
      </c>
      <c r="F65" s="716">
        <f t="shared" ca="1" si="0"/>
        <v>0</v>
      </c>
      <c r="I65" s="2544" t="s">
        <v>2434</v>
      </c>
      <c r="J65" s="3318">
        <v>40</v>
      </c>
      <c r="K65" s="3318">
        <v>30</v>
      </c>
      <c r="L65" s="3318">
        <v>50</v>
      </c>
      <c r="M65" s="3316">
        <v>0.02</v>
      </c>
      <c r="O65" s="2584" t="s">
        <v>2449</v>
      </c>
      <c r="P65" s="2594" t="s">
        <v>2467</v>
      </c>
      <c r="Q65" s="2585" t="e">
        <f ca="1">C40+J29</f>
        <v>#DIV/0!</v>
      </c>
      <c r="R65" s="2585" t="s">
        <v>2468</v>
      </c>
    </row>
    <row r="66" spans="1:18" s="1455" customFormat="1" ht="20.25" thickBot="1">
      <c r="A66" s="2436" t="s">
        <v>2375</v>
      </c>
      <c r="B66" s="2400" t="s">
        <v>367</v>
      </c>
      <c r="C66" s="313">
        <f ca="1">ROUND(C48*F66,0)</f>
        <v>0</v>
      </c>
      <c r="D66" s="2418" t="s">
        <v>371</v>
      </c>
      <c r="E66" s="2400" t="s">
        <v>365</v>
      </c>
      <c r="F66" s="694">
        <f t="shared" ca="1" si="0"/>
        <v>0</v>
      </c>
      <c r="O66" s="2584" t="s">
        <v>2450</v>
      </c>
      <c r="P66" s="2594" t="s">
        <v>2474</v>
      </c>
      <c r="Q66" s="2585" t="e">
        <f ca="1">L60</f>
        <v>#DIV/0!</v>
      </c>
      <c r="R66" s="2585" t="s">
        <v>2457</v>
      </c>
    </row>
    <row r="67" spans="1:18" s="1455" customFormat="1" ht="23.25" thickBot="1">
      <c r="A67" s="2407" t="s">
        <v>2353</v>
      </c>
      <c r="B67" s="2421" t="s">
        <v>377</v>
      </c>
      <c r="C67" s="698">
        <f ca="1">C48-C58</f>
        <v>0</v>
      </c>
      <c r="D67" s="2417" t="s">
        <v>378</v>
      </c>
      <c r="E67" s="2422"/>
      <c r="F67" s="2423"/>
      <c r="O67" s="2586" t="s">
        <v>2451</v>
      </c>
      <c r="P67" s="2594" t="s">
        <v>2481</v>
      </c>
      <c r="Q67" s="2589">
        <f ca="1">L51</f>
        <v>0</v>
      </c>
      <c r="R67" s="2590" t="s">
        <v>2491</v>
      </c>
    </row>
    <row r="68" spans="1:18" s="1455" customFormat="1" ht="20.25" thickBot="1">
      <c r="A68" s="2397" t="s">
        <v>2356</v>
      </c>
      <c r="B68" s="2398" t="s">
        <v>379</v>
      </c>
      <c r="C68" s="683" t="e">
        <f ca="1">ROUND(C67*(1-((1+F70)/(1+F68))^F69)/(F68-F70),0)</f>
        <v>#DIV/0!</v>
      </c>
      <c r="D68" s="2419" t="s">
        <v>373</v>
      </c>
      <c r="E68" s="2400" t="s">
        <v>374</v>
      </c>
      <c r="F68" s="694">
        <f ca="1">F40</f>
        <v>0</v>
      </c>
      <c r="O68" s="2586" t="s">
        <v>2452</v>
      </c>
      <c r="P68" s="2595" t="s">
        <v>2485</v>
      </c>
      <c r="Q68" s="2585">
        <f ca="1">ROUND(Q69-Q70*Q71,0)</f>
        <v>0</v>
      </c>
      <c r="R68" s="2585" t="s">
        <v>2490</v>
      </c>
    </row>
    <row r="69" spans="1:18" s="1455" customFormat="1" ht="15.75" thickBot="1">
      <c r="A69" s="2401"/>
      <c r="B69" s="2402"/>
      <c r="C69" s="688"/>
      <c r="D69" s="2424" t="s">
        <v>962</v>
      </c>
      <c r="E69" s="2400" t="s">
        <v>381</v>
      </c>
      <c r="F69" s="719">
        <f ca="1">F41</f>
        <v>0</v>
      </c>
      <c r="O69" s="2586" t="s">
        <v>2460</v>
      </c>
      <c r="P69" s="2595" t="s">
        <v>2475</v>
      </c>
      <c r="Q69" s="2585">
        <f ca="1">C39</f>
        <v>0</v>
      </c>
      <c r="R69" s="2585" t="s">
        <v>2468</v>
      </c>
    </row>
    <row r="70" spans="1:18" s="1455" customFormat="1" ht="15.75" thickBot="1">
      <c r="A70" s="2404"/>
      <c r="B70" s="2405"/>
      <c r="C70" s="692"/>
      <c r="D70" s="2420"/>
      <c r="E70" s="2400" t="s">
        <v>382</v>
      </c>
      <c r="F70" s="2529">
        <f ca="1">F42</f>
        <v>0</v>
      </c>
      <c r="O70" s="2586" t="s">
        <v>2461</v>
      </c>
      <c r="P70" s="2595" t="s">
        <v>2476</v>
      </c>
      <c r="Q70" s="2585">
        <f ca="1">C13</f>
        <v>0</v>
      </c>
      <c r="R70" s="2585" t="s">
        <v>2468</v>
      </c>
    </row>
    <row r="71" spans="1:18" s="1455" customFormat="1" ht="15.75" thickBot="1">
      <c r="A71" s="2425" t="s">
        <v>2363</v>
      </c>
      <c r="B71" s="2426" t="s">
        <v>383</v>
      </c>
      <c r="C71" s="722" t="e">
        <f ca="1">ROUND(C68/F71,0)</f>
        <v>#DIV/0!</v>
      </c>
      <c r="D71" s="2427" t="s">
        <v>384</v>
      </c>
      <c r="E71" s="2428" t="s">
        <v>385</v>
      </c>
      <c r="F71" s="725">
        <f ca="1">F43</f>
        <v>0</v>
      </c>
      <c r="I71" s="2395"/>
      <c r="K71" s="2395"/>
      <c r="O71" s="2586" t="s">
        <v>2462</v>
      </c>
      <c r="P71" s="2595" t="s">
        <v>2488</v>
      </c>
      <c r="Q71" s="2587">
        <f ca="1">C76</f>
        <v>0</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f ca="1">ROUND(C13*C76,0)</f>
        <v>0</v>
      </c>
      <c r="D75" s="1455"/>
      <c r="E75" s="1455"/>
      <c r="F75" s="1455"/>
      <c r="K75" s="1456"/>
      <c r="L75" s="1455"/>
      <c r="O75" s="2584" t="s">
        <v>2455</v>
      </c>
      <c r="P75" s="2594" t="s">
        <v>2473</v>
      </c>
      <c r="Q75" s="2585" t="e">
        <f ca="1">Q65+Q66</f>
        <v>#DIV/0!</v>
      </c>
      <c r="R75" s="2585" t="s">
        <v>2456</v>
      </c>
    </row>
    <row r="76" spans="1:18">
      <c r="B76" s="731" t="s">
        <v>976</v>
      </c>
      <c r="C76" s="732">
        <f ca="1">INDIRECT("'数据-取费表'!j"&amp;$G$1)</f>
        <v>0</v>
      </c>
      <c r="I76" s="1455"/>
      <c r="J76" s="1455"/>
      <c r="K76" s="1456"/>
      <c r="L76" s="1455"/>
    </row>
    <row r="77" spans="1:18">
      <c r="B77" s="733" t="s">
        <v>979</v>
      </c>
      <c r="C77" s="734"/>
      <c r="I77" s="1455"/>
      <c r="J77" s="1455"/>
      <c r="K77" s="1456"/>
      <c r="L77" s="1455"/>
    </row>
    <row r="78" spans="1:18">
      <c r="B78" s="646" t="s">
        <v>965</v>
      </c>
      <c r="C78" s="735"/>
    </row>
    <row r="79" spans="1:18">
      <c r="B79" s="2870" t="s">
        <v>2701</v>
      </c>
      <c r="C79" s="650" t="e">
        <f ca="1">1-C80</f>
        <v>#DIV/0!</v>
      </c>
    </row>
    <row r="80" spans="1:18">
      <c r="B80" s="2870" t="s">
        <v>2702</v>
      </c>
      <c r="C80" s="650" t="e">
        <f ca="1">ROUND(C75/C39,3)</f>
        <v>#DIV/0!</v>
      </c>
    </row>
    <row r="81" spans="2:3">
      <c r="B81" s="646" t="s">
        <v>387</v>
      </c>
      <c r="C81" s="647"/>
    </row>
    <row r="82" spans="2:3">
      <c r="B82" s="2869" t="s">
        <v>2699</v>
      </c>
      <c r="C82" s="651" t="e">
        <f ca="1">1-C83</f>
        <v>#DIV/0!</v>
      </c>
    </row>
    <row r="83" spans="2:3">
      <c r="B83" s="2869" t="s">
        <v>2698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2" sqref="F22"/>
    </sheetView>
  </sheetViews>
  <sheetFormatPr defaultRowHeight="13.5"/>
  <cols>
    <col min="1" max="1" width="23.625" customWidth="1"/>
    <col min="2" max="2" width="12" customWidth="1"/>
    <col min="4" max="4" width="14.125" customWidth="1"/>
    <col min="6" max="6" width="12.875" customWidth="1"/>
  </cols>
  <sheetData>
    <row r="1" spans="1:6" ht="20.25">
      <c r="A1" s="2780" t="s">
        <v>2672</v>
      </c>
      <c r="B1" s="2781"/>
      <c r="C1" s="2781"/>
      <c r="D1" s="2781"/>
      <c r="E1" s="2782"/>
    </row>
    <row r="2" spans="1:6" ht="14.25">
      <c r="A2" s="2783" t="s">
        <v>2673</v>
      </c>
      <c r="B2" s="2777">
        <f ca="1">SUMIF(B6:B13,"&lt;&gt;#ref!",B6:B13)</f>
        <v>6873</v>
      </c>
      <c r="C2" s="2778" t="s">
        <v>2670</v>
      </c>
      <c r="D2" s="2779" t="s">
        <v>2675</v>
      </c>
      <c r="E2" s="2787">
        <f>SUM(E6:E13)</f>
        <v>2099.0100000000002</v>
      </c>
    </row>
    <row r="3" spans="1:6" ht="14.25">
      <c r="A3" s="2783" t="s">
        <v>2674</v>
      </c>
      <c r="B3" s="2777">
        <f ca="1">ROUND(B2*10000/E2,0)</f>
        <v>32744</v>
      </c>
      <c r="C3" s="2778" t="s">
        <v>2671</v>
      </c>
      <c r="D3" s="2784"/>
      <c r="E3" s="2788"/>
    </row>
    <row r="4" spans="1:6" ht="14.25">
      <c r="A4" s="2789"/>
      <c r="B4" s="2784"/>
      <c r="C4" s="2784"/>
      <c r="D4" s="2784"/>
      <c r="E4" s="2788"/>
    </row>
    <row r="5" spans="1:6">
      <c r="A5" s="2793" t="s">
        <v>2677</v>
      </c>
      <c r="B5" s="3641" t="s">
        <v>2679</v>
      </c>
      <c r="C5" s="3641"/>
      <c r="D5" s="2792"/>
      <c r="E5" s="3332" t="s">
        <v>2678</v>
      </c>
      <c r="F5" s="3333" t="s">
        <v>3052</v>
      </c>
    </row>
    <row r="6" spans="1:6">
      <c r="A6" s="2790" t="str">
        <f>'数据-取费表'!AN6</f>
        <v>收益法</v>
      </c>
      <c r="B6" s="2786">
        <f ca="1">IF(F6="是",'数据-取费表'!AO6,0)</f>
        <v>6873</v>
      </c>
      <c r="C6" s="2778" t="s">
        <v>2670</v>
      </c>
      <c r="D6" s="2784"/>
      <c r="E6" s="1540">
        <f>IF(OR(A6=0,F6="否"),0,'数据-取费表'!K6+'数据-取费表'!S6)</f>
        <v>2099.0100000000002</v>
      </c>
      <c r="F6" s="3334" t="s">
        <v>3053</v>
      </c>
    </row>
    <row r="7" spans="1:6">
      <c r="A7" s="2790">
        <f>'数据-取费表'!AN7</f>
        <v>0</v>
      </c>
      <c r="B7" s="2786" t="e">
        <f ca="1">IF(F7="是",'数据-取费表'!AO7,0)</f>
        <v>#REF!</v>
      </c>
      <c r="C7" s="2778" t="s">
        <v>2670</v>
      </c>
      <c r="D7" s="2784"/>
      <c r="E7" s="1540">
        <f>IF(OR(A7=0,F7="否"),0,'数据-取费表'!K7+'数据-取费表'!S7)</f>
        <v>0</v>
      </c>
      <c r="F7" s="3334" t="s">
        <v>3053</v>
      </c>
    </row>
    <row r="8" spans="1:6">
      <c r="A8" s="2790">
        <f>'数据-取费表'!AN8</f>
        <v>0</v>
      </c>
      <c r="B8" s="2786" t="e">
        <f ca="1">IF(F8="是",'数据-取费表'!AO8,0)</f>
        <v>#REF!</v>
      </c>
      <c r="C8" s="2778" t="s">
        <v>2670</v>
      </c>
      <c r="D8" s="2784"/>
      <c r="E8" s="1540">
        <f>IF(OR(A8=0,F8="否"),0,'数据-取费表'!K8+'数据-取费表'!S8)</f>
        <v>0</v>
      </c>
      <c r="F8" s="3334" t="s">
        <v>3053</v>
      </c>
    </row>
    <row r="9" spans="1:6">
      <c r="A9" s="2790">
        <f>'数据-取费表'!AN9</f>
        <v>0</v>
      </c>
      <c r="B9" s="2786" t="e">
        <f ca="1">IF(F9="是",'数据-取费表'!AO9,0)</f>
        <v>#REF!</v>
      </c>
      <c r="C9" s="2778" t="s">
        <v>2670</v>
      </c>
      <c r="D9" s="2784"/>
      <c r="E9" s="1540">
        <f>IF(OR(A9=0,F9="否"),0,'数据-取费表'!K9+'数据-取费表'!S9)</f>
        <v>0</v>
      </c>
      <c r="F9" s="3334" t="s">
        <v>3053</v>
      </c>
    </row>
    <row r="10" spans="1:6">
      <c r="A10" s="2790">
        <f>'数据-取费表'!AN10</f>
        <v>0</v>
      </c>
      <c r="B10" s="2786" t="e">
        <f ca="1">IF(F10="是",'数据-取费表'!AO10,0)</f>
        <v>#REF!</v>
      </c>
      <c r="C10" s="2778" t="s">
        <v>2670</v>
      </c>
      <c r="D10" s="2784"/>
      <c r="E10" s="1540">
        <f>IF(OR(A10=0,F10="否"),0,'数据-取费表'!K10+'数据-取费表'!S10)</f>
        <v>0</v>
      </c>
      <c r="F10" s="3334" t="s">
        <v>3053</v>
      </c>
    </row>
    <row r="11" spans="1:6">
      <c r="A11" s="2790">
        <f>'数据-取费表'!AN11</f>
        <v>0</v>
      </c>
      <c r="B11" s="2786" t="e">
        <f ca="1">IF(F11="是",'数据-取费表'!AO11,0)</f>
        <v>#REF!</v>
      </c>
      <c r="C11" s="2778" t="s">
        <v>2670</v>
      </c>
      <c r="D11" s="2784"/>
      <c r="E11" s="1540">
        <f>IF(OR(A11=0,F11="否"),0,'数据-取费表'!K11+'数据-取费表'!S11)</f>
        <v>0</v>
      </c>
      <c r="F11" s="3334" t="s">
        <v>3053</v>
      </c>
    </row>
    <row r="12" spans="1:6">
      <c r="A12" s="2790">
        <f>'数据-取费表'!AN12</f>
        <v>0</v>
      </c>
      <c r="B12" s="2786" t="e">
        <f ca="1">IF(F12="是",'数据-取费表'!AO12,0)</f>
        <v>#REF!</v>
      </c>
      <c r="C12" s="2778" t="s">
        <v>2670</v>
      </c>
      <c r="D12" s="2784"/>
      <c r="E12" s="1540">
        <f>IF(OR(A12=0,F12="否"),0,'数据-取费表'!K12+'数据-取费表'!S12)</f>
        <v>0</v>
      </c>
      <c r="F12" s="3334" t="s">
        <v>3053</v>
      </c>
    </row>
    <row r="13" spans="1:6" ht="14.25" thickBot="1">
      <c r="A13" s="2791">
        <f>'数据-取费表'!AN13</f>
        <v>0</v>
      </c>
      <c r="B13" s="2786" t="e">
        <f ca="1">IF(F13="是",'数据-取费表'!AO13,0)</f>
        <v>#REF!</v>
      </c>
      <c r="C13" s="2794" t="s">
        <v>2670</v>
      </c>
      <c r="D13" s="2785"/>
      <c r="E13" s="1540">
        <f>IF(OR(A13=0,F13="否"),0,'数据-取费表'!K13+'数据-取费表'!S13)</f>
        <v>0</v>
      </c>
      <c r="F13" s="3334"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2" t="s">
        <v>2546</v>
      </c>
      <c r="B1" s="3643"/>
      <c r="C1" s="3644"/>
      <c r="D1" s="3645">
        <f>SUM(I10,I15,I20,I21,I23)</f>
        <v>0</v>
      </c>
      <c r="E1" s="3645"/>
      <c r="F1" s="3645"/>
      <c r="G1" s="3645"/>
      <c r="H1" s="3645"/>
      <c r="I1" s="3646"/>
    </row>
    <row r="2" spans="1:9">
      <c r="A2" s="3647" t="s">
        <v>2547</v>
      </c>
      <c r="B2" s="3648" t="s">
        <v>2548</v>
      </c>
      <c r="C2" s="3648"/>
      <c r="D2" s="2635" t="s">
        <v>2549</v>
      </c>
      <c r="E2" s="2635" t="s">
        <v>2550</v>
      </c>
      <c r="F2" s="2635" t="s">
        <v>2551</v>
      </c>
      <c r="G2" s="2635" t="s">
        <v>2552</v>
      </c>
      <c r="H2" s="2635" t="s">
        <v>2553</v>
      </c>
      <c r="I2" s="2636" t="s">
        <v>2554</v>
      </c>
    </row>
    <row r="3" spans="1:9">
      <c r="A3" s="3647"/>
      <c r="B3" s="3648" t="s">
        <v>2555</v>
      </c>
      <c r="C3" s="3648"/>
      <c r="D3" s="2637"/>
      <c r="E3" s="2635"/>
      <c r="F3" s="2638"/>
      <c r="G3" s="2638"/>
      <c r="H3" s="2639"/>
      <c r="I3" s="2640">
        <f>ROUND(D3*E3*F3*G3*H3/10000,0)</f>
        <v>0</v>
      </c>
    </row>
    <row r="4" spans="1:9">
      <c r="A4" s="3647"/>
      <c r="B4" s="3648" t="s">
        <v>2556</v>
      </c>
      <c r="C4" s="3648"/>
      <c r="D4" s="2637"/>
      <c r="E4" s="2635"/>
      <c r="F4" s="2638"/>
      <c r="G4" s="2638"/>
      <c r="H4" s="2639"/>
      <c r="I4" s="2640">
        <f t="shared" ref="I4:I9" si="0">ROUND(D4*E4*F4*G4*H4/10000,0)</f>
        <v>0</v>
      </c>
    </row>
    <row r="5" spans="1:9">
      <c r="A5" s="3647"/>
      <c r="B5" s="3648" t="s">
        <v>2557</v>
      </c>
      <c r="C5" s="3648"/>
      <c r="D5" s="2637"/>
      <c r="E5" s="2635"/>
      <c r="F5" s="2638"/>
      <c r="G5" s="2638"/>
      <c r="H5" s="2639"/>
      <c r="I5" s="2640">
        <f t="shared" si="0"/>
        <v>0</v>
      </c>
    </row>
    <row r="6" spans="1:9">
      <c r="A6" s="3647"/>
      <c r="B6" s="3648" t="s">
        <v>2558</v>
      </c>
      <c r="C6" s="3648"/>
      <c r="D6" s="2637"/>
      <c r="E6" s="2635"/>
      <c r="F6" s="2638"/>
      <c r="G6" s="2638"/>
      <c r="H6" s="2639"/>
      <c r="I6" s="2640">
        <f t="shared" si="0"/>
        <v>0</v>
      </c>
    </row>
    <row r="7" spans="1:9">
      <c r="A7" s="3647"/>
      <c r="B7" s="3648" t="s">
        <v>2559</v>
      </c>
      <c r="C7" s="3648"/>
      <c r="D7" s="2637"/>
      <c r="E7" s="2635"/>
      <c r="F7" s="2638"/>
      <c r="G7" s="2638"/>
      <c r="H7" s="2639"/>
      <c r="I7" s="2640">
        <f t="shared" si="0"/>
        <v>0</v>
      </c>
    </row>
    <row r="8" spans="1:9">
      <c r="A8" s="3647"/>
      <c r="B8" s="3648" t="s">
        <v>2560</v>
      </c>
      <c r="C8" s="3648"/>
      <c r="D8" s="2637"/>
      <c r="E8" s="2635"/>
      <c r="F8" s="2638"/>
      <c r="G8" s="2638"/>
      <c r="H8" s="2639"/>
      <c r="I8" s="2640">
        <f t="shared" si="0"/>
        <v>0</v>
      </c>
    </row>
    <row r="9" spans="1:9">
      <c r="A9" s="3647"/>
      <c r="B9" s="3648" t="s">
        <v>2561</v>
      </c>
      <c r="C9" s="3648"/>
      <c r="D9" s="2637"/>
      <c r="E9" s="2635"/>
      <c r="F9" s="2638"/>
      <c r="G9" s="2638"/>
      <c r="H9" s="2639"/>
      <c r="I9" s="2640">
        <f t="shared" si="0"/>
        <v>0</v>
      </c>
    </row>
    <row r="10" spans="1:9">
      <c r="A10" s="3647"/>
      <c r="B10" s="3649" t="s">
        <v>2562</v>
      </c>
      <c r="C10" s="3649"/>
      <c r="D10" s="2641"/>
      <c r="E10" s="2641" t="e">
        <f>ROUND(D1*10000/D10/H9,0)</f>
        <v>#DIV/0!</v>
      </c>
      <c r="F10" s="2642"/>
      <c r="G10" s="2642"/>
      <c r="H10" s="2643"/>
      <c r="I10" s="2644">
        <f>SUM(I3:I9)</f>
        <v>0</v>
      </c>
    </row>
    <row r="11" spans="1:9" ht="14.25">
      <c r="A11" s="3647" t="s">
        <v>2563</v>
      </c>
      <c r="B11" s="3648" t="s">
        <v>2564</v>
      </c>
      <c r="C11" s="3648"/>
      <c r="D11" s="2637" t="s">
        <v>2565</v>
      </c>
      <c r="E11" s="2637" t="s">
        <v>2566</v>
      </c>
      <c r="F11" s="2638" t="s">
        <v>2567</v>
      </c>
      <c r="G11" s="2638" t="s">
        <v>2553</v>
      </c>
      <c r="H11" s="2645" t="s">
        <v>2568</v>
      </c>
      <c r="I11" s="2636" t="s">
        <v>2554</v>
      </c>
    </row>
    <row r="12" spans="1:9">
      <c r="A12" s="3647"/>
      <c r="B12" s="3648" t="s">
        <v>2569</v>
      </c>
      <c r="C12" s="3648"/>
      <c r="D12" s="2637"/>
      <c r="E12" s="2637"/>
      <c r="F12" s="2638"/>
      <c r="G12" s="2639"/>
      <c r="H12" s="2646"/>
      <c r="I12" s="2636">
        <f>ROUND(D12*E12*F12*G12/10000,0)</f>
        <v>0</v>
      </c>
    </row>
    <row r="13" spans="1:9">
      <c r="A13" s="3647"/>
      <c r="B13" s="3648" t="s">
        <v>2570</v>
      </c>
      <c r="C13" s="3648"/>
      <c r="D13" s="2637"/>
      <c r="E13" s="2637"/>
      <c r="F13" s="2638"/>
      <c r="G13" s="2639"/>
      <c r="H13" s="2646"/>
      <c r="I13" s="2636">
        <f>ROUND(D13*E13*F13*G13/10000,0)</f>
        <v>0</v>
      </c>
    </row>
    <row r="14" spans="1:9">
      <c r="A14" s="3647"/>
      <c r="B14" s="3648" t="s">
        <v>2571</v>
      </c>
      <c r="C14" s="3648"/>
      <c r="D14" s="2637"/>
      <c r="E14" s="2637"/>
      <c r="F14" s="2638"/>
      <c r="G14" s="2639"/>
      <c r="H14" s="2646"/>
      <c r="I14" s="2636">
        <f>ROUND(D14*E14*F14*G14/10000,0)</f>
        <v>0</v>
      </c>
    </row>
    <row r="15" spans="1:9">
      <c r="A15" s="3647"/>
      <c r="B15" s="3649" t="s">
        <v>2562</v>
      </c>
      <c r="C15" s="3649"/>
      <c r="D15" s="2641"/>
      <c r="E15" s="2641">
        <f>SUM(E12:E14)</f>
        <v>0</v>
      </c>
      <c r="F15" s="2642"/>
      <c r="G15" s="2639"/>
      <c r="H15" s="2646"/>
      <c r="I15" s="2647">
        <f>SUM(I12:I14)</f>
        <v>0</v>
      </c>
    </row>
    <row r="16" spans="1:9" ht="24">
      <c r="A16" s="3647" t="s">
        <v>2572</v>
      </c>
      <c r="B16" s="3648" t="s">
        <v>2573</v>
      </c>
      <c r="C16" s="3648"/>
      <c r="D16" s="2637" t="s">
        <v>2549</v>
      </c>
      <c r="E16" s="2648" t="s">
        <v>2574</v>
      </c>
      <c r="F16" s="2638" t="s">
        <v>2575</v>
      </c>
      <c r="G16" s="2639" t="s">
        <v>2553</v>
      </c>
      <c r="H16" s="2645" t="s">
        <v>2568</v>
      </c>
      <c r="I16" s="2636" t="s">
        <v>2554</v>
      </c>
    </row>
    <row r="17" spans="1:9" ht="14.25">
      <c r="A17" s="3647"/>
      <c r="B17" s="3648" t="s">
        <v>2576</v>
      </c>
      <c r="C17" s="3648"/>
      <c r="D17" s="2637"/>
      <c r="E17" s="2637"/>
      <c r="F17" s="2638"/>
      <c r="G17" s="2639"/>
      <c r="H17" s="2649"/>
      <c r="I17" s="2650">
        <f>ROUND(D17*E17*F17*G17/10000,0)</f>
        <v>0</v>
      </c>
    </row>
    <row r="18" spans="1:9" ht="14.25">
      <c r="A18" s="3647"/>
      <c r="B18" s="3648" t="s">
        <v>2577</v>
      </c>
      <c r="C18" s="3648"/>
      <c r="D18" s="2637"/>
      <c r="E18" s="2637"/>
      <c r="F18" s="2638"/>
      <c r="G18" s="2639"/>
      <c r="H18" s="2649"/>
      <c r="I18" s="2650">
        <f>ROUND(D18*E18*F18*G18/10000,0)</f>
        <v>0</v>
      </c>
    </row>
    <row r="19" spans="1:9" ht="14.25">
      <c r="A19" s="3647"/>
      <c r="B19" s="3648" t="s">
        <v>2578</v>
      </c>
      <c r="C19" s="3648"/>
      <c r="D19" s="2637"/>
      <c r="E19" s="2637"/>
      <c r="F19" s="2638"/>
      <c r="G19" s="2639"/>
      <c r="H19" s="2649"/>
      <c r="I19" s="2650">
        <f>ROUND(D19*E19*F19*G19/10000,0)</f>
        <v>0</v>
      </c>
    </row>
    <row r="20" spans="1:9">
      <c r="A20" s="3647"/>
      <c r="B20" s="3649" t="s">
        <v>2562</v>
      </c>
      <c r="C20" s="3649"/>
      <c r="D20" s="2641">
        <f>SUM(D17:D19)</f>
        <v>0</v>
      </c>
      <c r="E20" s="2641"/>
      <c r="F20" s="2642"/>
      <c r="G20" s="2639"/>
      <c r="H20" s="2646"/>
      <c r="I20" s="2647">
        <f>SUM(I17:I19)</f>
        <v>0</v>
      </c>
    </row>
    <row r="21" spans="1:9">
      <c r="A21" s="3647" t="s">
        <v>2579</v>
      </c>
      <c r="B21" s="3651"/>
      <c r="C21" s="3651"/>
      <c r="D21" s="3651"/>
      <c r="E21" s="3651"/>
      <c r="F21" s="3651"/>
      <c r="G21" s="3651"/>
      <c r="H21" s="3293">
        <v>0.1</v>
      </c>
      <c r="I21" s="2644">
        <f>ROUND(I10*H21,0)</f>
        <v>0</v>
      </c>
    </row>
    <row r="22" spans="1:9" ht="14.25">
      <c r="A22" s="3652" t="s">
        <v>2580</v>
      </c>
      <c r="B22" s="3653"/>
      <c r="C22" s="3654"/>
      <c r="D22" s="2651" t="s">
        <v>2581</v>
      </c>
      <c r="E22" s="2651" t="s">
        <v>2582</v>
      </c>
      <c r="F22" s="2652" t="s">
        <v>2583</v>
      </c>
      <c r="G22" s="2652" t="s">
        <v>2584</v>
      </c>
      <c r="H22" s="2645" t="s">
        <v>2585</v>
      </c>
      <c r="I22" s="2636" t="s">
        <v>2586</v>
      </c>
    </row>
    <row r="23" spans="1:9" ht="14.25" thickBot="1">
      <c r="A23" s="3655"/>
      <c r="B23" s="3656"/>
      <c r="C23" s="3657"/>
      <c r="D23" s="2653"/>
      <c r="E23" s="2653"/>
      <c r="F23" s="2653"/>
      <c r="G23" s="2654"/>
      <c r="H23" s="2655"/>
      <c r="I23" s="2656">
        <f>ROUND(E23*D23*F23*(1-G23)/10000,0)</f>
        <v>0</v>
      </c>
    </row>
    <row r="26" spans="1:9">
      <c r="A26" s="2657" t="s">
        <v>2587</v>
      </c>
      <c r="B26" s="2657"/>
      <c r="C26" s="2657"/>
      <c r="D26" s="2657"/>
      <c r="E26" s="3658">
        <f>C27-C30-C31-C32</f>
        <v>0</v>
      </c>
      <c r="F26" s="3658"/>
      <c r="G26" s="3658"/>
      <c r="H26" s="3246" t="s">
        <v>2958</v>
      </c>
    </row>
    <row r="27" spans="1:9">
      <c r="A27" s="2658">
        <v>1</v>
      </c>
      <c r="B27" s="2659" t="s">
        <v>2588</v>
      </c>
      <c r="C27" s="2659">
        <f>C28+C29</f>
        <v>0</v>
      </c>
      <c r="D27" s="2659"/>
      <c r="E27" s="3659"/>
      <c r="F27" s="3659"/>
      <c r="G27" s="3659"/>
    </row>
    <row r="28" spans="1:9">
      <c r="A28" s="2660" t="s">
        <v>2589</v>
      </c>
      <c r="B28" s="2659" t="s">
        <v>2590</v>
      </c>
      <c r="C28" s="2659"/>
      <c r="D28" s="2659"/>
      <c r="E28" s="3659"/>
      <c r="F28" s="3659"/>
      <c r="G28" s="3659"/>
    </row>
    <row r="29" spans="1:9">
      <c r="A29" s="2660" t="s">
        <v>2591</v>
      </c>
      <c r="B29" s="2659" t="s">
        <v>2592</v>
      </c>
      <c r="C29" s="2659"/>
      <c r="D29" s="2659"/>
      <c r="E29" s="2659" t="s">
        <v>2593</v>
      </c>
      <c r="F29" s="2659"/>
      <c r="G29" s="2659"/>
    </row>
    <row r="30" spans="1:9">
      <c r="A30" s="2658">
        <v>2</v>
      </c>
      <c r="B30" s="2659" t="s">
        <v>2594</v>
      </c>
      <c r="C30" s="2659">
        <f>C27*D30</f>
        <v>0</v>
      </c>
      <c r="D30" s="2661">
        <v>0.2</v>
      </c>
      <c r="E30" s="2659" t="s">
        <v>2595</v>
      </c>
      <c r="F30" s="2659"/>
      <c r="G30" s="2659"/>
    </row>
    <row r="31" spans="1:9">
      <c r="A31" s="2658">
        <v>3</v>
      </c>
      <c r="B31" s="2659" t="s">
        <v>2596</v>
      </c>
      <c r="C31" s="2659">
        <f>C25*D31</f>
        <v>0</v>
      </c>
      <c r="D31" s="2661">
        <v>0.15</v>
      </c>
      <c r="E31" s="2659" t="s">
        <v>2597</v>
      </c>
      <c r="F31" s="2659"/>
      <c r="G31" s="2659"/>
    </row>
    <row r="32" spans="1:9">
      <c r="A32" s="2658">
        <v>4</v>
      </c>
      <c r="B32" s="2659" t="s">
        <v>2598</v>
      </c>
      <c r="C32" s="2659">
        <f>C27*D32</f>
        <v>0</v>
      </c>
      <c r="D32" s="2661">
        <v>0.05</v>
      </c>
      <c r="E32" s="3650"/>
      <c r="F32" s="3650"/>
      <c r="G32" s="3650"/>
    </row>
    <row r="33" spans="1:7" hidden="1">
      <c r="A33" s="3660" t="s">
        <v>2599</v>
      </c>
      <c r="B33" s="3661"/>
      <c r="C33" s="3661"/>
      <c r="D33" s="3662"/>
      <c r="E33" s="3658"/>
      <c r="F33" s="3658"/>
      <c r="G33" s="3658"/>
    </row>
    <row r="34" spans="1:7" hidden="1">
      <c r="A34" s="2662">
        <v>1</v>
      </c>
      <c r="B34" s="2659" t="s">
        <v>2600</v>
      </c>
      <c r="C34" s="2659"/>
      <c r="D34" s="2659"/>
      <c r="E34" s="3659"/>
      <c r="F34" s="3659"/>
      <c r="G34" s="3659"/>
    </row>
    <row r="35" spans="1:7" hidden="1">
      <c r="A35" s="2662">
        <v>2</v>
      </c>
      <c r="B35" s="2659" t="s">
        <v>2601</v>
      </c>
      <c r="C35" s="2659"/>
      <c r="D35" s="2659"/>
      <c r="E35" s="3659"/>
      <c r="F35" s="3659"/>
      <c r="G35" s="3659"/>
    </row>
    <row r="36" spans="1:7" hidden="1">
      <c r="A36" s="2662">
        <v>3</v>
      </c>
      <c r="B36" s="2659" t="s">
        <v>2602</v>
      </c>
      <c r="C36" s="2659"/>
      <c r="D36" s="2659"/>
      <c r="E36" s="3659"/>
      <c r="F36" s="3659"/>
      <c r="G36" s="3659"/>
    </row>
    <row r="37" spans="1:7" hidden="1">
      <c r="A37" s="2662">
        <v>4</v>
      </c>
      <c r="B37" s="2659" t="s">
        <v>2603</v>
      </c>
      <c r="C37" s="2659"/>
      <c r="D37" s="2659"/>
      <c r="E37" s="3659"/>
      <c r="F37" s="3659"/>
      <c r="G37" s="3659"/>
    </row>
    <row r="38" spans="1:7" hidden="1">
      <c r="A38" s="3660" t="s">
        <v>2604</v>
      </c>
      <c r="B38" s="3661"/>
      <c r="C38" s="3661"/>
      <c r="D38" s="3662"/>
      <c r="E38" s="3658"/>
      <c r="F38" s="3658"/>
      <c r="G38" s="36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2007</v>
      </c>
    </row>
    <row r="2" spans="1:1">
      <c r="A2" s="1944"/>
    </row>
    <row r="3" spans="1:1" ht="18.75">
      <c r="A3" s="2883" t="str">
        <f>项目基本情况!B5&amp;"："</f>
        <v>北京高斓大厦有限公司：</v>
      </c>
    </row>
    <row r="4" spans="1:1" ht="37.5">
      <c r="A4" s="1945" t="str">
        <f>"受贵公司委托，我公司对"&amp;项目基本情况!S1&amp;"进行了预评估。"</f>
        <v>受贵公司委托，我公司对北京市朝阳区亮马桥路32号房地产抵押价值进行了预评估。</v>
      </c>
    </row>
    <row r="5" spans="1:1" ht="18.75">
      <c r="A5" s="1946" t="s">
        <v>2008</v>
      </c>
    </row>
    <row r="6" spans="1:1" ht="18.75">
      <c r="A6" s="3049" t="s">
        <v>2868</v>
      </c>
    </row>
    <row r="7" spans="1:1" ht="56.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估价对象为北京市朝阳区亮马桥路32号房地产，为所有。根据《国有土地使用证》[]，估价对象（分摊）出让国有建设用地使用权面积为215.3平方米，建筑面积为2099.01平方米。</v>
      </c>
    </row>
    <row r="8" spans="1:1" ht="56.25">
      <c r="A8" s="1989" t="s">
        <v>2862</v>
      </c>
    </row>
    <row r="9" spans="1:1" ht="18.75">
      <c r="A9" s="3049" t="s">
        <v>2869</v>
      </c>
    </row>
    <row r="10" spans="1:1" ht="56.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房地产,属开发建设的办公项目，该项目尚在开发建设中。根据《国有土地使用证》[]，估价对象（分摊）出让国有建设用地使用权面积为215.3平方米，规划建筑面积为2099.01平方米。</v>
      </c>
    </row>
    <row r="11" spans="1:1" ht="75">
      <c r="A11" s="1989" t="s">
        <v>2903</v>
      </c>
    </row>
    <row r="12" spans="1:1" ht="18.75">
      <c r="A12" s="1946" t="s">
        <v>2009</v>
      </c>
    </row>
    <row r="13" spans="1:1" ht="38.25" customHeight="1">
      <c r="A13" s="1947" t="str">
        <f>IF(项目基本情况!B8="抵押",IF(项目基本情况!B5=项目基本情况!B6,定义!C51,定义!B51),定义!D51)</f>
        <v>为估价委托人在向交通银行股份有限公司北京东三环支行办理贷款手续过程中，确定房地产抵押贷款额度提供参考依据而评估房地产抵押价值。</v>
      </c>
    </row>
    <row r="14" spans="1:1" ht="18.75">
      <c r="A14" s="1948" t="s">
        <v>2010</v>
      </c>
    </row>
    <row r="15" spans="1:1" ht="18.75">
      <c r="A15" s="1949" t="str">
        <f>TEXT(项目基本情况!D3,"yyyy年m月d日;;")&amp;IF(项目基本情况!D3=项目基本情况!B3,"（评估专业人员实地查勘之日）","")</f>
        <v>2017年8月16日（评估专业人员实地查勘之日）</v>
      </c>
    </row>
    <row r="16" spans="1:1" ht="18.75">
      <c r="A16" s="1948" t="s">
        <v>2012</v>
      </c>
    </row>
    <row r="17" spans="1:1" ht="75">
      <c r="A17" s="1945" t="s">
        <v>2863</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16日，估价对象规划用途为办公、商业，土地取得方式为出让，出让国有建设用地使用权剩余土地使用年限为办公、商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2028</v>
      </c>
    </row>
    <row r="24" spans="1:1" ht="18.75">
      <c r="A24" s="1952" t="str">
        <f>"本次评估采用的主估价方法为"&amp;结果表!K4&amp;"和"&amp;结果表!L4&amp;"。"</f>
        <v>本次评估采用的主估价方法为比较法和收益法。</v>
      </c>
    </row>
    <row r="25" spans="1:1" ht="18.75">
      <c r="A25" s="1952"/>
    </row>
    <row r="26" spans="1:1" ht="18.75">
      <c r="A26" s="2081" t="s">
        <v>2107</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980</v>
      </c>
      <c r="B1" s="3098" t="s">
        <v>981</v>
      </c>
      <c r="C1" s="3099" t="s">
        <v>982</v>
      </c>
      <c r="D1" s="3100"/>
      <c r="E1" s="3101"/>
      <c r="F1" s="3102" t="s">
        <v>2695</v>
      </c>
      <c r="G1" s="3104" t="s">
        <v>983</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984</v>
      </c>
      <c r="B2" s="2841" t="e">
        <f ca="1">IF(C2="——",ROUND(C49*D3/10000,0),ROUND(C49*D3/10000,0)-D2)</f>
        <v>#DIV/0!</v>
      </c>
      <c r="C2" s="3094"/>
      <c r="D2" s="2721" t="e">
        <f ca="1">SUMIF(INDIRECT("'"&amp;F2&amp;"'"&amp;"!A:A"),"承租人权益价值",INDIRECT("'"&amp;F2&amp;"'"&amp;"!c:c"))</f>
        <v>#REF!</v>
      </c>
      <c r="E2" s="3095" t="s">
        <v>869</v>
      </c>
      <c r="F2" s="3096"/>
      <c r="G2" s="2288"/>
      <c r="H2" s="2288"/>
      <c r="I2" s="2288"/>
      <c r="J2" s="2288"/>
      <c r="K2" s="2290"/>
      <c r="L2" s="2291"/>
      <c r="M2" s="2292"/>
      <c r="N2" s="2292"/>
      <c r="O2" s="2292"/>
      <c r="P2" s="1337"/>
      <c r="Q2" s="1336"/>
      <c r="R2" s="1336"/>
      <c r="S2" s="1336"/>
      <c r="T2" s="1336"/>
      <c r="U2" s="1336"/>
      <c r="V2" s="1336"/>
      <c r="W2" s="1336"/>
      <c r="X2" s="1336"/>
      <c r="Y2" s="1336"/>
      <c r="Z2" s="1336"/>
      <c r="AA2" s="1336"/>
      <c r="AB2" s="1336"/>
      <c r="AC2" s="1338"/>
    </row>
    <row r="3" spans="1:29" s="89" customFormat="1" ht="28.5" customHeight="1" thickBot="1">
      <c r="A3" s="87" t="s">
        <v>985</v>
      </c>
      <c r="B3" s="742" t="e">
        <f ca="1">IF(C2="——",C49,ROUND(B2*10000/D3,0))</f>
        <v>#DIV/0!</v>
      </c>
      <c r="C3" s="142" t="s">
        <v>986</v>
      </c>
      <c r="D3" s="742">
        <f>IF(D1="",'数据-汇总表'!E3,SUMIF('数据-汇总表'!$C19:$C33,D1,'数据-汇总表'!$E19:$E33))</f>
        <v>2099.0100000000002</v>
      </c>
      <c r="E3" s="2288"/>
      <c r="F3" s="2289"/>
      <c r="G3" s="2288"/>
      <c r="H3" s="2288"/>
      <c r="I3" s="2288"/>
      <c r="J3" s="2288"/>
      <c r="K3" s="2290"/>
      <c r="L3" s="2291"/>
      <c r="M3" s="2292"/>
      <c r="N3" s="2292"/>
      <c r="O3" s="2292"/>
      <c r="P3" s="1337"/>
      <c r="Q3" s="1336"/>
      <c r="R3" s="1336"/>
      <c r="S3" s="1336"/>
      <c r="T3" s="1336"/>
      <c r="U3" s="1336"/>
      <c r="V3" s="1336"/>
      <c r="W3" s="1336"/>
      <c r="X3" s="1336"/>
      <c r="Y3" s="1336"/>
      <c r="Z3" s="1336"/>
      <c r="AA3" s="1336"/>
      <c r="AB3" s="1336"/>
      <c r="AC3" s="1339"/>
    </row>
    <row r="4" spans="1:29">
      <c r="A4" s="143" t="s">
        <v>987</v>
      </c>
      <c r="B4" s="144"/>
      <c r="C4" s="3606" t="s">
        <v>988</v>
      </c>
      <c r="D4" s="3607"/>
      <c r="E4" s="3608" t="s">
        <v>989</v>
      </c>
      <c r="F4" s="3609"/>
      <c r="G4" s="3606" t="s">
        <v>990</v>
      </c>
      <c r="H4" s="3607"/>
      <c r="I4" s="3606" t="s">
        <v>991</v>
      </c>
      <c r="J4" s="3607"/>
      <c r="K4" s="145" t="s">
        <v>992</v>
      </c>
      <c r="L4" s="2293"/>
      <c r="M4" s="2294"/>
      <c r="N4" s="2294"/>
      <c r="O4" s="2294"/>
      <c r="P4" s="3670" t="s">
        <v>987</v>
      </c>
      <c r="Q4" s="3671"/>
      <c r="R4" s="3664" t="s">
        <v>989</v>
      </c>
      <c r="S4" s="3665"/>
      <c r="T4" s="3664" t="s">
        <v>990</v>
      </c>
      <c r="U4" s="3665"/>
      <c r="V4" s="3619" t="s">
        <v>991</v>
      </c>
      <c r="W4" s="3619"/>
      <c r="X4" s="1340"/>
      <c r="Y4" s="3664" t="s">
        <v>987</v>
      </c>
      <c r="Z4" s="3665"/>
      <c r="AA4" s="3663" t="s">
        <v>989</v>
      </c>
      <c r="AB4" s="3663" t="s">
        <v>990</v>
      </c>
      <c r="AC4" s="3663" t="s">
        <v>991</v>
      </c>
    </row>
    <row r="5" spans="1:29">
      <c r="A5" s="146"/>
      <c r="B5" s="147"/>
      <c r="C5" s="3598" t="s">
        <v>993</v>
      </c>
      <c r="D5" s="3599"/>
      <c r="E5" s="3666" t="s">
        <v>994</v>
      </c>
      <c r="F5" s="3667"/>
      <c r="G5" s="3598" t="s">
        <v>995</v>
      </c>
      <c r="H5" s="3599"/>
      <c r="I5" s="3598" t="s">
        <v>996</v>
      </c>
      <c r="J5" s="3599"/>
      <c r="K5" s="152"/>
      <c r="L5" s="2293"/>
      <c r="M5" s="2294"/>
      <c r="N5" s="2294"/>
      <c r="O5" s="2294"/>
      <c r="P5" s="3672"/>
      <c r="Q5" s="3613"/>
      <c r="R5" s="3596"/>
      <c r="S5" s="3597"/>
      <c r="T5" s="3596"/>
      <c r="U5" s="3597"/>
      <c r="V5" s="3619"/>
      <c r="W5" s="3619"/>
      <c r="X5" s="1340"/>
      <c r="Y5" s="3596"/>
      <c r="Z5" s="3597"/>
      <c r="AA5" s="3590"/>
      <c r="AB5" s="3590"/>
      <c r="AC5" s="3590"/>
    </row>
    <row r="6" spans="1:29" ht="14.25" thickBot="1">
      <c r="A6" s="148"/>
      <c r="B6" s="149"/>
      <c r="C6" s="3600" t="s">
        <v>997</v>
      </c>
      <c r="D6" s="3601"/>
      <c r="E6" s="3668" t="s">
        <v>997</v>
      </c>
      <c r="F6" s="3669"/>
      <c r="G6" s="3600" t="s">
        <v>997</v>
      </c>
      <c r="H6" s="3601"/>
      <c r="I6" s="3600" t="s">
        <v>997</v>
      </c>
      <c r="J6" s="3601"/>
      <c r="K6" s="152" t="s">
        <v>998</v>
      </c>
      <c r="L6" s="2293"/>
      <c r="M6" s="2294"/>
      <c r="N6" s="2294"/>
      <c r="O6" s="2294"/>
      <c r="P6" s="3673"/>
      <c r="Q6" s="3615"/>
      <c r="R6" s="3596"/>
      <c r="S6" s="3597"/>
      <c r="T6" s="3616"/>
      <c r="U6" s="3617"/>
      <c r="V6" s="3619"/>
      <c r="W6" s="3619"/>
      <c r="X6" s="1340"/>
      <c r="Y6" s="3616"/>
      <c r="Z6" s="3617"/>
      <c r="AA6" s="3591"/>
      <c r="AB6" s="3591"/>
      <c r="AC6" s="3591"/>
    </row>
    <row r="7" spans="1:29" s="40" customFormat="1" ht="15" thickBot="1">
      <c r="A7" s="1014" t="s">
        <v>999</v>
      </c>
      <c r="B7" s="1015"/>
      <c r="C7" s="1016">
        <f>'数据-取费表'!B2</f>
        <v>42963</v>
      </c>
      <c r="D7" s="754">
        <v>100</v>
      </c>
      <c r="E7" s="1017"/>
      <c r="F7" s="756">
        <f>SUMIF(58:58,YEAR(E7)&amp;"-"&amp;MONTH(E7),59:59)</f>
        <v>0</v>
      </c>
      <c r="G7" s="1017"/>
      <c r="H7" s="754">
        <f>SUMIF(58:58,YEAR(G7)&amp;"-"&amp;MONTH(G7),59:59)</f>
        <v>0</v>
      </c>
      <c r="I7" s="1017"/>
      <c r="J7" s="754">
        <f>SUMIF(58:58,YEAR(I7)&amp;"-"&amp;MONTH(I7),59:59)</f>
        <v>0</v>
      </c>
      <c r="K7" s="1341"/>
      <c r="L7" s="2295"/>
      <c r="M7" s="2257"/>
      <c r="N7" s="2257"/>
      <c r="O7" s="2257"/>
      <c r="P7" s="3592" t="s">
        <v>999</v>
      </c>
      <c r="Q7" s="3621"/>
      <c r="R7" s="1342" t="s">
        <v>115</v>
      </c>
      <c r="S7" s="1343">
        <f t="shared" ref="S7:S15" si="0">F7</f>
        <v>0</v>
      </c>
      <c r="T7" s="1342" t="s">
        <v>115</v>
      </c>
      <c r="U7" s="1343">
        <f t="shared" ref="U7:U15" si="1">H7</f>
        <v>0</v>
      </c>
      <c r="V7" s="1342" t="s">
        <v>115</v>
      </c>
      <c r="W7" s="1343">
        <f t="shared" ref="W7:W15" si="2">J7</f>
        <v>0</v>
      </c>
      <c r="X7" s="287"/>
      <c r="Y7" s="3592" t="s">
        <v>999</v>
      </c>
      <c r="Z7" s="3593"/>
      <c r="AA7" s="1344" t="e">
        <f>D7/F7</f>
        <v>#DIV/0!</v>
      </c>
      <c r="AB7" s="1344" t="e">
        <f>D7/H7</f>
        <v>#DIV/0!</v>
      </c>
      <c r="AC7" s="1344" t="e">
        <f>D7/J7</f>
        <v>#DIV/0!</v>
      </c>
    </row>
    <row r="8" spans="1:29" s="40" customFormat="1" ht="15" thickBot="1">
      <c r="A8" s="1014" t="s">
        <v>1000</v>
      </c>
      <c r="B8" s="1015"/>
      <c r="C8" s="1020" t="s">
        <v>155</v>
      </c>
      <c r="D8" s="754">
        <v>100</v>
      </c>
      <c r="E8" s="1345"/>
      <c r="F8" s="756">
        <f>SUMIF(61:61,E8,62:62)-SUMIF(61:61,C8,62:62)+100</f>
        <v>0</v>
      </c>
      <c r="G8" s="1020"/>
      <c r="H8" s="754">
        <f>SUMIF(61:61,G8,62:62)-SUMIF(61:61,C8,62:62)+100</f>
        <v>0</v>
      </c>
      <c r="I8" s="1345"/>
      <c r="J8" s="754">
        <f>SUMIF(61:61,I8,62:62)-SUMIF(61:61,C8,62:62)+100</f>
        <v>0</v>
      </c>
      <c r="K8" s="1341"/>
      <c r="L8" s="2295"/>
      <c r="M8" s="2257"/>
      <c r="N8" s="2257"/>
      <c r="O8" s="2257"/>
      <c r="P8" s="3592" t="s">
        <v>1000</v>
      </c>
      <c r="Q8" s="3593"/>
      <c r="R8" s="1342" t="s">
        <v>115</v>
      </c>
      <c r="S8" s="1343">
        <f t="shared" si="0"/>
        <v>0</v>
      </c>
      <c r="T8" s="1342" t="s">
        <v>115</v>
      </c>
      <c r="U8" s="1343">
        <f t="shared" si="1"/>
        <v>0</v>
      </c>
      <c r="V8" s="1342" t="s">
        <v>115</v>
      </c>
      <c r="W8" s="1343">
        <f t="shared" si="2"/>
        <v>0</v>
      </c>
      <c r="X8" s="287"/>
      <c r="Y8" s="3592" t="s">
        <v>1000</v>
      </c>
      <c r="Z8" s="3593"/>
      <c r="AA8" s="1344" t="e">
        <f t="shared" ref="AA8:AA19" si="3">D8/F8</f>
        <v>#DIV/0!</v>
      </c>
      <c r="AB8" s="1344" t="e">
        <f t="shared" ref="AB8:AB19" si="4">D8/H8</f>
        <v>#DIV/0!</v>
      </c>
      <c r="AC8" s="1344" t="e">
        <f t="shared" ref="AC8:AC19" si="5">D8/J8</f>
        <v>#DIV/0!</v>
      </c>
    </row>
    <row r="9" spans="1:29" s="40" customFormat="1" ht="14.25">
      <c r="A9" s="1021" t="s">
        <v>1001</v>
      </c>
      <c r="B9" s="62" t="s">
        <v>1002</v>
      </c>
      <c r="C9" s="1346"/>
      <c r="D9" s="425">
        <v>100</v>
      </c>
      <c r="E9" s="1347"/>
      <c r="F9" s="761">
        <f>SUMIF(63:63,E9,64:64)-SUMIF(63:63,C9,64:64)+100</f>
        <v>100</v>
      </c>
      <c r="G9" s="1348"/>
      <c r="H9" s="425">
        <f>SUMIF(63:63,G9,64:64)-SUMIF(63:63,C9,64:64)+100</f>
        <v>100</v>
      </c>
      <c r="I9" s="1348"/>
      <c r="J9" s="425">
        <f>SUMIF(63:63,I9,64:64)-SUMIF(63:63,C9,64:64)+100</f>
        <v>100</v>
      </c>
      <c r="K9" s="1341"/>
      <c r="L9" s="2295"/>
      <c r="M9" s="2257"/>
      <c r="N9" s="2257"/>
      <c r="O9" s="2257"/>
      <c r="P9" s="3602" t="s">
        <v>67</v>
      </c>
      <c r="Q9" s="7" t="str">
        <f t="shared" ref="Q9:Q15" si="6">B9</f>
        <v>用途</v>
      </c>
      <c r="R9" s="1342" t="s">
        <v>65</v>
      </c>
      <c r="S9" s="1343">
        <f t="shared" si="0"/>
        <v>100</v>
      </c>
      <c r="T9" s="1342" t="s">
        <v>65</v>
      </c>
      <c r="U9" s="1343">
        <f t="shared" si="1"/>
        <v>100</v>
      </c>
      <c r="V9" s="1342" t="s">
        <v>65</v>
      </c>
      <c r="W9" s="1343">
        <f t="shared" si="2"/>
        <v>100</v>
      </c>
      <c r="X9" s="287"/>
      <c r="Y9" s="345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6"/>
      <c r="M10" s="2297"/>
      <c r="N10" s="2297"/>
      <c r="O10" s="2297"/>
      <c r="P10" s="3602"/>
      <c r="Q10" s="7" t="str">
        <f t="shared" si="6"/>
        <v>土地使用年限（年）</v>
      </c>
      <c r="R10" s="1342" t="s">
        <v>65</v>
      </c>
      <c r="S10" s="1343">
        <f t="shared" si="0"/>
        <v>100</v>
      </c>
      <c r="T10" s="1342" t="s">
        <v>65</v>
      </c>
      <c r="U10" s="1343">
        <f t="shared" si="1"/>
        <v>100</v>
      </c>
      <c r="V10" s="1342" t="s">
        <v>65</v>
      </c>
      <c r="W10" s="1343">
        <f t="shared" si="2"/>
        <v>100</v>
      </c>
      <c r="X10" s="287"/>
      <c r="Y10" s="345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02"/>
      <c r="Q11" s="7" t="str">
        <f t="shared" si="6"/>
        <v>容积率</v>
      </c>
      <c r="R11" s="1342" t="s">
        <v>104</v>
      </c>
      <c r="S11" s="1343" t="e">
        <f t="shared" si="0"/>
        <v>#N/A</v>
      </c>
      <c r="T11" s="1342" t="s">
        <v>104</v>
      </c>
      <c r="U11" s="1343" t="e">
        <f t="shared" si="1"/>
        <v>#N/A</v>
      </c>
      <c r="V11" s="1342" t="s">
        <v>104</v>
      </c>
      <c r="W11" s="1343" t="e">
        <f t="shared" si="2"/>
        <v>#N/A</v>
      </c>
      <c r="X11" s="287"/>
      <c r="Y11" s="345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02"/>
      <c r="Q12" s="7">
        <f t="shared" si="6"/>
        <v>111</v>
      </c>
      <c r="R12" s="1342" t="s">
        <v>104</v>
      </c>
      <c r="S12" s="1343">
        <f t="shared" si="0"/>
        <v>100</v>
      </c>
      <c r="T12" s="1342" t="s">
        <v>104</v>
      </c>
      <c r="U12" s="1343">
        <f t="shared" si="1"/>
        <v>100</v>
      </c>
      <c r="V12" s="1342" t="s">
        <v>104</v>
      </c>
      <c r="W12" s="1343">
        <f t="shared" si="2"/>
        <v>100</v>
      </c>
      <c r="X12" s="287"/>
      <c r="Y12" s="345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02"/>
      <c r="Q13" s="7">
        <f t="shared" si="6"/>
        <v>111</v>
      </c>
      <c r="R13" s="1342" t="s">
        <v>104</v>
      </c>
      <c r="S13" s="1343">
        <f t="shared" si="0"/>
        <v>100</v>
      </c>
      <c r="T13" s="1342" t="s">
        <v>104</v>
      </c>
      <c r="U13" s="1343">
        <f t="shared" si="1"/>
        <v>100</v>
      </c>
      <c r="V13" s="1342" t="s">
        <v>104</v>
      </c>
      <c r="W13" s="1343">
        <f t="shared" si="2"/>
        <v>100</v>
      </c>
      <c r="X13" s="287"/>
      <c r="Y13" s="3457"/>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02"/>
      <c r="Q14" s="7">
        <f t="shared" si="6"/>
        <v>111</v>
      </c>
      <c r="R14" s="1342" t="s">
        <v>104</v>
      </c>
      <c r="S14" s="1343">
        <f t="shared" si="0"/>
        <v>100</v>
      </c>
      <c r="T14" s="1342" t="s">
        <v>104</v>
      </c>
      <c r="U14" s="1343">
        <f t="shared" si="1"/>
        <v>100</v>
      </c>
      <c r="V14" s="1342" t="s">
        <v>104</v>
      </c>
      <c r="W14" s="1343">
        <f t="shared" si="2"/>
        <v>100</v>
      </c>
      <c r="X14" s="287"/>
      <c r="Y14" s="3457"/>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22" t="s">
        <v>69</v>
      </c>
      <c r="Q15" s="1351" t="str">
        <f t="shared" si="6"/>
        <v>居住社区成熟度</v>
      </c>
      <c r="R15" s="1352" t="s">
        <v>104</v>
      </c>
      <c r="S15" s="1353">
        <f t="shared" si="0"/>
        <v>100</v>
      </c>
      <c r="T15" s="1352" t="s">
        <v>104</v>
      </c>
      <c r="U15" s="1353">
        <f t="shared" si="1"/>
        <v>100</v>
      </c>
      <c r="V15" s="1352" t="s">
        <v>104</v>
      </c>
      <c r="W15" s="1353">
        <f t="shared" si="2"/>
        <v>100</v>
      </c>
      <c r="X15" s="1340"/>
      <c r="Y15" s="3624"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9"/>
      <c r="M16" s="2294"/>
      <c r="N16" s="2294"/>
      <c r="O16" s="2294"/>
      <c r="P16" s="3623"/>
      <c r="Q16" s="1351"/>
      <c r="R16" s="1352"/>
      <c r="S16" s="1353"/>
      <c r="T16" s="1352"/>
      <c r="U16" s="1353"/>
      <c r="V16" s="1352"/>
      <c r="W16" s="1353"/>
      <c r="X16" s="1340"/>
      <c r="Y16" s="3625"/>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23"/>
      <c r="Q17" s="1351" t="str">
        <f>B17</f>
        <v>交通便捷度</v>
      </c>
      <c r="R17" s="1352" t="s">
        <v>104</v>
      </c>
      <c r="S17" s="1353">
        <f>F17</f>
        <v>100</v>
      </c>
      <c r="T17" s="1352" t="s">
        <v>104</v>
      </c>
      <c r="U17" s="1353">
        <f>H17</f>
        <v>100</v>
      </c>
      <c r="V17" s="1352" t="s">
        <v>104</v>
      </c>
      <c r="W17" s="1353">
        <f>J17</f>
        <v>100</v>
      </c>
      <c r="X17" s="1340"/>
      <c r="Y17" s="362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9"/>
      <c r="M18" s="2294"/>
      <c r="N18" s="2294"/>
      <c r="O18" s="2294"/>
      <c r="P18" s="3623"/>
      <c r="Q18" s="1351"/>
      <c r="R18" s="1352"/>
      <c r="S18" s="1353"/>
      <c r="T18" s="1352"/>
      <c r="U18" s="1353"/>
      <c r="V18" s="1352"/>
      <c r="W18" s="1353"/>
      <c r="X18" s="1340"/>
      <c r="Y18" s="3625"/>
      <c r="Z18" s="1354"/>
      <c r="AA18" s="1355">
        <v>1</v>
      </c>
      <c r="AB18" s="1355">
        <v>1</v>
      </c>
      <c r="AC18" s="1355">
        <v>1</v>
      </c>
    </row>
    <row r="19" spans="1:29" ht="40.5">
      <c r="A19" s="151"/>
      <c r="B19" s="1356" t="s">
        <v>2631</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23"/>
      <c r="Q19" s="1351" t="str">
        <f>B19</f>
        <v>公共配套设施</v>
      </c>
      <c r="R19" s="1352" t="s">
        <v>104</v>
      </c>
      <c r="S19" s="1353">
        <f>F19</f>
        <v>100</v>
      </c>
      <c r="T19" s="1352" t="s">
        <v>104</v>
      </c>
      <c r="U19" s="1353">
        <f>H19</f>
        <v>100</v>
      </c>
      <c r="V19" s="1352" t="s">
        <v>104</v>
      </c>
      <c r="W19" s="1353">
        <f>J19</f>
        <v>100</v>
      </c>
      <c r="X19" s="1340"/>
      <c r="Y19" s="362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9"/>
      <c r="M20" s="2294"/>
      <c r="N20" s="2294"/>
      <c r="O20" s="2294"/>
      <c r="P20" s="3623"/>
      <c r="Q20" s="1351"/>
      <c r="R20" s="1352"/>
      <c r="S20" s="1353"/>
      <c r="T20" s="1352"/>
      <c r="U20" s="1353"/>
      <c r="V20" s="1352"/>
      <c r="W20" s="1353"/>
      <c r="X20" s="1340"/>
      <c r="Y20" s="3625"/>
      <c r="Z20" s="1354"/>
      <c r="AA20" s="1355">
        <v>1</v>
      </c>
      <c r="AB20" s="1355">
        <v>1</v>
      </c>
      <c r="AC20" s="1355">
        <v>1</v>
      </c>
    </row>
    <row r="21" spans="1:29" ht="27">
      <c r="A21" s="151"/>
      <c r="B21" s="1412" t="s">
        <v>2642</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23"/>
      <c r="Q21" s="2743" t="str">
        <f>B21</f>
        <v>基础设施水平</v>
      </c>
      <c r="R21" s="1352" t="s">
        <v>65</v>
      </c>
      <c r="S21" s="1353">
        <f>F21</f>
        <v>100</v>
      </c>
      <c r="T21" s="1352" t="s">
        <v>65</v>
      </c>
      <c r="U21" s="1353">
        <f>H21</f>
        <v>100</v>
      </c>
      <c r="V21" s="1352" t="s">
        <v>65</v>
      </c>
      <c r="W21" s="1353">
        <f>J21</f>
        <v>100</v>
      </c>
      <c r="X21" s="2745"/>
      <c r="Y21" s="3625"/>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0"/>
      <c r="L22" s="2299"/>
      <c r="M22" s="2294"/>
      <c r="N22" s="2294"/>
      <c r="O22" s="2294"/>
      <c r="P22" s="3623"/>
      <c r="Q22" s="2743"/>
      <c r="R22" s="1352"/>
      <c r="S22" s="1353"/>
      <c r="T22" s="1352"/>
      <c r="U22" s="1353"/>
      <c r="V22" s="1352"/>
      <c r="W22" s="1353"/>
      <c r="X22" s="2745"/>
      <c r="Y22" s="3625"/>
      <c r="Z22" s="2744"/>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23"/>
      <c r="Q23" s="1351" t="str">
        <f>B23</f>
        <v>自然及人文环境</v>
      </c>
      <c r="R23" s="1352" t="s">
        <v>104</v>
      </c>
      <c r="S23" s="1353">
        <f>F23</f>
        <v>100</v>
      </c>
      <c r="T23" s="1352" t="s">
        <v>104</v>
      </c>
      <c r="U23" s="1353">
        <f>H23</f>
        <v>100</v>
      </c>
      <c r="V23" s="1352" t="s">
        <v>104</v>
      </c>
      <c r="W23" s="1353">
        <f>J23</f>
        <v>100</v>
      </c>
      <c r="X23" s="1340"/>
      <c r="Y23" s="362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9"/>
      <c r="M24" s="2294"/>
      <c r="N24" s="2294"/>
      <c r="O24" s="2294"/>
      <c r="P24" s="3623"/>
      <c r="Q24" s="1351"/>
      <c r="R24" s="1352"/>
      <c r="S24" s="1353"/>
      <c r="T24" s="1352"/>
      <c r="U24" s="1353"/>
      <c r="V24" s="1352"/>
      <c r="W24" s="1353"/>
      <c r="X24" s="1340"/>
      <c r="Y24" s="3625"/>
      <c r="Z24" s="1354"/>
      <c r="AA24" s="1355">
        <v>1</v>
      </c>
      <c r="AB24" s="1355">
        <v>1</v>
      </c>
      <c r="AC24" s="1355">
        <v>1</v>
      </c>
    </row>
    <row r="25" spans="1:29" ht="15">
      <c r="A25" s="151"/>
      <c r="B25" s="12" t="s">
        <v>2292</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23"/>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25"/>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23"/>
      <c r="Q26" s="1351" t="str">
        <f t="shared" si="11"/>
        <v>朝向</v>
      </c>
      <c r="R26" s="1352" t="s">
        <v>104</v>
      </c>
      <c r="S26" s="1353">
        <f t="shared" si="12"/>
        <v>100</v>
      </c>
      <c r="T26" s="1352" t="s">
        <v>104</v>
      </c>
      <c r="U26" s="1353">
        <f t="shared" si="13"/>
        <v>100</v>
      </c>
      <c r="V26" s="1352" t="s">
        <v>104</v>
      </c>
      <c r="W26" s="1353">
        <f t="shared" si="14"/>
        <v>100</v>
      </c>
      <c r="X26" s="1340"/>
      <c r="Y26" s="362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23"/>
      <c r="Q27" s="7">
        <f t="shared" si="11"/>
        <v>111</v>
      </c>
      <c r="R27" s="1342" t="s">
        <v>104</v>
      </c>
      <c r="S27" s="1343">
        <f t="shared" si="12"/>
        <v>100</v>
      </c>
      <c r="T27" s="1342" t="s">
        <v>104</v>
      </c>
      <c r="U27" s="1343">
        <f t="shared" si="13"/>
        <v>100</v>
      </c>
      <c r="V27" s="1342" t="s">
        <v>104</v>
      </c>
      <c r="W27" s="1343">
        <f t="shared" si="14"/>
        <v>100</v>
      </c>
      <c r="X27" s="287"/>
      <c r="Y27" s="362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23"/>
      <c r="Q28" s="1351">
        <f t="shared" si="11"/>
        <v>111</v>
      </c>
      <c r="R28" s="1352" t="s">
        <v>104</v>
      </c>
      <c r="S28" s="1353">
        <f t="shared" si="12"/>
        <v>100</v>
      </c>
      <c r="T28" s="1352" t="s">
        <v>104</v>
      </c>
      <c r="U28" s="1353">
        <f t="shared" si="13"/>
        <v>100</v>
      </c>
      <c r="V28" s="1352" t="s">
        <v>104</v>
      </c>
      <c r="W28" s="1353">
        <f t="shared" si="14"/>
        <v>100</v>
      </c>
      <c r="X28" s="1340"/>
      <c r="Y28" s="362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23"/>
      <c r="Q29" s="1351">
        <f t="shared" si="11"/>
        <v>111</v>
      </c>
      <c r="R29" s="1352" t="s">
        <v>104</v>
      </c>
      <c r="S29" s="1353">
        <f t="shared" si="12"/>
        <v>100</v>
      </c>
      <c r="T29" s="1352" t="s">
        <v>104</v>
      </c>
      <c r="U29" s="1353">
        <f t="shared" si="13"/>
        <v>100</v>
      </c>
      <c r="V29" s="1352" t="s">
        <v>104</v>
      </c>
      <c r="W29" s="1353">
        <f t="shared" si="14"/>
        <v>100</v>
      </c>
      <c r="X29" s="1340"/>
      <c r="Y29" s="362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23"/>
      <c r="Q30" s="1351">
        <f t="shared" si="11"/>
        <v>111</v>
      </c>
      <c r="R30" s="1352" t="s">
        <v>104</v>
      </c>
      <c r="S30" s="1353">
        <f t="shared" si="12"/>
        <v>100</v>
      </c>
      <c r="T30" s="1352" t="s">
        <v>104</v>
      </c>
      <c r="U30" s="1353">
        <f t="shared" si="13"/>
        <v>100</v>
      </c>
      <c r="V30" s="1352" t="s">
        <v>104</v>
      </c>
      <c r="W30" s="1353">
        <f t="shared" si="14"/>
        <v>100</v>
      </c>
      <c r="X30" s="1340"/>
      <c r="Y30" s="362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23"/>
      <c r="Q31" s="1351">
        <f t="shared" si="11"/>
        <v>111</v>
      </c>
      <c r="R31" s="1352" t="s">
        <v>104</v>
      </c>
      <c r="S31" s="1353">
        <f t="shared" si="12"/>
        <v>100</v>
      </c>
      <c r="T31" s="1352" t="s">
        <v>104</v>
      </c>
      <c r="U31" s="1353">
        <f t="shared" si="13"/>
        <v>100</v>
      </c>
      <c r="V31" s="1352" t="s">
        <v>104</v>
      </c>
      <c r="W31" s="1353">
        <f t="shared" si="14"/>
        <v>100</v>
      </c>
      <c r="X31" s="1340"/>
      <c r="Y31" s="3625"/>
      <c r="Z31" s="1354">
        <f t="shared" si="18"/>
        <v>111</v>
      </c>
      <c r="AA31" s="1355">
        <f t="shared" si="15"/>
        <v>1</v>
      </c>
      <c r="AB31" s="1355">
        <f t="shared" si="16"/>
        <v>1</v>
      </c>
      <c r="AC31" s="1355">
        <f t="shared" si="17"/>
        <v>1</v>
      </c>
    </row>
    <row r="32" spans="1:29" ht="15">
      <c r="A32" s="155" t="s">
        <v>1003</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626" t="s">
        <v>70</v>
      </c>
      <c r="Q32" s="1351" t="str">
        <f t="shared" si="11"/>
        <v>建筑类型</v>
      </c>
      <c r="R32" s="1352" t="s">
        <v>104</v>
      </c>
      <c r="S32" s="1353">
        <f t="shared" si="12"/>
        <v>100</v>
      </c>
      <c r="T32" s="1352" t="s">
        <v>104</v>
      </c>
      <c r="U32" s="1353">
        <f t="shared" si="13"/>
        <v>100</v>
      </c>
      <c r="V32" s="1352" t="s">
        <v>104</v>
      </c>
      <c r="W32" s="1353">
        <f t="shared" si="14"/>
        <v>100</v>
      </c>
      <c r="X32" s="1340"/>
      <c r="Y32" s="3629"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627"/>
      <c r="Q33" s="1359" t="str">
        <f t="shared" si="11"/>
        <v>项目建筑规模</v>
      </c>
      <c r="R33" s="1360" t="s">
        <v>104</v>
      </c>
      <c r="S33" s="1361" t="e">
        <f t="shared" si="12"/>
        <v>#N/A</v>
      </c>
      <c r="T33" s="1360" t="s">
        <v>104</v>
      </c>
      <c r="U33" s="1361" t="e">
        <f t="shared" si="13"/>
        <v>#N/A</v>
      </c>
      <c r="V33" s="1360" t="s">
        <v>104</v>
      </c>
      <c r="W33" s="1361" t="e">
        <f t="shared" si="14"/>
        <v>#N/A</v>
      </c>
      <c r="X33" s="1362"/>
      <c r="Y33" s="3629"/>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627"/>
      <c r="Q34" s="1351" t="str">
        <f t="shared" si="11"/>
        <v>建筑结构</v>
      </c>
      <c r="R34" s="1352" t="s">
        <v>104</v>
      </c>
      <c r="S34" s="1353">
        <f t="shared" si="12"/>
        <v>100</v>
      </c>
      <c r="T34" s="1352" t="s">
        <v>104</v>
      </c>
      <c r="U34" s="1353">
        <f t="shared" si="13"/>
        <v>100</v>
      </c>
      <c r="V34" s="1352" t="s">
        <v>104</v>
      </c>
      <c r="W34" s="1353">
        <f t="shared" si="14"/>
        <v>100</v>
      </c>
      <c r="X34" s="1340"/>
      <c r="Y34" s="3629"/>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627"/>
      <c r="Q35" s="1351" t="str">
        <f t="shared" si="11"/>
        <v>建筑品质</v>
      </c>
      <c r="R35" s="1352" t="s">
        <v>104</v>
      </c>
      <c r="S35" s="1353">
        <f t="shared" si="12"/>
        <v>100</v>
      </c>
      <c r="T35" s="1352" t="s">
        <v>104</v>
      </c>
      <c r="U35" s="1353">
        <f t="shared" si="13"/>
        <v>100</v>
      </c>
      <c r="V35" s="1352" t="s">
        <v>104</v>
      </c>
      <c r="W35" s="1353">
        <f t="shared" si="14"/>
        <v>100</v>
      </c>
      <c r="X35" s="1340"/>
      <c r="Y35" s="3629"/>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627"/>
      <c r="Q36" s="1351" t="str">
        <f t="shared" si="11"/>
        <v>公共部分装修</v>
      </c>
      <c r="R36" s="1352" t="s">
        <v>104</v>
      </c>
      <c r="S36" s="1353">
        <f t="shared" si="12"/>
        <v>100</v>
      </c>
      <c r="T36" s="1352" t="s">
        <v>104</v>
      </c>
      <c r="U36" s="1353">
        <f t="shared" si="13"/>
        <v>100</v>
      </c>
      <c r="V36" s="1352" t="s">
        <v>104</v>
      </c>
      <c r="W36" s="1353">
        <f t="shared" si="14"/>
        <v>100</v>
      </c>
      <c r="X36" s="1340"/>
      <c r="Y36" s="3629"/>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627"/>
      <c r="Q37" s="7" t="str">
        <f t="shared" si="11"/>
        <v>成新度</v>
      </c>
      <c r="R37" s="1342" t="s">
        <v>104</v>
      </c>
      <c r="S37" s="1343" t="e">
        <f t="shared" si="12"/>
        <v>#N/A</v>
      </c>
      <c r="T37" s="1342" t="s">
        <v>104</v>
      </c>
      <c r="U37" s="1343" t="e">
        <f t="shared" si="13"/>
        <v>#N/A</v>
      </c>
      <c r="V37" s="1342" t="s">
        <v>104</v>
      </c>
      <c r="W37" s="1343" t="e">
        <f t="shared" si="14"/>
        <v>#N/A</v>
      </c>
      <c r="X37" s="287"/>
      <c r="Y37" s="3629"/>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627" t="s">
        <v>70</v>
      </c>
      <c r="Q38" s="1351" t="str">
        <f t="shared" si="11"/>
        <v>物业管理</v>
      </c>
      <c r="R38" s="1352" t="s">
        <v>104</v>
      </c>
      <c r="S38" s="1353">
        <f t="shared" si="12"/>
        <v>100</v>
      </c>
      <c r="T38" s="1352" t="s">
        <v>104</v>
      </c>
      <c r="U38" s="1353">
        <f t="shared" si="13"/>
        <v>100</v>
      </c>
      <c r="V38" s="1352" t="s">
        <v>104</v>
      </c>
      <c r="W38" s="1353">
        <f t="shared" si="14"/>
        <v>100</v>
      </c>
      <c r="X38" s="1340"/>
      <c r="Y38" s="3629" t="s">
        <v>70</v>
      </c>
      <c r="Z38" s="1354" t="str">
        <f t="shared" si="18"/>
        <v>物业管理</v>
      </c>
      <c r="AA38" s="1355">
        <f t="shared" si="15"/>
        <v>1</v>
      </c>
      <c r="AB38" s="1355">
        <f t="shared" si="16"/>
        <v>1</v>
      </c>
      <c r="AC38" s="1355">
        <f t="shared" si="17"/>
        <v>1</v>
      </c>
    </row>
    <row r="39" spans="1:29" ht="15">
      <c r="A39" s="161"/>
      <c r="B39" s="12" t="s">
        <v>2643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627"/>
      <c r="Q39" s="1351" t="str">
        <f t="shared" si="11"/>
        <v>市政基础设施</v>
      </c>
      <c r="R39" s="1352" t="s">
        <v>104</v>
      </c>
      <c r="S39" s="1353">
        <f t="shared" si="12"/>
        <v>100</v>
      </c>
      <c r="T39" s="1352" t="s">
        <v>104</v>
      </c>
      <c r="U39" s="1353">
        <f t="shared" si="13"/>
        <v>100</v>
      </c>
      <c r="V39" s="1352" t="s">
        <v>104</v>
      </c>
      <c r="W39" s="1353">
        <f t="shared" si="14"/>
        <v>100</v>
      </c>
      <c r="X39" s="1340"/>
      <c r="Y39" s="3629"/>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627"/>
      <c r="Q40" s="1351" t="str">
        <f t="shared" si="11"/>
        <v>房型</v>
      </c>
      <c r="R40" s="1352" t="s">
        <v>104</v>
      </c>
      <c r="S40" s="1353">
        <f t="shared" si="12"/>
        <v>100</v>
      </c>
      <c r="T40" s="1352" t="s">
        <v>104</v>
      </c>
      <c r="U40" s="1353">
        <f t="shared" si="13"/>
        <v>100</v>
      </c>
      <c r="V40" s="1352" t="s">
        <v>104</v>
      </c>
      <c r="W40" s="1353">
        <f t="shared" si="14"/>
        <v>100</v>
      </c>
      <c r="X40" s="1340"/>
      <c r="Y40" s="3629"/>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627"/>
      <c r="Q41" s="1359" t="str">
        <f t="shared" si="11"/>
        <v>单套/主力户型建筑面积</v>
      </c>
      <c r="R41" s="1360" t="s">
        <v>104</v>
      </c>
      <c r="S41" s="1361">
        <f t="shared" si="12"/>
        <v>100</v>
      </c>
      <c r="T41" s="1360" t="s">
        <v>104</v>
      </c>
      <c r="U41" s="1361">
        <f t="shared" si="13"/>
        <v>100</v>
      </c>
      <c r="V41" s="1360" t="s">
        <v>104</v>
      </c>
      <c r="W41" s="1361">
        <f t="shared" si="14"/>
        <v>100</v>
      </c>
      <c r="X41" s="1362"/>
      <c r="Y41" s="3629"/>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627"/>
      <c r="Q42" s="1351" t="str">
        <f t="shared" si="11"/>
        <v>内部装修</v>
      </c>
      <c r="R42" s="1352" t="s">
        <v>104</v>
      </c>
      <c r="S42" s="1353">
        <f t="shared" si="12"/>
        <v>100</v>
      </c>
      <c r="T42" s="1352" t="s">
        <v>104</v>
      </c>
      <c r="U42" s="1353">
        <f t="shared" si="13"/>
        <v>100</v>
      </c>
      <c r="V42" s="1352" t="s">
        <v>104</v>
      </c>
      <c r="W42" s="1353">
        <f t="shared" si="14"/>
        <v>100</v>
      </c>
      <c r="X42" s="1340"/>
      <c r="Y42" s="3629"/>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627"/>
      <c r="Q43" s="1351" t="str">
        <f t="shared" si="11"/>
        <v>内部装修维护情况</v>
      </c>
      <c r="R43" s="1352" t="s">
        <v>104</v>
      </c>
      <c r="S43" s="1353">
        <f t="shared" si="12"/>
        <v>100</v>
      </c>
      <c r="T43" s="1352" t="s">
        <v>104</v>
      </c>
      <c r="U43" s="1353">
        <f t="shared" si="13"/>
        <v>100</v>
      </c>
      <c r="V43" s="1352" t="s">
        <v>104</v>
      </c>
      <c r="W43" s="1353">
        <f t="shared" si="14"/>
        <v>100</v>
      </c>
      <c r="X43" s="1340"/>
      <c r="Y43" s="362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5"/>
      <c r="M44" s="2257"/>
      <c r="N44" s="2257"/>
      <c r="O44" s="2257"/>
      <c r="P44" s="3627"/>
      <c r="Q44" s="7">
        <f t="shared" si="11"/>
        <v>111</v>
      </c>
      <c r="R44" s="1342" t="s">
        <v>104</v>
      </c>
      <c r="S44" s="1343">
        <f t="shared" si="12"/>
        <v>100</v>
      </c>
      <c r="T44" s="1342" t="s">
        <v>104</v>
      </c>
      <c r="U44" s="1343">
        <f t="shared" si="13"/>
        <v>100</v>
      </c>
      <c r="V44" s="1342" t="s">
        <v>104</v>
      </c>
      <c r="W44" s="1343">
        <f t="shared" si="14"/>
        <v>100</v>
      </c>
      <c r="X44" s="287"/>
      <c r="Y44" s="362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627"/>
      <c r="Q45" s="1351">
        <f t="shared" si="11"/>
        <v>111</v>
      </c>
      <c r="R45" s="1352" t="s">
        <v>104</v>
      </c>
      <c r="S45" s="1353">
        <f t="shared" si="12"/>
        <v>100</v>
      </c>
      <c r="T45" s="1352" t="s">
        <v>104</v>
      </c>
      <c r="U45" s="1353">
        <f t="shared" si="13"/>
        <v>100</v>
      </c>
      <c r="V45" s="1352" t="s">
        <v>104</v>
      </c>
      <c r="W45" s="1353">
        <f t="shared" si="14"/>
        <v>100</v>
      </c>
      <c r="X45" s="1340"/>
      <c r="Y45" s="362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628"/>
      <c r="Q46" s="1351">
        <f t="shared" si="11"/>
        <v>111</v>
      </c>
      <c r="R46" s="1352" t="s">
        <v>103</v>
      </c>
      <c r="S46" s="1353">
        <f t="shared" si="12"/>
        <v>100</v>
      </c>
      <c r="T46" s="1352" t="s">
        <v>103</v>
      </c>
      <c r="U46" s="1353">
        <f t="shared" si="13"/>
        <v>100</v>
      </c>
      <c r="V46" s="1352" t="s">
        <v>103</v>
      </c>
      <c r="W46" s="1353">
        <f t="shared" si="14"/>
        <v>100</v>
      </c>
      <c r="X46" s="1340"/>
      <c r="Y46" s="3630"/>
      <c r="Z46" s="1354">
        <f t="shared" si="18"/>
        <v>111</v>
      </c>
      <c r="AA46" s="1355">
        <f t="shared" si="15"/>
        <v>1</v>
      </c>
      <c r="AB46" s="1355">
        <f t="shared" si="16"/>
        <v>1</v>
      </c>
      <c r="AC46" s="1355">
        <f t="shared" si="17"/>
        <v>1</v>
      </c>
    </row>
    <row r="47" spans="1:29" ht="15">
      <c r="A47" s="163" t="s">
        <v>102</v>
      </c>
      <c r="B47" s="164"/>
      <c r="C47" s="2830" t="s">
        <v>101</v>
      </c>
      <c r="D47" s="2831"/>
      <c r="E47" s="2832"/>
      <c r="F47" s="2833"/>
      <c r="G47" s="2834"/>
      <c r="H47" s="2835"/>
      <c r="I47" s="2832"/>
      <c r="J47" s="2835"/>
      <c r="K47" s="1364"/>
      <c r="L47" s="2301"/>
      <c r="M47" s="2302"/>
      <c r="N47" s="2294"/>
      <c r="O47" s="2302"/>
      <c r="P47" s="3631" t="str">
        <f>A47</f>
        <v>成交单价（元/平方米）</v>
      </c>
      <c r="Q47" s="3631"/>
      <c r="R47" s="3632">
        <f>E47</f>
        <v>0</v>
      </c>
      <c r="S47" s="3632"/>
      <c r="T47" s="3632">
        <f>G47</f>
        <v>0</v>
      </c>
      <c r="U47" s="3632"/>
      <c r="V47" s="3632">
        <f>I47</f>
        <v>0</v>
      </c>
      <c r="W47" s="3632"/>
      <c r="X47" s="1365"/>
      <c r="Y47" s="1366"/>
      <c r="Z47" s="1365"/>
      <c r="AA47" s="1365"/>
      <c r="AB47" s="1365"/>
      <c r="AC47" s="1365"/>
    </row>
    <row r="48" spans="1:29" ht="15.75" thickBot="1">
      <c r="A48" s="165" t="s">
        <v>100</v>
      </c>
      <c r="B48" s="166"/>
      <c r="C48" s="2836" t="e">
        <f>R49</f>
        <v>#DIV/0!</v>
      </c>
      <c r="D48" s="2837"/>
      <c r="E48" s="2838" t="e">
        <f>R48</f>
        <v>#DIV/0!</v>
      </c>
      <c r="F48" s="2838"/>
      <c r="G48" s="2836" t="e">
        <f>T48</f>
        <v>#DIV/0!</v>
      </c>
      <c r="H48" s="2837"/>
      <c r="I48" s="2838" t="e">
        <f>V48</f>
        <v>#DIV/0!</v>
      </c>
      <c r="J48" s="2837"/>
      <c r="K48" s="1367"/>
      <c r="L48" s="2301"/>
      <c r="M48" s="2302"/>
      <c r="N48" s="2302"/>
      <c r="O48" s="2302"/>
      <c r="P48" s="3631" t="str">
        <f>A48</f>
        <v>比较价值（元/平方米）</v>
      </c>
      <c r="Q48" s="3631"/>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1365"/>
      <c r="Y48" s="1365"/>
      <c r="Z48" s="1365"/>
      <c r="AA48" s="1365"/>
      <c r="AB48" s="1365"/>
      <c r="AC48" s="1365"/>
    </row>
    <row r="49" spans="1:29" ht="15.75" thickBot="1">
      <c r="A49" s="115" t="s">
        <v>3016</v>
      </c>
      <c r="B49" s="116"/>
      <c r="C49" s="2839" t="e">
        <f>R49</f>
        <v>#DIV/0!</v>
      </c>
      <c r="D49" s="2840"/>
      <c r="E49" s="2840"/>
      <c r="F49" s="2840"/>
      <c r="G49" s="2840"/>
      <c r="H49" s="2840"/>
      <c r="I49" s="2840"/>
      <c r="J49" s="2840"/>
      <c r="K49" s="1368"/>
      <c r="L49" s="2301"/>
      <c r="M49" s="2302"/>
      <c r="N49" s="2302"/>
      <c r="O49" s="2302"/>
      <c r="P49" s="3674" t="str">
        <f>A49</f>
        <v>估价对象XX用房的比较价值（楼面单价，元/平方米）</v>
      </c>
      <c r="Q49" s="3675"/>
      <c r="R49" s="3676" t="e">
        <f>IF(F1="售价",ROUND(AVERAGE(R48:V48),0),ROUND(AVERAGE(R48:V48),1))</f>
        <v>#DIV/0!</v>
      </c>
      <c r="S49" s="3676"/>
      <c r="T49" s="3676"/>
      <c r="U49" s="3676"/>
      <c r="V49" s="3676"/>
      <c r="W49" s="3676"/>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71"/>
    </row>
    <row r="55" spans="1:29" s="119" customFormat="1">
      <c r="A55" s="2307"/>
      <c r="B55" s="2312"/>
      <c r="C55" s="2313"/>
      <c r="D55" s="2307"/>
      <c r="E55" s="2307"/>
      <c r="F55" s="2307"/>
      <c r="G55" s="2307"/>
      <c r="H55" s="2307"/>
      <c r="I55" s="2307"/>
      <c r="J55" s="2307"/>
      <c r="K55" s="2305"/>
      <c r="L55" s="2306"/>
      <c r="M55" s="2307"/>
      <c r="N55" s="2307"/>
      <c r="O55" s="2307"/>
      <c r="P55" s="1371"/>
    </row>
    <row r="56" spans="1:29">
      <c r="A56" s="2302"/>
      <c r="B56" s="2312"/>
      <c r="C56" s="2313"/>
      <c r="D56" s="2302"/>
      <c r="E56" s="2302"/>
      <c r="F56" s="2302"/>
      <c r="G56" s="2302"/>
      <c r="H56" s="2302"/>
      <c r="I56" s="2302"/>
      <c r="J56" s="2302"/>
      <c r="K56" s="2303"/>
      <c r="L56" s="2304"/>
      <c r="M56" s="2302"/>
      <c r="N56" s="2302"/>
      <c r="O56" s="2302"/>
    </row>
    <row r="57" spans="1:29" ht="21" thickBot="1">
      <c r="A57" s="1372" t="s">
        <v>127</v>
      </c>
      <c r="B57" s="1365"/>
      <c r="C57" s="1373"/>
      <c r="D57" s="1373"/>
      <c r="E57" s="1373"/>
      <c r="F57" s="1374"/>
      <c r="G57" s="1374"/>
      <c r="H57" s="1373"/>
      <c r="I57" s="1373"/>
      <c r="J57" s="1373"/>
      <c r="K57" s="2308"/>
      <c r="L57" s="2309"/>
      <c r="M57" s="2310"/>
      <c r="N57" s="2310"/>
      <c r="O57" s="2310"/>
      <c r="P57" s="1376"/>
      <c r="Q57" s="121"/>
    </row>
    <row r="58" spans="1:29" s="851" customFormat="1" ht="15">
      <c r="A58" s="848" t="s">
        <v>2795</v>
      </c>
      <c r="B58" s="849"/>
      <c r="C58" s="3040" t="str">
        <f>YEAR(C7)&amp;"-"&amp;MONTH(C7)</f>
        <v>2017-8</v>
      </c>
      <c r="D58" s="3039">
        <f>EDATE(C58,-1)</f>
        <v>42917</v>
      </c>
      <c r="E58" s="3039">
        <f>EDATE(D58,-1)</f>
        <v>42887</v>
      </c>
      <c r="F58" s="3039">
        <f t="shared" ref="F58:O58" si="19">EDATE(E58,-1)</f>
        <v>42856</v>
      </c>
      <c r="G58" s="3039">
        <f t="shared" si="19"/>
        <v>42826</v>
      </c>
      <c r="H58" s="3039">
        <f t="shared" si="19"/>
        <v>42795</v>
      </c>
      <c r="I58" s="3039">
        <f t="shared" si="19"/>
        <v>42767</v>
      </c>
      <c r="J58" s="3039">
        <f t="shared" si="19"/>
        <v>42736</v>
      </c>
      <c r="K58" s="3039">
        <f t="shared" si="19"/>
        <v>42705</v>
      </c>
      <c r="L58" s="3039">
        <f t="shared" si="19"/>
        <v>42675</v>
      </c>
      <c r="M58" s="3039">
        <f t="shared" si="19"/>
        <v>42644</v>
      </c>
      <c r="N58" s="3039">
        <f t="shared" si="19"/>
        <v>42614</v>
      </c>
      <c r="O58" s="3039">
        <f t="shared" si="19"/>
        <v>42583</v>
      </c>
      <c r="P58" s="3032"/>
    </row>
    <row r="59" spans="1:29" s="40" customFormat="1" ht="14.25">
      <c r="A59" s="1045"/>
      <c r="B59" s="3035"/>
      <c r="C59" s="3036">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1017</v>
      </c>
      <c r="D78" s="921" t="s">
        <v>1018</v>
      </c>
      <c r="E78" s="921" t="s">
        <v>1019</v>
      </c>
      <c r="F78" s="921" t="s">
        <v>1020</v>
      </c>
      <c r="G78" s="921" t="s">
        <v>1021</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1017</v>
      </c>
      <c r="D80" s="921" t="s">
        <v>1018</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2645</v>
      </c>
      <c r="C82" s="177" t="s">
        <v>2646</v>
      </c>
      <c r="D82" s="177" t="s">
        <v>2650</v>
      </c>
      <c r="E82" s="177" t="s">
        <v>2647</v>
      </c>
      <c r="F82" s="177" t="s">
        <v>2648</v>
      </c>
      <c r="G82" s="177" t="s">
        <v>2649</v>
      </c>
      <c r="H82" s="882"/>
      <c r="I82" s="882"/>
      <c r="J82" s="882"/>
      <c r="K82" s="882"/>
      <c r="L82" s="882"/>
      <c r="M82" s="2762"/>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9" t="s">
        <v>2294</v>
      </c>
    </row>
    <row r="137" spans="1:17" ht="14.25">
      <c r="B137" s="2140" t="s">
        <v>2295</v>
      </c>
      <c r="C137" s="2141"/>
      <c r="D137" s="2141"/>
      <c r="E137" s="2141"/>
      <c r="F137" s="2141"/>
      <c r="G137" s="2142"/>
      <c r="H137" s="2143"/>
      <c r="I137" s="2144" t="s">
        <v>2296</v>
      </c>
      <c r="J137" s="2141"/>
      <c r="K137" s="2145"/>
    </row>
    <row r="138" spans="1:17" ht="14.25">
      <c r="B138" s="2146"/>
      <c r="C138" s="1775" t="s">
        <v>2297</v>
      </c>
      <c r="D138" s="1775" t="s">
        <v>2298</v>
      </c>
      <c r="E138" s="2147" t="s">
        <v>2299</v>
      </c>
      <c r="F138" s="2148" t="s">
        <v>2300</v>
      </c>
      <c r="G138" s="1775" t="s">
        <v>2298</v>
      </c>
      <c r="H138" s="2149" t="s">
        <v>2299</v>
      </c>
      <c r="I138" s="2150"/>
      <c r="J138" s="1775" t="s">
        <v>2301</v>
      </c>
      <c r="K138" s="2149" t="s">
        <v>2302</v>
      </c>
    </row>
    <row r="139" spans="1:17" ht="15">
      <c r="B139" s="2151">
        <v>6</v>
      </c>
      <c r="C139" s="2152">
        <v>96</v>
      </c>
      <c r="D139" s="2153" t="s">
        <v>2303</v>
      </c>
      <c r="E139" s="2154">
        <v>100</v>
      </c>
      <c r="F139" s="2155">
        <v>102.5</v>
      </c>
      <c r="G139" s="2153" t="s">
        <v>2303</v>
      </c>
      <c r="H139" s="2156">
        <v>105</v>
      </c>
      <c r="I139" s="2157" t="s">
        <v>2304</v>
      </c>
      <c r="J139" s="2152">
        <v>20</v>
      </c>
      <c r="K139" s="2158">
        <f>C145/(J139-2)</f>
        <v>4.0555555555555553E-3</v>
      </c>
    </row>
    <row r="140" spans="1:17" ht="15">
      <c r="B140" s="2159">
        <v>5</v>
      </c>
      <c r="C140" s="2160">
        <v>100</v>
      </c>
      <c r="D140" s="2161"/>
      <c r="E140" s="2162"/>
      <c r="F140" s="2163">
        <v>102</v>
      </c>
      <c r="G140" s="2161"/>
      <c r="H140" s="2164"/>
      <c r="I140" s="2165" t="s">
        <v>2305</v>
      </c>
      <c r="J140" s="647">
        <f>ROUNDUP((J139-1)/2,0)</f>
        <v>10</v>
      </c>
      <c r="K140" s="2166">
        <v>100</v>
      </c>
    </row>
    <row r="141" spans="1:17" ht="15">
      <c r="B141" s="2159">
        <v>4</v>
      </c>
      <c r="C141" s="2160">
        <v>102</v>
      </c>
      <c r="D141" s="2161"/>
      <c r="E141" s="2162"/>
      <c r="F141" s="2163">
        <v>101.5</v>
      </c>
      <c r="G141" s="2161"/>
      <c r="H141" s="2164"/>
      <c r="I141" s="2165" t="s">
        <v>2306</v>
      </c>
      <c r="J141" s="647">
        <v>1</v>
      </c>
      <c r="K141" s="2167">
        <f>ROUND(100+(J141-J140)*K139*100,1)</f>
        <v>96.4</v>
      </c>
    </row>
    <row r="142" spans="1:17" ht="15">
      <c r="B142" s="2159">
        <v>3</v>
      </c>
      <c r="C142" s="2160">
        <v>103</v>
      </c>
      <c r="D142" s="2161"/>
      <c r="E142" s="2162"/>
      <c r="F142" s="2163">
        <v>101</v>
      </c>
      <c r="G142" s="2161"/>
      <c r="H142" s="2164"/>
      <c r="I142" s="2165" t="s">
        <v>2307</v>
      </c>
      <c r="J142" s="647">
        <f>J139</f>
        <v>20</v>
      </c>
      <c r="K142" s="2168">
        <v>95</v>
      </c>
    </row>
    <row r="143" spans="1:17" ht="15">
      <c r="B143" s="2159">
        <v>2</v>
      </c>
      <c r="C143" s="2160">
        <v>100</v>
      </c>
      <c r="D143" s="2161"/>
      <c r="E143" s="2162"/>
      <c r="F143" s="2163">
        <v>100.5</v>
      </c>
      <c r="G143" s="2161"/>
      <c r="H143" s="2164"/>
      <c r="I143" s="2165" t="s">
        <v>2308</v>
      </c>
      <c r="J143" s="2160">
        <v>15</v>
      </c>
      <c r="K143" s="2167">
        <f>ROUND(100+(J143-J140)*K139*100,1)</f>
        <v>102</v>
      </c>
    </row>
    <row r="144" spans="1:17" ht="15">
      <c r="B144" s="2159">
        <v>1</v>
      </c>
      <c r="C144" s="2160">
        <v>98</v>
      </c>
      <c r="D144" s="1160" t="s">
        <v>2309</v>
      </c>
      <c r="E144" s="2162">
        <v>102</v>
      </c>
      <c r="F144" s="2169">
        <v>100</v>
      </c>
      <c r="G144" s="1160" t="s">
        <v>2309</v>
      </c>
      <c r="H144" s="2164">
        <v>105</v>
      </c>
      <c r="I144" s="2165" t="s">
        <v>2308</v>
      </c>
      <c r="J144" s="2160">
        <v>18</v>
      </c>
      <c r="K144" s="2167">
        <f>ROUND(100+(J144-J140)*K139*100,1)</f>
        <v>103.2</v>
      </c>
    </row>
    <row r="145" spans="2:11" ht="15.75" thickBot="1">
      <c r="B145" s="2170" t="s">
        <v>2310</v>
      </c>
      <c r="C145" s="2171">
        <f>ROUND(MAX(C139:C144)/MIN(C139:C144)-1,3)</f>
        <v>7.2999999999999995E-2</v>
      </c>
      <c r="D145" s="2172"/>
      <c r="E145" s="2173"/>
      <c r="F145" s="2174" t="s">
        <v>2311</v>
      </c>
      <c r="G145" s="2175"/>
      <c r="H145" s="2176"/>
      <c r="I145" s="2177" t="s">
        <v>2312</v>
      </c>
      <c r="J145" s="2178">
        <v>8</v>
      </c>
      <c r="K145" s="2179">
        <f>ROUND(100+(J145-J140)*K139*100,1)</f>
        <v>99.2</v>
      </c>
    </row>
    <row r="147" spans="2:11">
      <c r="B147" s="2139" t="s">
        <v>2320</v>
      </c>
    </row>
    <row r="148" spans="2:11">
      <c r="B148" s="2139" t="s">
        <v>2321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173</v>
      </c>
      <c r="B2" s="2841" t="e">
        <f ca="1">IF(C2="——",ROUND(C49*D3/10000,0),ROUND(C49*D3/10000,0)-D2)</f>
        <v>#DIV/0!</v>
      </c>
      <c r="C2" s="3094"/>
      <c r="D2" s="2721" t="e">
        <f ca="1">SUMIF(INDIRECT("'"&amp;F2&amp;"'"&amp;"!A:A"),"承租人权益价值",INDIRECT("'"&amp;F2&amp;"'"&amp;"!c:c"))</f>
        <v>#REF!</v>
      </c>
      <c r="E2" s="3095" t="s">
        <v>869</v>
      </c>
      <c r="F2" s="3096"/>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2" t="e">
        <f ca="1">IF(C2="——",C49,ROUND(B2*10000/D3,0))</f>
        <v>#DIV/0!</v>
      </c>
      <c r="C3" s="142" t="s">
        <v>168</v>
      </c>
      <c r="D3" s="742">
        <f>IF(D1="",'数据-汇总表'!E3,SUMIF('数据-汇总表'!$C19:$C33,D1,'数据-汇总表'!$E19:$E33))</f>
        <v>2099.0100000000002</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06" t="s">
        <v>54</v>
      </c>
      <c r="D4" s="3607"/>
      <c r="E4" s="3608" t="s">
        <v>55</v>
      </c>
      <c r="F4" s="3609"/>
      <c r="G4" s="3606" t="s">
        <v>56</v>
      </c>
      <c r="H4" s="3607"/>
      <c r="I4" s="3606" t="s">
        <v>57</v>
      </c>
      <c r="J4" s="3607"/>
      <c r="K4" s="187" t="s">
        <v>58</v>
      </c>
      <c r="L4" s="2293"/>
      <c r="M4" s="2294"/>
      <c r="N4" s="2294"/>
      <c r="O4" s="2294"/>
      <c r="P4" s="3670" t="s">
        <v>53</v>
      </c>
      <c r="Q4" s="3671"/>
      <c r="R4" s="3664" t="s">
        <v>55</v>
      </c>
      <c r="S4" s="3665"/>
      <c r="T4" s="3664" t="s">
        <v>56</v>
      </c>
      <c r="U4" s="3665"/>
      <c r="V4" s="3619" t="s">
        <v>57</v>
      </c>
      <c r="W4" s="3619"/>
      <c r="X4" s="1340"/>
      <c r="Y4" s="3664" t="s">
        <v>53</v>
      </c>
      <c r="Z4" s="3665"/>
      <c r="AA4" s="3663" t="s">
        <v>55</v>
      </c>
      <c r="AB4" s="3619" t="s">
        <v>56</v>
      </c>
      <c r="AC4" s="3663" t="s">
        <v>57</v>
      </c>
    </row>
    <row r="5" spans="1:29">
      <c r="A5" s="146"/>
      <c r="B5" s="147"/>
      <c r="C5" s="3598" t="s">
        <v>59</v>
      </c>
      <c r="D5" s="3599"/>
      <c r="E5" s="3666" t="s">
        <v>60</v>
      </c>
      <c r="F5" s="3667"/>
      <c r="G5" s="3598" t="s">
        <v>61</v>
      </c>
      <c r="H5" s="3599"/>
      <c r="I5" s="3598" t="s">
        <v>62</v>
      </c>
      <c r="J5" s="3599"/>
      <c r="K5" s="187"/>
      <c r="L5" s="2293"/>
      <c r="M5" s="2294"/>
      <c r="N5" s="2294"/>
      <c r="O5" s="2294"/>
      <c r="P5" s="3672"/>
      <c r="Q5" s="3613"/>
      <c r="R5" s="3596"/>
      <c r="S5" s="3597"/>
      <c r="T5" s="3596"/>
      <c r="U5" s="3597"/>
      <c r="V5" s="3619"/>
      <c r="W5" s="3619"/>
      <c r="X5" s="1340"/>
      <c r="Y5" s="3596"/>
      <c r="Z5" s="3597"/>
      <c r="AA5" s="3590"/>
      <c r="AB5" s="3619"/>
      <c r="AC5" s="3590"/>
    </row>
    <row r="6" spans="1:29" ht="14.25" thickBot="1">
      <c r="A6" s="148"/>
      <c r="B6" s="149"/>
      <c r="C6" s="3600" t="s">
        <v>63</v>
      </c>
      <c r="D6" s="3601"/>
      <c r="E6" s="3668" t="s">
        <v>63</v>
      </c>
      <c r="F6" s="3669"/>
      <c r="G6" s="3600" t="s">
        <v>63</v>
      </c>
      <c r="H6" s="3601"/>
      <c r="I6" s="3600" t="s">
        <v>63</v>
      </c>
      <c r="J6" s="3601"/>
      <c r="K6" s="187" t="s">
        <v>117</v>
      </c>
      <c r="L6" s="2293"/>
      <c r="M6" s="2294"/>
      <c r="N6" s="2294"/>
      <c r="O6" s="2294"/>
      <c r="P6" s="3673"/>
      <c r="Q6" s="3615"/>
      <c r="R6" s="3596"/>
      <c r="S6" s="3597"/>
      <c r="T6" s="3616"/>
      <c r="U6" s="3617"/>
      <c r="V6" s="3619"/>
      <c r="W6" s="3619"/>
      <c r="X6" s="1340"/>
      <c r="Y6" s="3616"/>
      <c r="Z6" s="3617"/>
      <c r="AA6" s="3591"/>
      <c r="AB6" s="3619"/>
      <c r="AC6" s="3591"/>
    </row>
    <row r="7" spans="1:29" s="40" customFormat="1" ht="15" thickBot="1">
      <c r="A7" s="1014" t="s">
        <v>64</v>
      </c>
      <c r="B7" s="1015"/>
      <c r="C7" s="1016">
        <f>'数据-取费表'!B2</f>
        <v>42963</v>
      </c>
      <c r="D7" s="754">
        <v>100</v>
      </c>
      <c r="E7" s="1017"/>
      <c r="F7" s="756">
        <f>SUMIF(58:58,YEAR(E7)&amp;"-"&amp;MONTH(E7),59:59)</f>
        <v>0</v>
      </c>
      <c r="G7" s="1017"/>
      <c r="H7" s="754">
        <f>SUMIF(58:58,YEAR(G7)&amp;"-"&amp;MONTH(G7),59:59)</f>
        <v>0</v>
      </c>
      <c r="I7" s="1017"/>
      <c r="J7" s="754">
        <f>SUMIF(58:58,YEAR(I7)&amp;"-"&amp;MONTH(I7),59:59)</f>
        <v>0</v>
      </c>
      <c r="K7" s="1019"/>
      <c r="L7" s="2295"/>
      <c r="M7" s="2257"/>
      <c r="N7" s="2257"/>
      <c r="O7" s="2257"/>
      <c r="P7" s="3592" t="s">
        <v>64</v>
      </c>
      <c r="Q7" s="3621"/>
      <c r="R7" s="1342" t="s">
        <v>65</v>
      </c>
      <c r="S7" s="1343">
        <f t="shared" ref="S7:S15" si="0">F7</f>
        <v>0</v>
      </c>
      <c r="T7" s="1342" t="s">
        <v>65</v>
      </c>
      <c r="U7" s="1343">
        <f t="shared" ref="U7:U15" si="1">H7</f>
        <v>0</v>
      </c>
      <c r="V7" s="1342" t="s">
        <v>65</v>
      </c>
      <c r="W7" s="1343">
        <f t="shared" ref="W7:W15" si="2">J7</f>
        <v>0</v>
      </c>
      <c r="X7" s="287"/>
      <c r="Y7" s="3592" t="s">
        <v>64</v>
      </c>
      <c r="Z7" s="3593"/>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5"/>
      <c r="M8" s="2257"/>
      <c r="N8" s="2257"/>
      <c r="O8" s="2257"/>
      <c r="P8" s="3592" t="s">
        <v>1022</v>
      </c>
      <c r="Q8" s="3593"/>
      <c r="R8" s="1342" t="s">
        <v>65</v>
      </c>
      <c r="S8" s="1343">
        <f t="shared" si="0"/>
        <v>0</v>
      </c>
      <c r="T8" s="1342" t="s">
        <v>65</v>
      </c>
      <c r="U8" s="1343">
        <f t="shared" si="1"/>
        <v>0</v>
      </c>
      <c r="V8" s="1342" t="s">
        <v>65</v>
      </c>
      <c r="W8" s="1343">
        <f t="shared" si="2"/>
        <v>0</v>
      </c>
      <c r="X8" s="287"/>
      <c r="Y8" s="3592" t="s">
        <v>1022</v>
      </c>
      <c r="Z8" s="3593"/>
      <c r="AA8" s="1344" t="e">
        <f t="shared" ref="AA8:AA46" si="3">D8/F8</f>
        <v>#DIV/0!</v>
      </c>
      <c r="AB8" s="1344" t="e">
        <f t="shared" ref="AB8:AB46" si="4">D8/H8</f>
        <v>#DIV/0!</v>
      </c>
      <c r="AC8" s="1344" t="e">
        <f t="shared" ref="AC8:AC46" si="5">D8/J8</f>
        <v>#DIV/0!</v>
      </c>
    </row>
    <row r="9" spans="1:29" s="40" customFormat="1" ht="14.25">
      <c r="A9" s="1021" t="s">
        <v>1023</v>
      </c>
      <c r="B9" s="62" t="s">
        <v>1024</v>
      </c>
      <c r="C9" s="1346"/>
      <c r="D9" s="425">
        <v>100</v>
      </c>
      <c r="E9" s="1347"/>
      <c r="F9" s="761">
        <f>SUMIF(63:63,E9,64:64)-SUMIF(63:63,C9,64:64)+100</f>
        <v>100</v>
      </c>
      <c r="G9" s="1347"/>
      <c r="H9" s="425">
        <f>SUMIF(63:63,G9,64:64)-SUMIF(63:63,C9,64:64)+100</f>
        <v>100</v>
      </c>
      <c r="I9" s="1347"/>
      <c r="J9" s="425">
        <f>SUMIF(63:63,I9,64:64)-SUMIF(63:63,C9,64:64)+100</f>
        <v>100</v>
      </c>
      <c r="K9" s="1019"/>
      <c r="L9" s="2295"/>
      <c r="M9" s="2257"/>
      <c r="N9" s="2257"/>
      <c r="O9" s="2257"/>
      <c r="P9" s="3602" t="s">
        <v>67</v>
      </c>
      <c r="Q9" s="7" t="str">
        <f t="shared" ref="Q9:Q15" si="6">B9</f>
        <v>用途</v>
      </c>
      <c r="R9" s="1342" t="s">
        <v>65</v>
      </c>
      <c r="S9" s="1343">
        <f t="shared" si="0"/>
        <v>100</v>
      </c>
      <c r="T9" s="1342" t="s">
        <v>65</v>
      </c>
      <c r="U9" s="1343">
        <f t="shared" si="1"/>
        <v>100</v>
      </c>
      <c r="V9" s="1342" t="s">
        <v>65</v>
      </c>
      <c r="W9" s="1343">
        <f t="shared" si="2"/>
        <v>100</v>
      </c>
      <c r="X9" s="287"/>
      <c r="Y9" s="345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6"/>
      <c r="M10" s="2297"/>
      <c r="N10" s="2297"/>
      <c r="O10" s="2297"/>
      <c r="P10" s="3602"/>
      <c r="Q10" s="7" t="str">
        <f t="shared" si="6"/>
        <v>土地使用年限（年）</v>
      </c>
      <c r="R10" s="1342" t="s">
        <v>65</v>
      </c>
      <c r="S10" s="1343">
        <f t="shared" si="0"/>
        <v>100</v>
      </c>
      <c r="T10" s="1342" t="s">
        <v>65</v>
      </c>
      <c r="U10" s="1343">
        <f t="shared" si="1"/>
        <v>100</v>
      </c>
      <c r="V10" s="1342" t="s">
        <v>65</v>
      </c>
      <c r="W10" s="1343">
        <f t="shared" si="2"/>
        <v>100</v>
      </c>
      <c r="X10" s="287"/>
      <c r="Y10" s="345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8"/>
      <c r="M11" s="2294"/>
      <c r="N11" s="2294"/>
      <c r="O11" s="2294"/>
      <c r="P11" s="3602"/>
      <c r="Q11" s="7" t="str">
        <f t="shared" si="6"/>
        <v>容积率</v>
      </c>
      <c r="R11" s="1342" t="s">
        <v>65</v>
      </c>
      <c r="S11" s="1343" t="e">
        <f t="shared" si="0"/>
        <v>#N/A</v>
      </c>
      <c r="T11" s="1342" t="s">
        <v>65</v>
      </c>
      <c r="U11" s="1343" t="e">
        <f t="shared" si="1"/>
        <v>#N/A</v>
      </c>
      <c r="V11" s="1342" t="s">
        <v>65</v>
      </c>
      <c r="W11" s="1343" t="e">
        <f t="shared" si="2"/>
        <v>#N/A</v>
      </c>
      <c r="X11" s="287"/>
      <c r="Y11" s="345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02"/>
      <c r="Q12" s="7">
        <f t="shared" si="6"/>
        <v>111</v>
      </c>
      <c r="R12" s="1342" t="s">
        <v>65</v>
      </c>
      <c r="S12" s="1343">
        <f t="shared" si="0"/>
        <v>100</v>
      </c>
      <c r="T12" s="1342" t="s">
        <v>65</v>
      </c>
      <c r="U12" s="1343">
        <f t="shared" si="1"/>
        <v>100</v>
      </c>
      <c r="V12" s="1342" t="s">
        <v>65</v>
      </c>
      <c r="W12" s="1343">
        <f t="shared" si="2"/>
        <v>100</v>
      </c>
      <c r="X12" s="287"/>
      <c r="Y12" s="345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02"/>
      <c r="Q13" s="7">
        <f t="shared" si="6"/>
        <v>111</v>
      </c>
      <c r="R13" s="1342" t="s">
        <v>65</v>
      </c>
      <c r="S13" s="1343">
        <f t="shared" si="0"/>
        <v>100</v>
      </c>
      <c r="T13" s="1342" t="s">
        <v>65</v>
      </c>
      <c r="U13" s="1343">
        <f t="shared" si="1"/>
        <v>100</v>
      </c>
      <c r="V13" s="1342" t="s">
        <v>65</v>
      </c>
      <c r="W13" s="1343">
        <f t="shared" si="2"/>
        <v>100</v>
      </c>
      <c r="X13" s="287"/>
      <c r="Y13" s="3457"/>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02"/>
      <c r="Q14" s="7">
        <f t="shared" si="6"/>
        <v>111</v>
      </c>
      <c r="R14" s="1342" t="s">
        <v>65</v>
      </c>
      <c r="S14" s="1343">
        <f t="shared" si="0"/>
        <v>100</v>
      </c>
      <c r="T14" s="1342" t="s">
        <v>65</v>
      </c>
      <c r="U14" s="1343">
        <f t="shared" si="1"/>
        <v>100</v>
      </c>
      <c r="V14" s="1342" t="s">
        <v>65</v>
      </c>
      <c r="W14" s="1343">
        <f t="shared" si="2"/>
        <v>100</v>
      </c>
      <c r="X14" s="287"/>
      <c r="Y14" s="3457"/>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299"/>
      <c r="M15" s="2294"/>
      <c r="N15" s="2294"/>
      <c r="O15" s="2294"/>
      <c r="P15" s="3622" t="s">
        <v>69</v>
      </c>
      <c r="Q15" s="1351" t="str">
        <f t="shared" si="6"/>
        <v>商业繁华度</v>
      </c>
      <c r="R15" s="1352" t="s">
        <v>65</v>
      </c>
      <c r="S15" s="1353">
        <f t="shared" si="0"/>
        <v>100</v>
      </c>
      <c r="T15" s="1352" t="s">
        <v>65</v>
      </c>
      <c r="U15" s="1353">
        <f t="shared" si="1"/>
        <v>100</v>
      </c>
      <c r="V15" s="1352" t="s">
        <v>65</v>
      </c>
      <c r="W15" s="1353">
        <f t="shared" si="2"/>
        <v>100</v>
      </c>
      <c r="X15" s="1340"/>
      <c r="Y15" s="3624"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294"/>
      <c r="P16" s="3623"/>
      <c r="Q16" s="1351"/>
      <c r="R16" s="1352"/>
      <c r="S16" s="1353"/>
      <c r="T16" s="1352"/>
      <c r="U16" s="1353"/>
      <c r="V16" s="1352"/>
      <c r="W16" s="1353"/>
      <c r="X16" s="1340"/>
      <c r="Y16" s="3625"/>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299"/>
      <c r="M17" s="2294"/>
      <c r="N17" s="2294"/>
      <c r="O17" s="2294"/>
      <c r="P17" s="3623"/>
      <c r="Q17" s="1351" t="str">
        <f>B17</f>
        <v>交通便捷度</v>
      </c>
      <c r="R17" s="1352" t="s">
        <v>65</v>
      </c>
      <c r="S17" s="1353">
        <f>F17</f>
        <v>100</v>
      </c>
      <c r="T17" s="1352" t="s">
        <v>65</v>
      </c>
      <c r="U17" s="1353">
        <f>H17</f>
        <v>100</v>
      </c>
      <c r="V17" s="1352" t="s">
        <v>65</v>
      </c>
      <c r="W17" s="1353">
        <f>J17</f>
        <v>100</v>
      </c>
      <c r="X17" s="1340"/>
      <c r="Y17" s="362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294"/>
      <c r="P18" s="3623"/>
      <c r="Q18" s="1351"/>
      <c r="R18" s="1352"/>
      <c r="S18" s="1353"/>
      <c r="T18" s="1352"/>
      <c r="U18" s="1353"/>
      <c r="V18" s="1352"/>
      <c r="W18" s="1353"/>
      <c r="X18" s="1340"/>
      <c r="Y18" s="3625"/>
      <c r="Z18" s="1354"/>
      <c r="AA18" s="1355">
        <v>1</v>
      </c>
      <c r="AB18" s="1355">
        <v>1</v>
      </c>
      <c r="AC18" s="1355">
        <v>1</v>
      </c>
    </row>
    <row r="19" spans="1:29" ht="40.5">
      <c r="A19" s="151"/>
      <c r="B19" s="1356" t="s">
        <v>2651</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299"/>
      <c r="M19" s="2294"/>
      <c r="N19" s="2294"/>
      <c r="O19" s="2294"/>
      <c r="P19" s="3623"/>
      <c r="Q19" s="1351" t="str">
        <f>B19</f>
        <v>公共配套设施</v>
      </c>
      <c r="R19" s="1352" t="s">
        <v>65</v>
      </c>
      <c r="S19" s="1353">
        <f>F19</f>
        <v>100</v>
      </c>
      <c r="T19" s="1352" t="s">
        <v>65</v>
      </c>
      <c r="U19" s="1353">
        <f>H19</f>
        <v>100</v>
      </c>
      <c r="V19" s="1352" t="s">
        <v>65</v>
      </c>
      <c r="W19" s="1353">
        <f>J19</f>
        <v>100</v>
      </c>
      <c r="X19" s="1340"/>
      <c r="Y19" s="362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294"/>
      <c r="P20" s="3623"/>
      <c r="Q20" s="1351"/>
      <c r="R20" s="1352"/>
      <c r="S20" s="1353"/>
      <c r="T20" s="1352"/>
      <c r="U20" s="1353"/>
      <c r="V20" s="1352"/>
      <c r="W20" s="1353"/>
      <c r="X20" s="1340"/>
      <c r="Y20" s="3625"/>
      <c r="Z20" s="1354"/>
      <c r="AA20" s="1355">
        <v>1</v>
      </c>
      <c r="AB20" s="1355">
        <v>1</v>
      </c>
      <c r="AC20" s="1355">
        <v>1</v>
      </c>
    </row>
    <row r="21" spans="1:29" ht="27">
      <c r="A21" s="151"/>
      <c r="B21" s="1412" t="s">
        <v>2652</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623"/>
      <c r="Q21" s="2743" t="str">
        <f>B21</f>
        <v>基础设施水平</v>
      </c>
      <c r="R21" s="1352" t="s">
        <v>65</v>
      </c>
      <c r="S21" s="1353">
        <f>F21</f>
        <v>100</v>
      </c>
      <c r="T21" s="1352" t="s">
        <v>65</v>
      </c>
      <c r="U21" s="1353">
        <f>H21</f>
        <v>100</v>
      </c>
      <c r="V21" s="1352" t="s">
        <v>65</v>
      </c>
      <c r="W21" s="1353">
        <f>J21</f>
        <v>100</v>
      </c>
      <c r="X21" s="2745"/>
      <c r="Y21" s="3625"/>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3"/>
      <c r="L22" s="2299"/>
      <c r="M22" s="2294"/>
      <c r="N22" s="2294"/>
      <c r="O22" s="2294"/>
      <c r="P22" s="3623"/>
      <c r="Q22" s="2743"/>
      <c r="R22" s="1352"/>
      <c r="S22" s="1353"/>
      <c r="T22" s="1352"/>
      <c r="U22" s="1353"/>
      <c r="V22" s="1352"/>
      <c r="W22" s="1353"/>
      <c r="X22" s="2745"/>
      <c r="Y22" s="3625"/>
      <c r="Z22" s="2744"/>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299"/>
      <c r="M23" s="2294"/>
      <c r="N23" s="2294"/>
      <c r="O23" s="2294"/>
      <c r="P23" s="3623"/>
      <c r="Q23" s="1351" t="str">
        <f>B23</f>
        <v>自然及人文环境</v>
      </c>
      <c r="R23" s="1352" t="s">
        <v>65</v>
      </c>
      <c r="S23" s="1353">
        <f>F23</f>
        <v>100</v>
      </c>
      <c r="T23" s="1352" t="s">
        <v>65</v>
      </c>
      <c r="U23" s="1353">
        <f>H23</f>
        <v>100</v>
      </c>
      <c r="V23" s="1352" t="s">
        <v>65</v>
      </c>
      <c r="W23" s="1353">
        <f>J23</f>
        <v>100</v>
      </c>
      <c r="X23" s="1340"/>
      <c r="Y23" s="3625"/>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299"/>
      <c r="M24" s="2294"/>
      <c r="N24" s="2294"/>
      <c r="O24" s="2294"/>
      <c r="P24" s="3623"/>
      <c r="Q24" s="1351"/>
      <c r="R24" s="1352"/>
      <c r="S24" s="1353"/>
      <c r="T24" s="1352"/>
      <c r="U24" s="1353"/>
      <c r="V24" s="1352"/>
      <c r="W24" s="1353"/>
      <c r="X24" s="1340"/>
      <c r="Y24" s="3625"/>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299"/>
      <c r="M25" s="2294"/>
      <c r="N25" s="2294"/>
      <c r="O25" s="2294"/>
      <c r="P25" s="3623"/>
      <c r="Q25" s="1351" t="str">
        <f t="shared" ref="Q25:Q46" si="11">B25</f>
        <v>临街状况</v>
      </c>
      <c r="R25" s="1352" t="s">
        <v>65</v>
      </c>
      <c r="S25" s="1353">
        <f>F25</f>
        <v>100</v>
      </c>
      <c r="T25" s="1352" t="s">
        <v>65</v>
      </c>
      <c r="U25" s="1353">
        <f>H25</f>
        <v>100</v>
      </c>
      <c r="V25" s="1352" t="s">
        <v>65</v>
      </c>
      <c r="W25" s="1353">
        <f>J25</f>
        <v>100</v>
      </c>
      <c r="X25" s="1340"/>
      <c r="Y25" s="3625"/>
      <c r="Z25" s="1354" t="str">
        <f>Q25</f>
        <v>临街状况</v>
      </c>
      <c r="AA25" s="1355">
        <f t="shared" si="3"/>
        <v>1</v>
      </c>
      <c r="AB25" s="1355">
        <f t="shared" si="4"/>
        <v>1</v>
      </c>
      <c r="AC25" s="1355">
        <f t="shared" si="5"/>
        <v>1</v>
      </c>
    </row>
    <row r="26" spans="1:29" ht="14.25">
      <c r="A26" s="151"/>
      <c r="B26" s="1357" t="s">
        <v>1025</v>
      </c>
      <c r="C26" s="93"/>
      <c r="D26" s="778">
        <v>100</v>
      </c>
      <c r="E26" s="93"/>
      <c r="F26" s="804">
        <f>SUMIF(88:88,E26,89:89)-SUMIF(88:88,C26,89:89)+100</f>
        <v>100</v>
      </c>
      <c r="G26" s="93"/>
      <c r="H26" s="778">
        <f>SUMIF(88:88,G26,89:89)-SUMIF(88:88,C26,89:89)+100</f>
        <v>100</v>
      </c>
      <c r="I26" s="93"/>
      <c r="J26" s="778">
        <f>SUMIF(88:88,I26,89:89)-SUMIF(88:88,C26,89:89)+100</f>
        <v>100</v>
      </c>
      <c r="K26" s="188"/>
      <c r="L26" s="2299"/>
      <c r="M26" s="2294"/>
      <c r="N26" s="2294"/>
      <c r="O26" s="2294"/>
      <c r="P26" s="3623"/>
      <c r="Q26" s="1351" t="str">
        <f t="shared" si="11"/>
        <v>平面位置/可视性</v>
      </c>
      <c r="R26" s="1352" t="s">
        <v>65</v>
      </c>
      <c r="S26" s="1353">
        <f>F26</f>
        <v>100</v>
      </c>
      <c r="T26" s="1352" t="s">
        <v>65</v>
      </c>
      <c r="U26" s="1353">
        <f>H26</f>
        <v>100</v>
      </c>
      <c r="V26" s="1352" t="s">
        <v>65</v>
      </c>
      <c r="W26" s="1353">
        <f>J26</f>
        <v>100</v>
      </c>
      <c r="X26" s="1340"/>
      <c r="Y26" s="3625"/>
      <c r="Z26" s="1354" t="str">
        <f>Q26</f>
        <v>平面位置/可视性</v>
      </c>
      <c r="AA26" s="1355">
        <f t="shared" si="3"/>
        <v>1</v>
      </c>
      <c r="AB26" s="1355">
        <f t="shared" si="4"/>
        <v>1</v>
      </c>
      <c r="AC26" s="1355">
        <f t="shared" si="5"/>
        <v>1</v>
      </c>
    </row>
    <row r="27" spans="1:29" s="40" customFormat="1" ht="15">
      <c r="A27" s="1030"/>
      <c r="B27" s="1356" t="s">
        <v>1026</v>
      </c>
      <c r="C27" s="1387"/>
      <c r="D27" s="805">
        <v>100</v>
      </c>
      <c r="E27" s="1387"/>
      <c r="F27" s="807">
        <f>SUMIF(90:90,E27,91:91)-SUMIF(90:90,C27,91:91)+100</f>
        <v>100</v>
      </c>
      <c r="G27" s="1387"/>
      <c r="H27" s="805">
        <f>SUMIF(90:90,G27,91:91)-SUMIF(90:90,C27,91:91)+100</f>
        <v>100</v>
      </c>
      <c r="I27" s="1387"/>
      <c r="J27" s="805">
        <f>SUMIF(90:90,I27,91:91)-SUMIF(90:90,C27,91:91)+100</f>
        <v>100</v>
      </c>
      <c r="K27" s="955"/>
      <c r="L27" s="2295"/>
      <c r="M27" s="2257"/>
      <c r="N27" s="2257"/>
      <c r="O27" s="2257"/>
      <c r="P27" s="3623"/>
      <c r="Q27" s="7" t="str">
        <f t="shared" si="11"/>
        <v>人流量</v>
      </c>
      <c r="R27" s="1342" t="s">
        <v>65</v>
      </c>
      <c r="S27" s="1343">
        <f>F27</f>
        <v>100</v>
      </c>
      <c r="T27" s="1342" t="s">
        <v>65</v>
      </c>
      <c r="U27" s="1343">
        <f>H27</f>
        <v>100</v>
      </c>
      <c r="V27" s="1342" t="s">
        <v>65</v>
      </c>
      <c r="W27" s="1343">
        <f>J27</f>
        <v>100</v>
      </c>
      <c r="X27" s="287"/>
      <c r="Y27" s="3625"/>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9"/>
      <c r="M28" s="2294"/>
      <c r="N28" s="2294"/>
      <c r="O28" s="2294"/>
      <c r="P28" s="3623"/>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2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23"/>
      <c r="Q29" s="1351">
        <f t="shared" si="11"/>
        <v>111</v>
      </c>
      <c r="R29" s="1352" t="s">
        <v>65</v>
      </c>
      <c r="S29" s="1353">
        <f t="shared" si="12"/>
        <v>100</v>
      </c>
      <c r="T29" s="1352" t="s">
        <v>65</v>
      </c>
      <c r="U29" s="1353">
        <f t="shared" si="13"/>
        <v>100</v>
      </c>
      <c r="V29" s="1352" t="s">
        <v>65</v>
      </c>
      <c r="W29" s="1353">
        <f t="shared" si="14"/>
        <v>100</v>
      </c>
      <c r="X29" s="1340"/>
      <c r="Y29" s="362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23"/>
      <c r="Q30" s="1351">
        <f t="shared" si="11"/>
        <v>111</v>
      </c>
      <c r="R30" s="1352" t="s">
        <v>65</v>
      </c>
      <c r="S30" s="1353">
        <f t="shared" si="12"/>
        <v>100</v>
      </c>
      <c r="T30" s="1352" t="s">
        <v>65</v>
      </c>
      <c r="U30" s="1353">
        <f t="shared" si="13"/>
        <v>100</v>
      </c>
      <c r="V30" s="1352" t="s">
        <v>65</v>
      </c>
      <c r="W30" s="1353">
        <f t="shared" si="14"/>
        <v>100</v>
      </c>
      <c r="X30" s="1340"/>
      <c r="Y30" s="362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23"/>
      <c r="Q31" s="1351">
        <f t="shared" si="11"/>
        <v>111</v>
      </c>
      <c r="R31" s="1352" t="s">
        <v>65</v>
      </c>
      <c r="S31" s="1353">
        <f t="shared" si="12"/>
        <v>100</v>
      </c>
      <c r="T31" s="1352" t="s">
        <v>65</v>
      </c>
      <c r="U31" s="1353">
        <f t="shared" si="13"/>
        <v>100</v>
      </c>
      <c r="V31" s="1352" t="s">
        <v>65</v>
      </c>
      <c r="W31" s="1353">
        <f t="shared" si="14"/>
        <v>100</v>
      </c>
      <c r="X31" s="1340"/>
      <c r="Y31" s="3625"/>
      <c r="Z31" s="1354">
        <f t="shared" si="15"/>
        <v>111</v>
      </c>
      <c r="AA31" s="1355">
        <f t="shared" si="3"/>
        <v>1</v>
      </c>
      <c r="AB31" s="1355">
        <f t="shared" si="4"/>
        <v>1</v>
      </c>
      <c r="AC31" s="1355">
        <f t="shared" si="5"/>
        <v>1</v>
      </c>
    </row>
    <row r="32" spans="1:29" ht="15">
      <c r="A32" s="155" t="s">
        <v>1027</v>
      </c>
      <c r="B32" s="62" t="s">
        <v>1028</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9"/>
      <c r="M32" s="2294"/>
      <c r="N32" s="2294"/>
      <c r="O32" s="2294"/>
      <c r="P32" s="3626" t="s">
        <v>1029</v>
      </c>
      <c r="Q32" s="1351" t="str">
        <f t="shared" si="11"/>
        <v>商业类型</v>
      </c>
      <c r="R32" s="1352" t="s">
        <v>65</v>
      </c>
      <c r="S32" s="1353">
        <f t="shared" si="12"/>
        <v>100</v>
      </c>
      <c r="T32" s="1352" t="s">
        <v>65</v>
      </c>
      <c r="U32" s="1353">
        <f t="shared" si="13"/>
        <v>100</v>
      </c>
      <c r="V32" s="1352" t="s">
        <v>65</v>
      </c>
      <c r="W32" s="1353">
        <f t="shared" si="14"/>
        <v>100</v>
      </c>
      <c r="X32" s="1340"/>
      <c r="Y32" s="3629" t="s">
        <v>1029</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8"/>
      <c r="M33" s="2300"/>
      <c r="N33" s="2300"/>
      <c r="O33" s="2300"/>
      <c r="P33" s="3627"/>
      <c r="Q33" s="1359" t="str">
        <f t="shared" si="11"/>
        <v>项目建筑规模</v>
      </c>
      <c r="R33" s="1360" t="s">
        <v>65</v>
      </c>
      <c r="S33" s="1361" t="e">
        <f t="shared" si="12"/>
        <v>#N/A</v>
      </c>
      <c r="T33" s="1360" t="s">
        <v>65</v>
      </c>
      <c r="U33" s="1361" t="e">
        <f t="shared" si="13"/>
        <v>#N/A</v>
      </c>
      <c r="V33" s="1360" t="s">
        <v>65</v>
      </c>
      <c r="W33" s="1361" t="e">
        <f t="shared" si="14"/>
        <v>#N/A</v>
      </c>
      <c r="X33" s="1362"/>
      <c r="Y33" s="3629"/>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9"/>
      <c r="M34" s="2294"/>
      <c r="N34" s="2294"/>
      <c r="O34" s="2294"/>
      <c r="P34" s="3627"/>
      <c r="Q34" s="1351" t="str">
        <f t="shared" si="11"/>
        <v>建筑结构</v>
      </c>
      <c r="R34" s="1352" t="s">
        <v>65</v>
      </c>
      <c r="S34" s="1353">
        <f t="shared" si="12"/>
        <v>100</v>
      </c>
      <c r="T34" s="1352" t="s">
        <v>65</v>
      </c>
      <c r="U34" s="1353">
        <f t="shared" si="13"/>
        <v>100</v>
      </c>
      <c r="V34" s="1352" t="s">
        <v>65</v>
      </c>
      <c r="W34" s="1353">
        <f t="shared" si="14"/>
        <v>100</v>
      </c>
      <c r="X34" s="1340"/>
      <c r="Y34" s="3629"/>
      <c r="Z34" s="1354" t="str">
        <f t="shared" si="15"/>
        <v>建筑结构</v>
      </c>
      <c r="AA34" s="1355">
        <f t="shared" si="3"/>
        <v>1</v>
      </c>
      <c r="AB34" s="1355">
        <f t="shared" si="4"/>
        <v>1</v>
      </c>
      <c r="AC34" s="1355">
        <f t="shared" si="5"/>
        <v>1</v>
      </c>
    </row>
    <row r="35" spans="1:29" ht="15">
      <c r="A35" s="161"/>
      <c r="B35" s="12" t="s">
        <v>1030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9"/>
      <c r="M35" s="2294"/>
      <c r="N35" s="2294"/>
      <c r="O35" s="2294"/>
      <c r="P35" s="3627"/>
      <c r="Q35" s="1351" t="str">
        <f t="shared" si="11"/>
        <v>公共部分装修</v>
      </c>
      <c r="R35" s="1352" t="s">
        <v>65</v>
      </c>
      <c r="S35" s="1353">
        <f t="shared" si="12"/>
        <v>100</v>
      </c>
      <c r="T35" s="1352" t="s">
        <v>65</v>
      </c>
      <c r="U35" s="1353">
        <f t="shared" si="13"/>
        <v>100</v>
      </c>
      <c r="V35" s="1352" t="s">
        <v>65</v>
      </c>
      <c r="W35" s="1353">
        <f t="shared" si="14"/>
        <v>100</v>
      </c>
      <c r="X35" s="1340"/>
      <c r="Y35" s="3629"/>
      <c r="Z35" s="1354" t="str">
        <f t="shared" si="15"/>
        <v>公共部分装修</v>
      </c>
      <c r="AA35" s="1355">
        <f t="shared" si="3"/>
        <v>1</v>
      </c>
      <c r="AB35" s="1355">
        <f t="shared" si="4"/>
        <v>1</v>
      </c>
      <c r="AC35" s="1355">
        <f t="shared" si="5"/>
        <v>1</v>
      </c>
    </row>
    <row r="36" spans="1:29" ht="15">
      <c r="A36" s="161"/>
      <c r="B36" s="12" t="s">
        <v>1031</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9"/>
      <c r="M36" s="2294"/>
      <c r="N36" s="2294"/>
      <c r="O36" s="2294"/>
      <c r="P36" s="3627"/>
      <c r="Q36" s="1351" t="str">
        <f t="shared" si="11"/>
        <v>成新度</v>
      </c>
      <c r="R36" s="1352" t="s">
        <v>65</v>
      </c>
      <c r="S36" s="1353" t="e">
        <f t="shared" si="12"/>
        <v>#N/A</v>
      </c>
      <c r="T36" s="1352" t="s">
        <v>65</v>
      </c>
      <c r="U36" s="1353" t="e">
        <f t="shared" si="13"/>
        <v>#N/A</v>
      </c>
      <c r="V36" s="1352" t="s">
        <v>65</v>
      </c>
      <c r="W36" s="1353" t="e">
        <f t="shared" si="14"/>
        <v>#N/A</v>
      </c>
      <c r="X36" s="1340"/>
      <c r="Y36" s="3629"/>
      <c r="Z36" s="1354" t="str">
        <f t="shared" si="15"/>
        <v>成新度</v>
      </c>
      <c r="AA36" s="1355" t="e">
        <f t="shared" si="3"/>
        <v>#N/A</v>
      </c>
      <c r="AB36" s="1355" t="e">
        <f t="shared" si="4"/>
        <v>#N/A</v>
      </c>
      <c r="AC36" s="1355" t="e">
        <f t="shared" si="5"/>
        <v>#N/A</v>
      </c>
    </row>
    <row r="37" spans="1:29" s="40" customFormat="1" ht="15">
      <c r="A37" s="1041"/>
      <c r="B37" s="12" t="s">
        <v>2653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5"/>
      <c r="M37" s="2257"/>
      <c r="N37" s="2257"/>
      <c r="O37" s="2257"/>
      <c r="P37" s="3627"/>
      <c r="Q37" s="7" t="str">
        <f t="shared" si="11"/>
        <v>市政基础设施</v>
      </c>
      <c r="R37" s="1342" t="s">
        <v>65</v>
      </c>
      <c r="S37" s="1343">
        <f t="shared" si="12"/>
        <v>100</v>
      </c>
      <c r="T37" s="1342" t="s">
        <v>65</v>
      </c>
      <c r="U37" s="1343">
        <f t="shared" si="13"/>
        <v>100</v>
      </c>
      <c r="V37" s="1342" t="s">
        <v>65</v>
      </c>
      <c r="W37" s="1343">
        <f t="shared" si="14"/>
        <v>100</v>
      </c>
      <c r="X37" s="287"/>
      <c r="Y37" s="362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9"/>
      <c r="M38" s="2294"/>
      <c r="N38" s="2294"/>
      <c r="O38" s="2294"/>
      <c r="P38" s="3627" t="s">
        <v>1032</v>
      </c>
      <c r="Q38" s="1351" t="str">
        <f t="shared" si="11"/>
        <v>业态</v>
      </c>
      <c r="R38" s="1352" t="s">
        <v>65</v>
      </c>
      <c r="S38" s="1353">
        <f t="shared" si="12"/>
        <v>100</v>
      </c>
      <c r="T38" s="1352" t="s">
        <v>65</v>
      </c>
      <c r="U38" s="1353">
        <f t="shared" si="13"/>
        <v>100</v>
      </c>
      <c r="V38" s="1352" t="s">
        <v>65</v>
      </c>
      <c r="W38" s="1353">
        <f t="shared" si="14"/>
        <v>100</v>
      </c>
      <c r="X38" s="1340"/>
      <c r="Y38" s="3629" t="s">
        <v>1032</v>
      </c>
      <c r="Z38" s="1354" t="str">
        <f t="shared" si="15"/>
        <v>业态</v>
      </c>
      <c r="AA38" s="1355">
        <f t="shared" si="3"/>
        <v>1</v>
      </c>
      <c r="AB38" s="1355">
        <f t="shared" si="4"/>
        <v>1</v>
      </c>
      <c r="AC38" s="1355">
        <f t="shared" si="5"/>
        <v>1</v>
      </c>
    </row>
    <row r="39" spans="1:29" ht="15">
      <c r="A39" s="161"/>
      <c r="B39" s="12" t="s">
        <v>1033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9"/>
      <c r="M39" s="2294"/>
      <c r="N39" s="2294"/>
      <c r="O39" s="2294"/>
      <c r="P39" s="3627"/>
      <c r="Q39" s="1351" t="str">
        <f t="shared" si="11"/>
        <v>层高</v>
      </c>
      <c r="R39" s="1352" t="s">
        <v>65</v>
      </c>
      <c r="S39" s="1353">
        <f t="shared" si="12"/>
        <v>100</v>
      </c>
      <c r="T39" s="1352" t="s">
        <v>65</v>
      </c>
      <c r="U39" s="1353">
        <f t="shared" si="13"/>
        <v>100</v>
      </c>
      <c r="V39" s="1352" t="s">
        <v>65</v>
      </c>
      <c r="W39" s="1353">
        <f t="shared" si="14"/>
        <v>100</v>
      </c>
      <c r="X39" s="1340"/>
      <c r="Y39" s="3629"/>
      <c r="Z39" s="1354" t="str">
        <f t="shared" si="15"/>
        <v>层高</v>
      </c>
      <c r="AA39" s="1355">
        <f t="shared" si="3"/>
        <v>1</v>
      </c>
      <c r="AB39" s="1355">
        <f t="shared" si="4"/>
        <v>1</v>
      </c>
      <c r="AC39" s="1355">
        <f t="shared" si="5"/>
        <v>1</v>
      </c>
    </row>
    <row r="40" spans="1:29" ht="14.25">
      <c r="A40" s="161"/>
      <c r="B40" s="12" t="s">
        <v>1034</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27"/>
      <c r="Q40" s="1351" t="str">
        <f t="shared" si="11"/>
        <v>单套建筑面积</v>
      </c>
      <c r="R40" s="1352" t="s">
        <v>65</v>
      </c>
      <c r="S40" s="1353">
        <f t="shared" si="12"/>
        <v>100</v>
      </c>
      <c r="T40" s="1352" t="s">
        <v>65</v>
      </c>
      <c r="U40" s="1353">
        <f t="shared" si="13"/>
        <v>100</v>
      </c>
      <c r="V40" s="1352" t="s">
        <v>65</v>
      </c>
      <c r="W40" s="1353">
        <f t="shared" si="14"/>
        <v>100</v>
      </c>
      <c r="X40" s="1340"/>
      <c r="Y40" s="3629"/>
      <c r="Z40" s="1354" t="str">
        <f t="shared" si="15"/>
        <v>单套建筑面积</v>
      </c>
      <c r="AA40" s="1355">
        <f t="shared" si="3"/>
        <v>1</v>
      </c>
      <c r="AB40" s="1355">
        <f t="shared" si="4"/>
        <v>1</v>
      </c>
      <c r="AC40" s="1355">
        <f t="shared" si="5"/>
        <v>1</v>
      </c>
    </row>
    <row r="41" spans="1:29" s="1039" customFormat="1" ht="15">
      <c r="A41" s="1043"/>
      <c r="B41" s="191" t="s">
        <v>1035</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8"/>
      <c r="M41" s="2300"/>
      <c r="N41" s="2300"/>
      <c r="O41" s="2300"/>
      <c r="P41" s="3627"/>
      <c r="Q41" s="1359" t="str">
        <f t="shared" si="11"/>
        <v>进深比</v>
      </c>
      <c r="R41" s="1360" t="s">
        <v>65</v>
      </c>
      <c r="S41" s="1361">
        <f t="shared" si="12"/>
        <v>100</v>
      </c>
      <c r="T41" s="1360" t="s">
        <v>65</v>
      </c>
      <c r="U41" s="1361">
        <f t="shared" si="13"/>
        <v>100</v>
      </c>
      <c r="V41" s="1360" t="s">
        <v>65</v>
      </c>
      <c r="W41" s="1361">
        <f t="shared" si="14"/>
        <v>100</v>
      </c>
      <c r="X41" s="1362"/>
      <c r="Y41" s="3629"/>
      <c r="Z41" s="1363" t="str">
        <f t="shared" si="15"/>
        <v>进深比</v>
      </c>
      <c r="AA41" s="1355">
        <f t="shared" si="3"/>
        <v>1</v>
      </c>
      <c r="AB41" s="1355">
        <f t="shared" si="4"/>
        <v>1</v>
      </c>
      <c r="AC41" s="1355">
        <f t="shared" si="5"/>
        <v>1</v>
      </c>
    </row>
    <row r="42" spans="1:29" ht="15">
      <c r="A42" s="161"/>
      <c r="B42" s="12" t="s">
        <v>1036</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9"/>
      <c r="M42" s="2294"/>
      <c r="N42" s="2294"/>
      <c r="O42" s="2294"/>
      <c r="P42" s="3627"/>
      <c r="Q42" s="1351" t="str">
        <f t="shared" si="11"/>
        <v>内部装修</v>
      </c>
      <c r="R42" s="1352" t="s">
        <v>65</v>
      </c>
      <c r="S42" s="1353">
        <f t="shared" si="12"/>
        <v>100</v>
      </c>
      <c r="T42" s="1352" t="s">
        <v>65</v>
      </c>
      <c r="U42" s="1353">
        <f t="shared" si="13"/>
        <v>100</v>
      </c>
      <c r="V42" s="1352" t="s">
        <v>65</v>
      </c>
      <c r="W42" s="1353">
        <f t="shared" si="14"/>
        <v>100</v>
      </c>
      <c r="X42" s="1340"/>
      <c r="Y42" s="3629"/>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9"/>
      <c r="M43" s="2294"/>
      <c r="N43" s="2294"/>
      <c r="O43" s="2294"/>
      <c r="P43" s="3627"/>
      <c r="Q43" s="1351" t="str">
        <f t="shared" si="11"/>
        <v>内部装修维护情况</v>
      </c>
      <c r="R43" s="1352" t="s">
        <v>65</v>
      </c>
      <c r="S43" s="1353">
        <f t="shared" si="12"/>
        <v>100</v>
      </c>
      <c r="T43" s="1352" t="s">
        <v>65</v>
      </c>
      <c r="U43" s="1353">
        <f t="shared" si="13"/>
        <v>100</v>
      </c>
      <c r="V43" s="1352" t="s">
        <v>65</v>
      </c>
      <c r="W43" s="1353">
        <f t="shared" si="14"/>
        <v>100</v>
      </c>
      <c r="X43" s="1340"/>
      <c r="Y43" s="362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27"/>
      <c r="Q44" s="7">
        <f t="shared" si="11"/>
        <v>111</v>
      </c>
      <c r="R44" s="1342" t="s">
        <v>65</v>
      </c>
      <c r="S44" s="1343">
        <f t="shared" si="12"/>
        <v>100</v>
      </c>
      <c r="T44" s="1342" t="s">
        <v>65</v>
      </c>
      <c r="U44" s="1343">
        <f t="shared" si="13"/>
        <v>100</v>
      </c>
      <c r="V44" s="1342" t="s">
        <v>65</v>
      </c>
      <c r="W44" s="1343">
        <f t="shared" si="14"/>
        <v>100</v>
      </c>
      <c r="X44" s="287"/>
      <c r="Y44" s="362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27"/>
      <c r="Q45" s="1351">
        <f t="shared" si="11"/>
        <v>111</v>
      </c>
      <c r="R45" s="1352" t="s">
        <v>65</v>
      </c>
      <c r="S45" s="1353">
        <f t="shared" si="12"/>
        <v>100</v>
      </c>
      <c r="T45" s="1352" t="s">
        <v>65</v>
      </c>
      <c r="U45" s="1353">
        <f t="shared" si="13"/>
        <v>100</v>
      </c>
      <c r="V45" s="1352" t="s">
        <v>65</v>
      </c>
      <c r="W45" s="1353">
        <f t="shared" si="14"/>
        <v>100</v>
      </c>
      <c r="X45" s="1340"/>
      <c r="Y45" s="362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28"/>
      <c r="Q46" s="1351">
        <f t="shared" si="11"/>
        <v>111</v>
      </c>
      <c r="R46" s="1352" t="s">
        <v>65</v>
      </c>
      <c r="S46" s="1353">
        <f t="shared" si="12"/>
        <v>100</v>
      </c>
      <c r="T46" s="1352" t="s">
        <v>65</v>
      </c>
      <c r="U46" s="1353">
        <f t="shared" si="13"/>
        <v>100</v>
      </c>
      <c r="V46" s="1352" t="s">
        <v>65</v>
      </c>
      <c r="W46" s="1353">
        <f t="shared" si="14"/>
        <v>100</v>
      </c>
      <c r="X46" s="1340"/>
      <c r="Y46" s="3630"/>
      <c r="Z46" s="1354">
        <f t="shared" si="15"/>
        <v>111</v>
      </c>
      <c r="AA46" s="1355">
        <f t="shared" si="3"/>
        <v>1</v>
      </c>
      <c r="AB46" s="1355">
        <f t="shared" si="4"/>
        <v>1</v>
      </c>
      <c r="AC46" s="1355">
        <f t="shared" si="5"/>
        <v>1</v>
      </c>
    </row>
    <row r="47" spans="1:29" ht="15">
      <c r="A47" s="163" t="s">
        <v>1037</v>
      </c>
      <c r="B47" s="164"/>
      <c r="C47" s="2830" t="s">
        <v>23</v>
      </c>
      <c r="D47" s="2831"/>
      <c r="E47" s="2832"/>
      <c r="F47" s="2833"/>
      <c r="G47" s="2834"/>
      <c r="H47" s="2835"/>
      <c r="I47" s="2832"/>
      <c r="J47" s="2835"/>
      <c r="K47" s="1393"/>
      <c r="L47" s="2301"/>
      <c r="M47" s="2302"/>
      <c r="N47" s="2294"/>
      <c r="O47" s="2302"/>
      <c r="P47" s="3631" t="str">
        <f>A47</f>
        <v>成交单价（元/平方米）</v>
      </c>
      <c r="Q47" s="3631"/>
      <c r="R47" s="3619">
        <f>E47</f>
        <v>0</v>
      </c>
      <c r="S47" s="3619"/>
      <c r="T47" s="3619">
        <f>G47</f>
        <v>0</v>
      </c>
      <c r="U47" s="3619"/>
      <c r="V47" s="3619">
        <f>I47</f>
        <v>0</v>
      </c>
      <c r="W47" s="3619"/>
      <c r="X47" s="1365"/>
      <c r="Y47" s="1366"/>
      <c r="Z47" s="1365"/>
      <c r="AA47" s="1365"/>
      <c r="AB47" s="1365"/>
      <c r="AC47" s="1365"/>
    </row>
    <row r="48" spans="1:29" ht="15.75" thickBot="1">
      <c r="A48" s="165" t="s">
        <v>1038</v>
      </c>
      <c r="B48" s="166"/>
      <c r="C48" s="2836" t="e">
        <f>R49</f>
        <v>#DIV/0!</v>
      </c>
      <c r="D48" s="2837"/>
      <c r="E48" s="2838" t="e">
        <f>R48</f>
        <v>#DIV/0!</v>
      </c>
      <c r="F48" s="2838"/>
      <c r="G48" s="2836" t="e">
        <f>T48</f>
        <v>#DIV/0!</v>
      </c>
      <c r="H48" s="2837"/>
      <c r="I48" s="2838" t="e">
        <f>V48</f>
        <v>#DIV/0!</v>
      </c>
      <c r="J48" s="2837"/>
      <c r="K48" s="1394"/>
      <c r="L48" s="2301"/>
      <c r="M48" s="2302"/>
      <c r="N48" s="2294"/>
      <c r="O48" s="2302"/>
      <c r="P48" s="3631" t="str">
        <f>A48</f>
        <v>比较价值（元/平方米）</v>
      </c>
      <c r="Q48" s="3631"/>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1365"/>
      <c r="Y48" s="1365"/>
      <c r="Z48" s="1365"/>
      <c r="AA48" s="1365"/>
      <c r="AB48" s="1365"/>
      <c r="AC48" s="1365"/>
    </row>
    <row r="49" spans="1:29" ht="15.75" thickBot="1">
      <c r="A49" s="115" t="s">
        <v>3016</v>
      </c>
      <c r="B49" s="116"/>
      <c r="C49" s="2840" t="e">
        <f>R49</f>
        <v>#DIV/0!</v>
      </c>
      <c r="D49" s="2840"/>
      <c r="E49" s="2840"/>
      <c r="F49" s="2840"/>
      <c r="G49" s="2840"/>
      <c r="H49" s="2840"/>
      <c r="I49" s="2840"/>
      <c r="J49" s="2840"/>
      <c r="K49" s="1395"/>
      <c r="L49" s="2301"/>
      <c r="M49" s="2302"/>
      <c r="N49" s="2294"/>
      <c r="O49" s="2302"/>
      <c r="P49" s="3674" t="str">
        <f>A49</f>
        <v>估价对象XX用房的比较价值（楼面单价，元/平方米）</v>
      </c>
      <c r="Q49" s="3675"/>
      <c r="R49" s="3676" t="e">
        <f>IF(F1="售价",ROUND(AVERAGE(R48:V48),0),ROUND(AVERAGE(R48:V48),1))</f>
        <v>#DIV/0!</v>
      </c>
      <c r="S49" s="3676"/>
      <c r="T49" s="3676"/>
      <c r="U49" s="3676"/>
      <c r="V49" s="3676"/>
      <c r="W49" s="3676"/>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c r="P50" s="214"/>
      <c r="Q50" s="1365"/>
      <c r="R50" s="1365"/>
      <c r="S50" s="1365"/>
      <c r="T50" s="1365"/>
      <c r="U50" s="1365"/>
      <c r="V50" s="1365"/>
      <c r="W50" s="1365"/>
      <c r="X50" s="1365"/>
      <c r="Y50" s="1365"/>
      <c r="Z50" s="1365"/>
      <c r="AA50" s="1365"/>
      <c r="AB50" s="1365"/>
      <c r="AC50" s="1365"/>
    </row>
    <row r="51" spans="1:29">
      <c r="A51" s="2302"/>
      <c r="B51" s="2302"/>
      <c r="C51" s="2302"/>
      <c r="D51" s="2302"/>
      <c r="E51" s="2302"/>
      <c r="F51" s="2302"/>
      <c r="G51" s="2302"/>
      <c r="H51" s="2302"/>
      <c r="I51" s="2302"/>
      <c r="J51" s="2302"/>
      <c r="K51" s="2303"/>
      <c r="L51" s="2304"/>
      <c r="M51" s="2302"/>
      <c r="N51" s="2302"/>
      <c r="O51" s="2302"/>
      <c r="P51" s="214"/>
      <c r="Q51" s="1365"/>
      <c r="R51" s="1365"/>
      <c r="S51" s="1365"/>
      <c r="T51" s="1365"/>
      <c r="U51" s="1365"/>
      <c r="V51" s="1365"/>
      <c r="W51" s="1365"/>
      <c r="X51" s="1365"/>
      <c r="Y51" s="1365"/>
      <c r="Z51" s="1365"/>
      <c r="AA51" s="1365"/>
      <c r="AB51" s="1365"/>
      <c r="AC51" s="1365"/>
    </row>
    <row r="52" spans="1:29" ht="13.5" customHeight="1">
      <c r="A52" s="2302"/>
      <c r="B52" s="2302"/>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c r="P52" s="214"/>
      <c r="Q52" s="1365"/>
      <c r="R52" s="1365"/>
      <c r="S52" s="1365"/>
      <c r="T52" s="1365"/>
      <c r="U52" s="1365"/>
      <c r="V52" s="1365"/>
      <c r="W52" s="1365"/>
      <c r="X52" s="1365"/>
      <c r="Y52" s="1365"/>
      <c r="Z52" s="1365"/>
      <c r="AA52" s="1365"/>
      <c r="AB52" s="1365"/>
      <c r="AC52" s="1365"/>
    </row>
    <row r="53" spans="1:29" ht="13.5" customHeight="1">
      <c r="A53" s="2302"/>
      <c r="B53" s="2302"/>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c r="P53" s="214"/>
      <c r="Q53" s="1365"/>
      <c r="R53" s="1365"/>
      <c r="S53" s="1365"/>
      <c r="T53" s="1365"/>
      <c r="U53" s="1365"/>
      <c r="V53" s="1365"/>
      <c r="W53" s="1365"/>
      <c r="X53" s="1365"/>
      <c r="Y53" s="1365"/>
      <c r="Z53" s="1365"/>
      <c r="AA53" s="1365"/>
      <c r="AB53" s="1365"/>
      <c r="AC53" s="1365"/>
    </row>
    <row r="54" spans="1:29" s="119" customFormat="1" ht="13.5" customHeight="1">
      <c r="A54" s="2307"/>
      <c r="B54" s="2307"/>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96"/>
      <c r="Q54" s="1370"/>
      <c r="R54" s="1370"/>
      <c r="S54" s="1370"/>
      <c r="T54" s="1370"/>
      <c r="U54" s="1370"/>
      <c r="V54" s="1370"/>
      <c r="W54" s="1370"/>
      <c r="X54" s="1370"/>
      <c r="Y54" s="1370"/>
      <c r="Z54" s="1370"/>
      <c r="AA54" s="1370"/>
      <c r="AB54" s="1370"/>
      <c r="AC54" s="1370"/>
    </row>
    <row r="55" spans="1:29" s="119" customFormat="1">
      <c r="A55" s="2307"/>
      <c r="B55" s="2312"/>
      <c r="C55" s="2313"/>
      <c r="D55" s="2307"/>
      <c r="E55" s="2307"/>
      <c r="F55" s="2307"/>
      <c r="G55" s="2307"/>
      <c r="H55" s="2307"/>
      <c r="I55" s="2307"/>
      <c r="J55" s="2307"/>
      <c r="K55" s="2305"/>
      <c r="L55" s="2306"/>
      <c r="M55" s="2307"/>
      <c r="N55" s="2307"/>
      <c r="O55" s="2307"/>
      <c r="P55" s="1396"/>
      <c r="Q55" s="1370"/>
      <c r="R55" s="1370"/>
      <c r="S55" s="1370"/>
      <c r="T55" s="1370"/>
      <c r="U55" s="1370"/>
      <c r="V55" s="1370"/>
      <c r="W55" s="1370"/>
      <c r="X55" s="1370"/>
      <c r="Y55" s="1370"/>
      <c r="Z55" s="1370"/>
      <c r="AA55" s="1370"/>
      <c r="AB55" s="1370"/>
      <c r="AC55" s="1370"/>
    </row>
    <row r="56" spans="1:29">
      <c r="A56" s="2302"/>
      <c r="B56" s="2312"/>
      <c r="C56" s="2313"/>
      <c r="D56" s="2302"/>
      <c r="E56" s="2302"/>
      <c r="F56" s="2302"/>
      <c r="G56" s="2302"/>
      <c r="H56" s="2302"/>
      <c r="I56" s="2302"/>
      <c r="J56" s="2302"/>
      <c r="K56" s="2303"/>
      <c r="L56" s="2304"/>
      <c r="M56" s="2302"/>
      <c r="N56" s="2302"/>
      <c r="O56" s="2302"/>
      <c r="P56" s="214"/>
      <c r="Q56" s="1365"/>
      <c r="R56" s="1365"/>
      <c r="S56" s="1365"/>
      <c r="T56" s="1365"/>
      <c r="U56" s="1365"/>
      <c r="V56" s="1365"/>
      <c r="W56" s="1365"/>
      <c r="X56" s="1365"/>
      <c r="Y56" s="1365"/>
      <c r="Z56" s="1365"/>
      <c r="AA56" s="1365"/>
      <c r="AB56" s="1365"/>
      <c r="AC56" s="1365"/>
    </row>
    <row r="57" spans="1:29" ht="21" thickBot="1">
      <c r="A57" s="1372" t="s">
        <v>1039</v>
      </c>
      <c r="B57" s="1365"/>
      <c r="C57" s="1373"/>
      <c r="D57" s="1373"/>
      <c r="E57" s="1373"/>
      <c r="F57" s="1374"/>
      <c r="G57" s="1374"/>
      <c r="H57" s="1373"/>
      <c r="I57" s="1373"/>
      <c r="J57" s="1373"/>
      <c r="K57" s="1375"/>
      <c r="L57" s="2309"/>
      <c r="M57" s="2310"/>
      <c r="N57" s="2310"/>
      <c r="O57" s="2310"/>
      <c r="P57" s="1397"/>
      <c r="Q57" s="1398"/>
      <c r="R57" s="1365"/>
      <c r="S57" s="1365"/>
      <c r="T57" s="1365"/>
      <c r="U57" s="1365"/>
      <c r="V57" s="1365"/>
      <c r="W57" s="1365"/>
      <c r="X57" s="1365"/>
      <c r="Y57" s="1365"/>
      <c r="Z57" s="1365"/>
      <c r="AA57" s="1365"/>
      <c r="AB57" s="1365"/>
      <c r="AC57" s="1365"/>
    </row>
    <row r="58" spans="1:29" s="851" customFormat="1" ht="15">
      <c r="A58" s="848" t="s">
        <v>2791</v>
      </c>
      <c r="B58" s="849"/>
      <c r="C58" s="3038" t="str">
        <f>YEAR(C7)&amp;"-"&amp;MONTH(C7)</f>
        <v>2017-8</v>
      </c>
      <c r="D58" s="3039">
        <f>EDATE(C58,-1)</f>
        <v>42917</v>
      </c>
      <c r="E58" s="3039">
        <f t="shared" ref="E58:N58" si="16">EDATE(D58,-1)</f>
        <v>42887</v>
      </c>
      <c r="F58" s="3039">
        <f t="shared" si="16"/>
        <v>42856</v>
      </c>
      <c r="G58" s="3039">
        <f t="shared" si="16"/>
        <v>42826</v>
      </c>
      <c r="H58" s="3039">
        <f t="shared" si="16"/>
        <v>42795</v>
      </c>
      <c r="I58" s="3039">
        <f t="shared" si="16"/>
        <v>42767</v>
      </c>
      <c r="J58" s="3039">
        <f t="shared" si="16"/>
        <v>42736</v>
      </c>
      <c r="K58" s="3039">
        <f t="shared" si="16"/>
        <v>42705</v>
      </c>
      <c r="L58" s="3039">
        <f t="shared" si="16"/>
        <v>42675</v>
      </c>
      <c r="M58" s="3039">
        <f t="shared" si="16"/>
        <v>42644</v>
      </c>
      <c r="N58" s="3039">
        <f t="shared" si="16"/>
        <v>42614</v>
      </c>
      <c r="O58" s="3039">
        <f>EDATE(N58,-1)</f>
        <v>42583</v>
      </c>
      <c r="P58" s="3032"/>
    </row>
    <row r="59" spans="1:29" s="40" customFormat="1" ht="14.25">
      <c r="A59" s="1045"/>
      <c r="B59" s="1046"/>
      <c r="C59" s="3036">
        <v>100</v>
      </c>
      <c r="D59" s="855"/>
      <c r="E59" s="855"/>
      <c r="F59" s="855"/>
      <c r="G59" s="855"/>
      <c r="H59" s="855"/>
      <c r="I59" s="855"/>
      <c r="J59" s="855"/>
      <c r="K59" s="855"/>
      <c r="L59" s="855"/>
      <c r="M59" s="856"/>
      <c r="N59" s="855"/>
      <c r="O59" s="856"/>
      <c r="P59" s="1377"/>
    </row>
    <row r="60" spans="1:29" s="40" customFormat="1" ht="15" thickBot="1">
      <c r="A60" s="1047" t="s">
        <v>1040</v>
      </c>
      <c r="B60" s="1048"/>
      <c r="C60" s="860"/>
      <c r="D60" s="861"/>
      <c r="E60" s="861"/>
      <c r="F60" s="861"/>
      <c r="G60" s="861"/>
      <c r="H60" s="861"/>
      <c r="I60" s="861"/>
      <c r="J60" s="861"/>
      <c r="K60" s="861"/>
      <c r="L60" s="861"/>
      <c r="M60" s="862"/>
      <c r="N60" s="861"/>
      <c r="O60" s="862"/>
      <c r="P60" s="1377"/>
      <c r="Q60" s="121"/>
    </row>
    <row r="61" spans="1:29" s="40" customFormat="1">
      <c r="A61" s="1049" t="s">
        <v>1041</v>
      </c>
      <c r="B61" s="1046"/>
      <c r="C61" s="1050" t="s">
        <v>1042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1043</v>
      </c>
      <c r="B63" s="286" t="s">
        <v>1044</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1045</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1046</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1047</v>
      </c>
      <c r="B76" s="286" t="s">
        <v>1048</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1054</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213" t="s">
        <v>2655</v>
      </c>
      <c r="D82" s="213" t="s">
        <v>2656</v>
      </c>
      <c r="E82" s="213" t="s">
        <v>2657</v>
      </c>
      <c r="F82" s="213" t="s">
        <v>2658</v>
      </c>
      <c r="G82" s="213" t="s">
        <v>2659</v>
      </c>
      <c r="H82" s="882"/>
      <c r="I82" s="882"/>
      <c r="J82" s="882"/>
      <c r="K82" s="882"/>
      <c r="L82" s="882"/>
      <c r="M82" s="2762"/>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1055</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1057</v>
      </c>
      <c r="B100" s="286" t="s">
        <v>1058</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1059</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1060</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1063</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1065</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1066</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1067</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1068</v>
      </c>
      <c r="C124" s="181" t="s">
        <v>1049</v>
      </c>
      <c r="D124" s="181" t="s">
        <v>1050</v>
      </c>
      <c r="E124" s="181" t="s">
        <v>1051</v>
      </c>
      <c r="F124" s="181" t="s">
        <v>1052</v>
      </c>
      <c r="G124" s="181" t="s">
        <v>1053</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1" sqref="I41"/>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1101</v>
      </c>
      <c r="B1" s="3115" t="s">
        <v>1102</v>
      </c>
      <c r="C1" s="3109" t="s">
        <v>1103</v>
      </c>
      <c r="D1" s="3100"/>
      <c r="E1" s="3105"/>
      <c r="F1" s="3102"/>
      <c r="G1" s="3104" t="s">
        <v>1104</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1105</v>
      </c>
      <c r="B2" s="2841" t="e">
        <f ca="1">IF(C2="——",ROUND(C43*D3/10000,0),ROUND(C43*D3/10000,0)-D2)</f>
        <v>#DIV/0!</v>
      </c>
      <c r="C2" s="3094"/>
      <c r="D2" s="2340" t="e">
        <f ca="1">SUMIF(INDIRECT("'"&amp;F2&amp;"'"&amp;"!A:A"),"承租人权益价值",INDIRECT("'"&amp;F2&amp;"'"&amp;"!c:c"))</f>
        <v>#REF!</v>
      </c>
      <c r="E2" s="3095" t="s">
        <v>869</v>
      </c>
      <c r="F2" s="3096"/>
      <c r="G2" s="2316"/>
      <c r="H2" s="2316"/>
      <c r="I2" s="2316"/>
      <c r="J2" s="2316"/>
      <c r="K2" s="2316"/>
      <c r="L2" s="2317"/>
      <c r="M2" s="2318"/>
      <c r="N2" s="2318"/>
      <c r="O2" s="2318"/>
      <c r="P2" s="1334"/>
      <c r="Q2" s="1334"/>
      <c r="R2" s="1334"/>
      <c r="S2" s="1334"/>
      <c r="T2" s="1334"/>
      <c r="U2" s="1334"/>
      <c r="V2" s="1334"/>
      <c r="W2" s="1334"/>
      <c r="X2" s="1334"/>
      <c r="Y2" s="1334"/>
      <c r="Z2" s="1334"/>
      <c r="AA2" s="1334"/>
      <c r="AB2" s="1334"/>
      <c r="AC2" s="1392"/>
    </row>
    <row r="3" spans="1:29" s="90" customFormat="1" ht="28.5" customHeight="1" thickBot="1">
      <c r="A3" s="87" t="s">
        <v>1106</v>
      </c>
      <c r="B3" s="952" t="e">
        <f ca="1">IF(C2="——",C43,ROUND(B2*10000/D3,0))</f>
        <v>#DIV/0!</v>
      </c>
      <c r="C3" s="142" t="s">
        <v>1107</v>
      </c>
      <c r="D3" s="742">
        <f>IF(D1="",'数据-汇总表'!E3,SUMIF('数据-汇总表'!$C19:$C33,D1,'数据-汇总表'!$E19:$E33))</f>
        <v>2099.0100000000002</v>
      </c>
      <c r="E3" s="2316"/>
      <c r="F3" s="2315"/>
      <c r="G3" s="2316"/>
      <c r="H3" s="2316"/>
      <c r="I3" s="2316"/>
      <c r="J3" s="2316"/>
      <c r="K3" s="2319"/>
      <c r="L3" s="2317"/>
      <c r="M3" s="2318"/>
      <c r="N3" s="2318"/>
      <c r="O3" s="2318"/>
      <c r="P3" s="1334"/>
      <c r="Q3" s="1334"/>
      <c r="R3" s="1334"/>
      <c r="S3" s="1334"/>
      <c r="T3" s="1334"/>
      <c r="U3" s="1334"/>
      <c r="V3" s="1334"/>
      <c r="W3" s="1334"/>
      <c r="X3" s="1334"/>
      <c r="Y3" s="1334"/>
      <c r="Z3" s="1334"/>
      <c r="AA3" s="1334"/>
      <c r="AB3" s="1410"/>
      <c r="AC3" s="1392"/>
    </row>
    <row r="4" spans="1:29">
      <c r="A4" s="143" t="s">
        <v>1108</v>
      </c>
      <c r="B4" s="144"/>
      <c r="C4" s="3606" t="s">
        <v>1109</v>
      </c>
      <c r="D4" s="3607"/>
      <c r="E4" s="3608" t="s">
        <v>1110</v>
      </c>
      <c r="F4" s="3609"/>
      <c r="G4" s="3606" t="s">
        <v>1111</v>
      </c>
      <c r="H4" s="3607"/>
      <c r="I4" s="3606" t="s">
        <v>1112</v>
      </c>
      <c r="J4" s="3607"/>
      <c r="K4" s="187" t="s">
        <v>1113</v>
      </c>
      <c r="L4" s="2293"/>
      <c r="M4" s="2294"/>
      <c r="N4" s="2294"/>
      <c r="O4" s="2294"/>
      <c r="P4" s="3670" t="s">
        <v>1108</v>
      </c>
      <c r="Q4" s="3671"/>
      <c r="R4" s="3664" t="s">
        <v>1110</v>
      </c>
      <c r="S4" s="3665"/>
      <c r="T4" s="3664" t="s">
        <v>1111</v>
      </c>
      <c r="U4" s="3665"/>
      <c r="V4" s="3619" t="s">
        <v>1112</v>
      </c>
      <c r="W4" s="3619"/>
      <c r="X4" s="1340"/>
      <c r="Y4" s="3664" t="s">
        <v>1108</v>
      </c>
      <c r="Z4" s="3665"/>
      <c r="AA4" s="3663" t="s">
        <v>1110</v>
      </c>
      <c r="AB4" s="3590" t="s">
        <v>1111</v>
      </c>
      <c r="AC4" s="3663" t="s">
        <v>1112</v>
      </c>
    </row>
    <row r="5" spans="1:29">
      <c r="A5" s="146"/>
      <c r="B5" s="147"/>
      <c r="C5" s="3598" t="s">
        <v>1114</v>
      </c>
      <c r="D5" s="3599"/>
      <c r="E5" s="3666" t="s">
        <v>1115</v>
      </c>
      <c r="F5" s="3667"/>
      <c r="G5" s="3598" t="s">
        <v>1116</v>
      </c>
      <c r="H5" s="3599"/>
      <c r="I5" s="3598" t="s">
        <v>1117</v>
      </c>
      <c r="J5" s="3599"/>
      <c r="K5" s="187"/>
      <c r="L5" s="2293"/>
      <c r="M5" s="2294"/>
      <c r="N5" s="2294"/>
      <c r="O5" s="2294"/>
      <c r="P5" s="3672"/>
      <c r="Q5" s="3613"/>
      <c r="R5" s="3596"/>
      <c r="S5" s="3597"/>
      <c r="T5" s="3596"/>
      <c r="U5" s="3597"/>
      <c r="V5" s="3619"/>
      <c r="W5" s="3619"/>
      <c r="X5" s="1340"/>
      <c r="Y5" s="3596"/>
      <c r="Z5" s="3597"/>
      <c r="AA5" s="3590"/>
      <c r="AB5" s="3590"/>
      <c r="AC5" s="3590"/>
    </row>
    <row r="6" spans="1:29" ht="14.25" thickBot="1">
      <c r="A6" s="148"/>
      <c r="B6" s="149"/>
      <c r="C6" s="3600" t="s">
        <v>1118</v>
      </c>
      <c r="D6" s="3601"/>
      <c r="E6" s="3668" t="s">
        <v>1118</v>
      </c>
      <c r="F6" s="3669"/>
      <c r="G6" s="3600" t="s">
        <v>1118</v>
      </c>
      <c r="H6" s="3601"/>
      <c r="I6" s="3600" t="s">
        <v>1118</v>
      </c>
      <c r="J6" s="3601"/>
      <c r="K6" s="187" t="s">
        <v>1119</v>
      </c>
      <c r="L6" s="2293"/>
      <c r="M6" s="2294"/>
      <c r="N6" s="2294"/>
      <c r="O6" s="2294"/>
      <c r="P6" s="3673"/>
      <c r="Q6" s="3615"/>
      <c r="R6" s="3596"/>
      <c r="S6" s="3597"/>
      <c r="T6" s="3616"/>
      <c r="U6" s="3617"/>
      <c r="V6" s="3619"/>
      <c r="W6" s="3619"/>
      <c r="X6" s="1340"/>
      <c r="Y6" s="3616"/>
      <c r="Z6" s="3617"/>
      <c r="AA6" s="3591"/>
      <c r="AB6" s="3591"/>
      <c r="AC6" s="3591"/>
    </row>
    <row r="7" spans="1:29" s="40" customFormat="1" ht="15" thickBot="1">
      <c r="A7" s="1014" t="s">
        <v>1120</v>
      </c>
      <c r="B7" s="1015"/>
      <c r="C7" s="753">
        <f>'数据-取费表'!B2</f>
        <v>42963</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592" t="s">
        <v>1120</v>
      </c>
      <c r="Q7" s="3621"/>
      <c r="R7" s="1342" t="s">
        <v>65</v>
      </c>
      <c r="S7" s="1343">
        <f t="shared" ref="S7:S15" si="0">F7</f>
        <v>0</v>
      </c>
      <c r="T7" s="1342" t="s">
        <v>65</v>
      </c>
      <c r="U7" s="1343">
        <f t="shared" ref="U7:U15" si="1">H7</f>
        <v>0</v>
      </c>
      <c r="V7" s="1342" t="s">
        <v>65</v>
      </c>
      <c r="W7" s="1343">
        <f t="shared" ref="W7:W15" si="2">J7</f>
        <v>0</v>
      </c>
      <c r="X7" s="287"/>
      <c r="Y7" s="3592" t="s">
        <v>1120</v>
      </c>
      <c r="Z7" s="3593"/>
      <c r="AA7" s="1344" t="e">
        <f>D7/F7</f>
        <v>#DIV/0!</v>
      </c>
      <c r="AB7" s="1344" t="e">
        <f>D7/H7</f>
        <v>#DIV/0!</v>
      </c>
      <c r="AC7" s="1344" t="e">
        <f>D7/J7</f>
        <v>#DIV/0!</v>
      </c>
    </row>
    <row r="8" spans="1:29" s="40" customFormat="1" ht="15" thickBot="1">
      <c r="A8" s="1014" t="s">
        <v>1121</v>
      </c>
      <c r="B8" s="1015"/>
      <c r="C8" s="1020" t="s">
        <v>155</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592" t="s">
        <v>1022</v>
      </c>
      <c r="Q8" s="3593"/>
      <c r="R8" s="1342" t="s">
        <v>65</v>
      </c>
      <c r="S8" s="1343">
        <f t="shared" si="0"/>
        <v>0</v>
      </c>
      <c r="T8" s="1342" t="s">
        <v>65</v>
      </c>
      <c r="U8" s="1343">
        <f t="shared" si="1"/>
        <v>0</v>
      </c>
      <c r="V8" s="1342" t="s">
        <v>65</v>
      </c>
      <c r="W8" s="1343">
        <f t="shared" si="2"/>
        <v>0</v>
      </c>
      <c r="X8" s="287"/>
      <c r="Y8" s="3592" t="s">
        <v>1022</v>
      </c>
      <c r="Z8" s="3593"/>
      <c r="AA8" s="1344" t="e">
        <f t="shared" ref="AA8:AA40" si="3">D8/F8</f>
        <v>#DIV/0!</v>
      </c>
      <c r="AB8" s="1344" t="e">
        <f t="shared" ref="AB8:AB40" si="4">D8/H8</f>
        <v>#DIV/0!</v>
      </c>
      <c r="AC8" s="1344" t="e">
        <f t="shared" ref="AC8:AC40" si="5">D8/J8</f>
        <v>#DIV/0!</v>
      </c>
    </row>
    <row r="9" spans="1:29" s="40" customFormat="1" ht="14.25">
      <c r="A9" s="1021" t="s">
        <v>1023</v>
      </c>
      <c r="B9" s="62" t="s">
        <v>1024</v>
      </c>
      <c r="C9" s="1346"/>
      <c r="D9" s="425">
        <v>100</v>
      </c>
      <c r="E9" s="1348"/>
      <c r="F9" s="425">
        <f>SUMIF(57:57,E9,58:58)-SUMIF(57:57,C9,58:58)+100</f>
        <v>100</v>
      </c>
      <c r="G9" s="1347"/>
      <c r="H9" s="425">
        <f>SUMIF(57:57,G9,58:58)-SUMIF(57:57,C9,58:58)+100</f>
        <v>100</v>
      </c>
      <c r="I9" s="1347"/>
      <c r="J9" s="425">
        <f>SUMIF(57:57,I9,58:58)-SUMIF(57:57,C9,58:58)+100</f>
        <v>100</v>
      </c>
      <c r="K9" s="1019"/>
      <c r="L9" s="2295"/>
      <c r="M9" s="2257"/>
      <c r="N9" s="2257"/>
      <c r="O9" s="2336"/>
      <c r="P9" s="3631" t="s">
        <v>67</v>
      </c>
      <c r="Q9" s="7" t="str">
        <f t="shared" ref="Q9:Q15" si="6">B9</f>
        <v>用途</v>
      </c>
      <c r="R9" s="1342" t="s">
        <v>65</v>
      </c>
      <c r="S9" s="1343">
        <f t="shared" si="0"/>
        <v>100</v>
      </c>
      <c r="T9" s="1342" t="s">
        <v>65</v>
      </c>
      <c r="U9" s="1343">
        <f t="shared" si="1"/>
        <v>100</v>
      </c>
      <c r="V9" s="1342" t="s">
        <v>65</v>
      </c>
      <c r="W9" s="1343">
        <f t="shared" si="2"/>
        <v>100</v>
      </c>
      <c r="X9" s="287"/>
      <c r="Y9" s="345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6"/>
      <c r="M10" s="2297"/>
      <c r="N10" s="2297"/>
      <c r="O10" s="2337"/>
      <c r="P10" s="3631"/>
      <c r="Q10" s="7" t="str">
        <f t="shared" si="6"/>
        <v>土地使用年限（年）</v>
      </c>
      <c r="R10" s="1342" t="s">
        <v>65</v>
      </c>
      <c r="S10" s="1343">
        <f t="shared" si="0"/>
        <v>100</v>
      </c>
      <c r="T10" s="1342" t="s">
        <v>65</v>
      </c>
      <c r="U10" s="1343">
        <f t="shared" si="1"/>
        <v>100</v>
      </c>
      <c r="V10" s="1342" t="s">
        <v>65</v>
      </c>
      <c r="W10" s="1343">
        <f t="shared" si="2"/>
        <v>100</v>
      </c>
      <c r="X10" s="287"/>
      <c r="Y10" s="3457"/>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631"/>
      <c r="Q11" s="7" t="str">
        <f t="shared" si="6"/>
        <v>容积率</v>
      </c>
      <c r="R11" s="1342" t="s">
        <v>65</v>
      </c>
      <c r="S11" s="1343" t="e">
        <f t="shared" si="0"/>
        <v>#N/A</v>
      </c>
      <c r="T11" s="1342" t="s">
        <v>65</v>
      </c>
      <c r="U11" s="1343" t="e">
        <f t="shared" si="1"/>
        <v>#N/A</v>
      </c>
      <c r="V11" s="1342" t="s">
        <v>65</v>
      </c>
      <c r="W11" s="1343" t="e">
        <f t="shared" si="2"/>
        <v>#N/A</v>
      </c>
      <c r="X11" s="287"/>
      <c r="Y11" s="345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5"/>
      <c r="M12" s="2257"/>
      <c r="N12" s="2257"/>
      <c r="O12" s="2336"/>
      <c r="P12" s="3631"/>
      <c r="Q12" s="7">
        <f t="shared" si="6"/>
        <v>111</v>
      </c>
      <c r="R12" s="1342" t="s">
        <v>65</v>
      </c>
      <c r="S12" s="1343">
        <f t="shared" si="0"/>
        <v>100</v>
      </c>
      <c r="T12" s="1342" t="s">
        <v>65</v>
      </c>
      <c r="U12" s="1343">
        <f t="shared" si="1"/>
        <v>100</v>
      </c>
      <c r="V12" s="1342" t="s">
        <v>65</v>
      </c>
      <c r="W12" s="1343">
        <f t="shared" si="2"/>
        <v>100</v>
      </c>
      <c r="X12" s="287"/>
      <c r="Y12" s="3457"/>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9"/>
      <c r="M13" s="2294"/>
      <c r="N13" s="2294"/>
      <c r="O13" s="2338"/>
      <c r="P13" s="3631"/>
      <c r="Q13" s="7">
        <f t="shared" si="6"/>
        <v>111</v>
      </c>
      <c r="R13" s="1342" t="s">
        <v>65</v>
      </c>
      <c r="S13" s="1343">
        <f t="shared" si="0"/>
        <v>100</v>
      </c>
      <c r="T13" s="1342" t="s">
        <v>65</v>
      </c>
      <c r="U13" s="1343">
        <f t="shared" si="1"/>
        <v>100</v>
      </c>
      <c r="V13" s="1342" t="s">
        <v>65</v>
      </c>
      <c r="W13" s="1343">
        <f t="shared" si="2"/>
        <v>100</v>
      </c>
      <c r="X13" s="287"/>
      <c r="Y13" s="3457"/>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9"/>
      <c r="M14" s="2294"/>
      <c r="N14" s="2294"/>
      <c r="O14" s="2338"/>
      <c r="P14" s="3631"/>
      <c r="Q14" s="7">
        <f t="shared" si="6"/>
        <v>111</v>
      </c>
      <c r="R14" s="1342" t="s">
        <v>65</v>
      </c>
      <c r="S14" s="1343">
        <f t="shared" si="0"/>
        <v>100</v>
      </c>
      <c r="T14" s="1342" t="s">
        <v>65</v>
      </c>
      <c r="U14" s="1343">
        <f t="shared" si="1"/>
        <v>100</v>
      </c>
      <c r="V14" s="1342" t="s">
        <v>65</v>
      </c>
      <c r="W14" s="1343">
        <f t="shared" si="2"/>
        <v>100</v>
      </c>
      <c r="X14" s="287"/>
      <c r="Y14" s="3457"/>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624" t="s">
        <v>69</v>
      </c>
      <c r="Q15" s="1351" t="str">
        <f t="shared" si="6"/>
        <v>产业集聚程度</v>
      </c>
      <c r="R15" s="1352" t="s">
        <v>65</v>
      </c>
      <c r="S15" s="1353">
        <f t="shared" si="0"/>
        <v>100</v>
      </c>
      <c r="T15" s="1352" t="s">
        <v>65</v>
      </c>
      <c r="U15" s="1353">
        <f t="shared" si="1"/>
        <v>100</v>
      </c>
      <c r="V15" s="1352" t="s">
        <v>65</v>
      </c>
      <c r="W15" s="1353">
        <f t="shared" si="2"/>
        <v>100</v>
      </c>
      <c r="X15" s="1340"/>
      <c r="Y15" s="3624"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338"/>
      <c r="P16" s="3625"/>
      <c r="Q16" s="1351"/>
      <c r="R16" s="1352"/>
      <c r="S16" s="1353"/>
      <c r="T16" s="1352"/>
      <c r="U16" s="1353"/>
      <c r="V16" s="1352"/>
      <c r="W16" s="1353"/>
      <c r="X16" s="1340"/>
      <c r="Y16" s="3625"/>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625"/>
      <c r="Q17" s="1351" t="str">
        <f>B17</f>
        <v>交通便捷度</v>
      </c>
      <c r="R17" s="1352" t="s">
        <v>65</v>
      </c>
      <c r="S17" s="1353">
        <f>F17</f>
        <v>100</v>
      </c>
      <c r="T17" s="1352" t="s">
        <v>65</v>
      </c>
      <c r="U17" s="1353">
        <f>H17</f>
        <v>100</v>
      </c>
      <c r="V17" s="1352" t="s">
        <v>65</v>
      </c>
      <c r="W17" s="1353">
        <f>J17</f>
        <v>100</v>
      </c>
      <c r="X17" s="1340"/>
      <c r="Y17" s="362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338"/>
      <c r="P18" s="3625"/>
      <c r="Q18" s="1351"/>
      <c r="R18" s="1352"/>
      <c r="S18" s="1353"/>
      <c r="T18" s="1352"/>
      <c r="U18" s="1353"/>
      <c r="V18" s="1352"/>
      <c r="W18" s="1353"/>
      <c r="X18" s="1340"/>
      <c r="Y18" s="3625"/>
      <c r="Z18" s="1354"/>
      <c r="AA18" s="1355">
        <v>1</v>
      </c>
      <c r="AB18" s="1355">
        <v>1</v>
      </c>
      <c r="AC18" s="1355">
        <v>1</v>
      </c>
    </row>
    <row r="19" spans="1:29" ht="40.5">
      <c r="A19" s="151"/>
      <c r="B19" s="1356" t="s">
        <v>2660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625"/>
      <c r="Q19" s="1351" t="str">
        <f>B19</f>
        <v>公共配套设施</v>
      </c>
      <c r="R19" s="1352" t="s">
        <v>65</v>
      </c>
      <c r="S19" s="1353">
        <f>F19</f>
        <v>100</v>
      </c>
      <c r="T19" s="1352" t="s">
        <v>65</v>
      </c>
      <c r="U19" s="1353">
        <f>H19</f>
        <v>100</v>
      </c>
      <c r="V19" s="1352" t="s">
        <v>65</v>
      </c>
      <c r="W19" s="1353">
        <f>J19</f>
        <v>100</v>
      </c>
      <c r="X19" s="1340"/>
      <c r="Y19" s="362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338"/>
      <c r="P20" s="3625"/>
      <c r="Q20" s="1351"/>
      <c r="R20" s="1352"/>
      <c r="S20" s="1353"/>
      <c r="T20" s="1352"/>
      <c r="U20" s="1353"/>
      <c r="V20" s="1352"/>
      <c r="W20" s="1353"/>
      <c r="X20" s="1340"/>
      <c r="Y20" s="3625"/>
      <c r="Z20" s="1354"/>
      <c r="AA20" s="1355">
        <v>1</v>
      </c>
      <c r="AB20" s="1355">
        <v>1</v>
      </c>
      <c r="AC20" s="1355">
        <v>1</v>
      </c>
    </row>
    <row r="21" spans="1:29" ht="27">
      <c r="A21" s="151"/>
      <c r="B21" s="1412" t="s">
        <v>2663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625"/>
      <c r="Q21" s="2743" t="str">
        <f>B21</f>
        <v>基础设施水平</v>
      </c>
      <c r="R21" s="1352" t="s">
        <v>65</v>
      </c>
      <c r="S21" s="1353">
        <f>F21</f>
        <v>100</v>
      </c>
      <c r="T21" s="1352" t="s">
        <v>65</v>
      </c>
      <c r="U21" s="1353">
        <f>H21</f>
        <v>100</v>
      </c>
      <c r="V21" s="1352" t="s">
        <v>65</v>
      </c>
      <c r="W21" s="1353">
        <f>J21</f>
        <v>100</v>
      </c>
      <c r="X21" s="2745"/>
      <c r="Y21" s="3625"/>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3"/>
      <c r="L22" s="2299"/>
      <c r="M22" s="2294"/>
      <c r="N22" s="2294"/>
      <c r="O22" s="2338"/>
      <c r="P22" s="3625"/>
      <c r="Q22" s="2743"/>
      <c r="R22" s="1352"/>
      <c r="S22" s="1353"/>
      <c r="T22" s="1352"/>
      <c r="U22" s="1353"/>
      <c r="V22" s="1352"/>
      <c r="W22" s="1353"/>
      <c r="X22" s="2745"/>
      <c r="Y22" s="3625"/>
      <c r="Z22" s="2744"/>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625"/>
      <c r="Q23" s="1351" t="str">
        <f>B23</f>
        <v>环境质量</v>
      </c>
      <c r="R23" s="1352" t="s">
        <v>65</v>
      </c>
      <c r="S23" s="1353">
        <f>F23</f>
        <v>100</v>
      </c>
      <c r="T23" s="1352" t="s">
        <v>65</v>
      </c>
      <c r="U23" s="1353">
        <f>H23</f>
        <v>100</v>
      </c>
      <c r="V23" s="1352" t="s">
        <v>65</v>
      </c>
      <c r="W23" s="1353">
        <f>J23</f>
        <v>100</v>
      </c>
      <c r="X23" s="1340"/>
      <c r="Y23" s="362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9"/>
      <c r="M24" s="2294"/>
      <c r="N24" s="2294"/>
      <c r="O24" s="2338"/>
      <c r="P24" s="3625"/>
      <c r="Q24" s="1351"/>
      <c r="R24" s="1352"/>
      <c r="S24" s="1353"/>
      <c r="T24" s="1352"/>
      <c r="U24" s="1353"/>
      <c r="V24" s="1352"/>
      <c r="W24" s="1353"/>
      <c r="X24" s="1340"/>
      <c r="Y24" s="362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625"/>
      <c r="Q25" s="1351">
        <f>B25</f>
        <v>111</v>
      </c>
      <c r="R25" s="1352" t="s">
        <v>65</v>
      </c>
      <c r="S25" s="1353">
        <f>F25</f>
        <v>100</v>
      </c>
      <c r="T25" s="1352" t="s">
        <v>65</v>
      </c>
      <c r="U25" s="1353">
        <f>H25</f>
        <v>100</v>
      </c>
      <c r="V25" s="1352" t="s">
        <v>65</v>
      </c>
      <c r="W25" s="1353">
        <f>J25</f>
        <v>100</v>
      </c>
      <c r="X25" s="1340"/>
      <c r="Y25" s="362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625"/>
      <c r="Q26" s="1351">
        <f t="shared" ref="Q26:Q40" si="11">B26</f>
        <v>111</v>
      </c>
      <c r="R26" s="1352" t="s">
        <v>65</v>
      </c>
      <c r="S26" s="1353">
        <f>F26</f>
        <v>100</v>
      </c>
      <c r="T26" s="1352" t="s">
        <v>65</v>
      </c>
      <c r="U26" s="1353">
        <f>H26</f>
        <v>100</v>
      </c>
      <c r="V26" s="1352" t="s">
        <v>65</v>
      </c>
      <c r="W26" s="1353">
        <f>J26</f>
        <v>100</v>
      </c>
      <c r="X26" s="1340"/>
      <c r="Y26" s="362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625"/>
      <c r="Q27" s="7">
        <f t="shared" si="11"/>
        <v>111</v>
      </c>
      <c r="R27" s="1342" t="s">
        <v>65</v>
      </c>
      <c r="S27" s="1343">
        <f>F27</f>
        <v>100</v>
      </c>
      <c r="T27" s="1342" t="s">
        <v>65</v>
      </c>
      <c r="U27" s="1343">
        <f>H27</f>
        <v>100</v>
      </c>
      <c r="V27" s="1342" t="s">
        <v>65</v>
      </c>
      <c r="W27" s="1343">
        <f>J27</f>
        <v>100</v>
      </c>
      <c r="X27" s="287"/>
      <c r="Y27" s="362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9"/>
      <c r="M28" s="2294"/>
      <c r="N28" s="2294"/>
      <c r="O28" s="2338"/>
      <c r="P28" s="3625"/>
      <c r="Q28" s="1351">
        <f t="shared" si="11"/>
        <v>111</v>
      </c>
      <c r="R28" s="1352" t="s">
        <v>65</v>
      </c>
      <c r="S28" s="1353">
        <f t="shared" ref="S28:S40" si="12">F28</f>
        <v>100</v>
      </c>
      <c r="T28" s="1352" t="s">
        <v>65</v>
      </c>
      <c r="U28" s="1353">
        <f t="shared" ref="U28:U40" si="13">H28</f>
        <v>100</v>
      </c>
      <c r="V28" s="1352" t="s">
        <v>65</v>
      </c>
      <c r="W28" s="1353">
        <f t="shared" ref="W28:W40" si="14">J28</f>
        <v>100</v>
      </c>
      <c r="X28" s="1340"/>
      <c r="Y28" s="3625"/>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677" t="s">
        <v>1122</v>
      </c>
      <c r="Q29" s="1351" t="str">
        <f t="shared" si="11"/>
        <v>建筑类型</v>
      </c>
      <c r="R29" s="1352" t="s">
        <v>65</v>
      </c>
      <c r="S29" s="1353">
        <f t="shared" si="12"/>
        <v>100</v>
      </c>
      <c r="T29" s="1352" t="s">
        <v>65</v>
      </c>
      <c r="U29" s="1353">
        <f t="shared" si="13"/>
        <v>100</v>
      </c>
      <c r="V29" s="1352" t="s">
        <v>65</v>
      </c>
      <c r="W29" s="1353">
        <f t="shared" si="14"/>
        <v>100</v>
      </c>
      <c r="X29" s="1340"/>
      <c r="Y29" s="3629" t="s">
        <v>1122</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29"/>
      <c r="Q30" s="1359" t="str">
        <f t="shared" si="11"/>
        <v>项目建筑规模</v>
      </c>
      <c r="R30" s="1360" t="s">
        <v>65</v>
      </c>
      <c r="S30" s="1361" t="e">
        <f t="shared" si="12"/>
        <v>#N/A</v>
      </c>
      <c r="T30" s="1360" t="s">
        <v>65</v>
      </c>
      <c r="U30" s="1361" t="e">
        <f t="shared" si="13"/>
        <v>#N/A</v>
      </c>
      <c r="V30" s="1360" t="s">
        <v>65</v>
      </c>
      <c r="W30" s="1361" t="e">
        <f t="shared" si="14"/>
        <v>#N/A</v>
      </c>
      <c r="X30" s="1362"/>
      <c r="Y30" s="3629"/>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29"/>
      <c r="Q31" s="1351" t="str">
        <f t="shared" si="11"/>
        <v>建筑结构</v>
      </c>
      <c r="R31" s="1352" t="s">
        <v>65</v>
      </c>
      <c r="S31" s="1353">
        <f t="shared" si="12"/>
        <v>100</v>
      </c>
      <c r="T31" s="1352" t="s">
        <v>65</v>
      </c>
      <c r="U31" s="1353">
        <f t="shared" si="13"/>
        <v>100</v>
      </c>
      <c r="V31" s="1352" t="s">
        <v>65</v>
      </c>
      <c r="W31" s="1353">
        <f t="shared" si="14"/>
        <v>100</v>
      </c>
      <c r="X31" s="1340"/>
      <c r="Y31" s="3629"/>
      <c r="Z31" s="1354" t="str">
        <f t="shared" si="15"/>
        <v>建筑结构</v>
      </c>
      <c r="AA31" s="1355">
        <f t="shared" si="3"/>
        <v>1</v>
      </c>
      <c r="AB31" s="1355">
        <f t="shared" si="4"/>
        <v>1</v>
      </c>
      <c r="AC31" s="1355">
        <f t="shared" si="5"/>
        <v>1</v>
      </c>
    </row>
    <row r="32" spans="1:29" ht="15">
      <c r="A32" s="161"/>
      <c r="B32" s="12" t="s">
        <v>1030</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29"/>
      <c r="Q32" s="1351" t="str">
        <f t="shared" si="11"/>
        <v>公共部分装修</v>
      </c>
      <c r="R32" s="1352" t="s">
        <v>65</v>
      </c>
      <c r="S32" s="1353">
        <f t="shared" si="12"/>
        <v>100</v>
      </c>
      <c r="T32" s="1352" t="s">
        <v>65</v>
      </c>
      <c r="U32" s="1353">
        <f t="shared" si="13"/>
        <v>100</v>
      </c>
      <c r="V32" s="1352" t="s">
        <v>65</v>
      </c>
      <c r="W32" s="1353">
        <f t="shared" si="14"/>
        <v>100</v>
      </c>
      <c r="X32" s="1340"/>
      <c r="Y32" s="3629"/>
      <c r="Z32" s="1354" t="str">
        <f t="shared" si="15"/>
        <v>公共部分装修</v>
      </c>
      <c r="AA32" s="1355">
        <f t="shared" si="3"/>
        <v>1</v>
      </c>
      <c r="AB32" s="1355">
        <f t="shared" si="4"/>
        <v>1</v>
      </c>
      <c r="AC32" s="1355">
        <f t="shared" si="5"/>
        <v>1</v>
      </c>
    </row>
    <row r="33" spans="1:29" ht="15">
      <c r="A33" s="161"/>
      <c r="B33" s="12" t="s">
        <v>1031</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29"/>
      <c r="Q33" s="1351" t="str">
        <f t="shared" si="11"/>
        <v>成新度</v>
      </c>
      <c r="R33" s="1352" t="s">
        <v>65</v>
      </c>
      <c r="S33" s="1353" t="e">
        <f t="shared" si="12"/>
        <v>#N/A</v>
      </c>
      <c r="T33" s="1352" t="s">
        <v>65</v>
      </c>
      <c r="U33" s="1353" t="e">
        <f t="shared" si="13"/>
        <v>#N/A</v>
      </c>
      <c r="V33" s="1352" t="s">
        <v>65</v>
      </c>
      <c r="W33" s="1353" t="e">
        <f t="shared" si="14"/>
        <v>#N/A</v>
      </c>
      <c r="X33" s="1340"/>
      <c r="Y33" s="3629"/>
      <c r="Z33" s="1354" t="str">
        <f t="shared" si="15"/>
        <v>成新度</v>
      </c>
      <c r="AA33" s="1355" t="e">
        <f t="shared" si="3"/>
        <v>#N/A</v>
      </c>
      <c r="AB33" s="1355" t="e">
        <f t="shared" si="4"/>
        <v>#N/A</v>
      </c>
      <c r="AC33" s="1355"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29"/>
      <c r="Q34" s="7" t="str">
        <f t="shared" si="11"/>
        <v>物业管理</v>
      </c>
      <c r="R34" s="1342" t="s">
        <v>65</v>
      </c>
      <c r="S34" s="1343">
        <f t="shared" si="12"/>
        <v>100</v>
      </c>
      <c r="T34" s="1342" t="s">
        <v>65</v>
      </c>
      <c r="U34" s="1343">
        <f t="shared" si="13"/>
        <v>100</v>
      </c>
      <c r="V34" s="1342" t="s">
        <v>65</v>
      </c>
      <c r="W34" s="1343">
        <f t="shared" si="14"/>
        <v>100</v>
      </c>
      <c r="X34" s="287"/>
      <c r="Y34" s="3629"/>
      <c r="Z34" s="288" t="str">
        <f t="shared" si="15"/>
        <v>物业管理</v>
      </c>
      <c r="AA34" s="1344">
        <f t="shared" si="3"/>
        <v>1</v>
      </c>
      <c r="AB34" s="1344">
        <f t="shared" si="4"/>
        <v>1</v>
      </c>
      <c r="AC34" s="1344">
        <f t="shared" si="5"/>
        <v>1</v>
      </c>
    </row>
    <row r="35" spans="1:29" ht="15">
      <c r="A35" s="161"/>
      <c r="B35" s="12" t="s">
        <v>2653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29" t="s">
        <v>70</v>
      </c>
      <c r="Q35" s="1351" t="str">
        <f t="shared" si="11"/>
        <v>市政基础设施</v>
      </c>
      <c r="R35" s="1352" t="s">
        <v>65</v>
      </c>
      <c r="S35" s="1353">
        <f t="shared" si="12"/>
        <v>100</v>
      </c>
      <c r="T35" s="1352" t="s">
        <v>65</v>
      </c>
      <c r="U35" s="1353">
        <f t="shared" si="13"/>
        <v>100</v>
      </c>
      <c r="V35" s="1352" t="s">
        <v>65</v>
      </c>
      <c r="W35" s="1353">
        <f t="shared" si="14"/>
        <v>100</v>
      </c>
      <c r="X35" s="1340"/>
      <c r="Y35" s="3629"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29"/>
      <c r="Q36" s="1351" t="str">
        <f t="shared" si="11"/>
        <v>内部装修</v>
      </c>
      <c r="R36" s="1352" t="s">
        <v>65</v>
      </c>
      <c r="S36" s="1353">
        <f t="shared" si="12"/>
        <v>100</v>
      </c>
      <c r="T36" s="1352" t="s">
        <v>65</v>
      </c>
      <c r="U36" s="1353">
        <f t="shared" si="13"/>
        <v>100</v>
      </c>
      <c r="V36" s="1352" t="s">
        <v>65</v>
      </c>
      <c r="W36" s="1353">
        <f t="shared" si="14"/>
        <v>100</v>
      </c>
      <c r="X36" s="1340"/>
      <c r="Y36" s="3629"/>
      <c r="Z36" s="1354" t="str">
        <f t="shared" si="15"/>
        <v>内部装修</v>
      </c>
      <c r="AA36" s="1355">
        <f t="shared" si="3"/>
        <v>1</v>
      </c>
      <c r="AB36" s="1355">
        <f t="shared" si="4"/>
        <v>1</v>
      </c>
      <c r="AC36" s="1355">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29"/>
      <c r="Q37" s="1351" t="str">
        <f t="shared" si="11"/>
        <v>内部装修状况</v>
      </c>
      <c r="R37" s="1352" t="s">
        <v>65</v>
      </c>
      <c r="S37" s="1353">
        <f t="shared" si="12"/>
        <v>100</v>
      </c>
      <c r="T37" s="1352" t="s">
        <v>65</v>
      </c>
      <c r="U37" s="1353">
        <f t="shared" si="13"/>
        <v>100</v>
      </c>
      <c r="V37" s="1352" t="s">
        <v>65</v>
      </c>
      <c r="W37" s="1353">
        <f t="shared" si="14"/>
        <v>100</v>
      </c>
      <c r="X37" s="1340"/>
      <c r="Y37" s="362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8"/>
      <c r="M38" s="2300"/>
      <c r="N38" s="2300"/>
      <c r="O38" s="2339"/>
      <c r="P38" s="3629"/>
      <c r="Q38" s="1359">
        <f t="shared" si="11"/>
        <v>111</v>
      </c>
      <c r="R38" s="1360" t="s">
        <v>65</v>
      </c>
      <c r="S38" s="1361">
        <f t="shared" si="12"/>
        <v>100</v>
      </c>
      <c r="T38" s="1360" t="s">
        <v>65</v>
      </c>
      <c r="U38" s="1361">
        <f t="shared" si="13"/>
        <v>100</v>
      </c>
      <c r="V38" s="1360" t="s">
        <v>65</v>
      </c>
      <c r="W38" s="1361">
        <f t="shared" si="14"/>
        <v>100</v>
      </c>
      <c r="X38" s="1362"/>
      <c r="Y38" s="362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9"/>
      <c r="M39" s="2294"/>
      <c r="N39" s="2294"/>
      <c r="O39" s="2338"/>
      <c r="P39" s="3629"/>
      <c r="Q39" s="1351">
        <f t="shared" si="11"/>
        <v>111</v>
      </c>
      <c r="R39" s="1352" t="s">
        <v>65</v>
      </c>
      <c r="S39" s="1353">
        <f t="shared" si="12"/>
        <v>100</v>
      </c>
      <c r="T39" s="1352" t="s">
        <v>65</v>
      </c>
      <c r="U39" s="1353">
        <f t="shared" si="13"/>
        <v>100</v>
      </c>
      <c r="V39" s="1352" t="s">
        <v>65</v>
      </c>
      <c r="W39" s="1353">
        <f t="shared" si="14"/>
        <v>100</v>
      </c>
      <c r="X39" s="1340"/>
      <c r="Y39" s="362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9"/>
      <c r="M40" s="2294"/>
      <c r="N40" s="2294"/>
      <c r="O40" s="2338"/>
      <c r="P40" s="3630"/>
      <c r="Q40" s="1351">
        <f t="shared" si="11"/>
        <v>111</v>
      </c>
      <c r="R40" s="1352" t="s">
        <v>65</v>
      </c>
      <c r="S40" s="1353">
        <f t="shared" si="12"/>
        <v>100</v>
      </c>
      <c r="T40" s="1352" t="s">
        <v>65</v>
      </c>
      <c r="U40" s="1353">
        <f t="shared" si="13"/>
        <v>100</v>
      </c>
      <c r="V40" s="1352" t="s">
        <v>65</v>
      </c>
      <c r="W40" s="1353">
        <f t="shared" si="14"/>
        <v>100</v>
      </c>
      <c r="X40" s="1340"/>
      <c r="Y40" s="3630"/>
      <c r="Z40" s="1354">
        <f t="shared" si="15"/>
        <v>111</v>
      </c>
      <c r="AA40" s="1355">
        <f t="shared" si="3"/>
        <v>1</v>
      </c>
      <c r="AB40" s="1355">
        <f t="shared" si="4"/>
        <v>1</v>
      </c>
      <c r="AC40" s="1355">
        <f t="shared" si="5"/>
        <v>1</v>
      </c>
    </row>
    <row r="41" spans="1:29" ht="15">
      <c r="A41" s="163" t="s">
        <v>102</v>
      </c>
      <c r="B41" s="164"/>
      <c r="C41" s="2830" t="s">
        <v>23</v>
      </c>
      <c r="D41" s="2831"/>
      <c r="E41" s="2832"/>
      <c r="F41" s="2833"/>
      <c r="G41" s="2834"/>
      <c r="H41" s="2835"/>
      <c r="I41" s="2832"/>
      <c r="J41" s="2835"/>
      <c r="K41" s="1393"/>
      <c r="L41" s="2301"/>
      <c r="M41" s="2302"/>
      <c r="N41" s="2294"/>
      <c r="O41" s="2302"/>
      <c r="P41" s="3631" t="str">
        <f>A41</f>
        <v>成交单价（元/平方米）</v>
      </c>
      <c r="Q41" s="3631"/>
      <c r="R41" s="3632">
        <f>E41</f>
        <v>0</v>
      </c>
      <c r="S41" s="3632"/>
      <c r="T41" s="3632">
        <f>G41</f>
        <v>0</v>
      </c>
      <c r="U41" s="3632"/>
      <c r="V41" s="3632">
        <f>I41</f>
        <v>0</v>
      </c>
      <c r="W41" s="3632"/>
      <c r="X41" s="1365"/>
      <c r="Y41" s="1366"/>
      <c r="Z41" s="1365"/>
      <c r="AA41" s="1365"/>
      <c r="AB41" s="1365"/>
      <c r="AC41" s="1365"/>
    </row>
    <row r="42" spans="1:29" ht="15.75" thickBot="1">
      <c r="A42" s="165" t="s">
        <v>100</v>
      </c>
      <c r="B42" s="166"/>
      <c r="C42" s="2836" t="e">
        <f>R43</f>
        <v>#DIV/0!</v>
      </c>
      <c r="D42" s="2837"/>
      <c r="E42" s="2838" t="e">
        <f>R42</f>
        <v>#DIV/0!</v>
      </c>
      <c r="F42" s="2838"/>
      <c r="G42" s="2836" t="e">
        <f>T42</f>
        <v>#DIV/0!</v>
      </c>
      <c r="H42" s="2837"/>
      <c r="I42" s="2838" t="e">
        <f>V42</f>
        <v>#DIV/0!</v>
      </c>
      <c r="J42" s="2837"/>
      <c r="K42" s="1394"/>
      <c r="L42" s="2301"/>
      <c r="M42" s="2302"/>
      <c r="N42" s="2294"/>
      <c r="O42" s="2302"/>
      <c r="P42" s="3631" t="str">
        <f>A42</f>
        <v>比较价值（元/平方米）</v>
      </c>
      <c r="Q42" s="3631"/>
      <c r="R42" s="3632" t="e">
        <f>IF(F1="售价",ROUND(PRODUCT(R41,AA7:AA40),0),ROUND(PRODUCT(R41,AA7:AA40),1))</f>
        <v>#DIV/0!</v>
      </c>
      <c r="S42" s="3632"/>
      <c r="T42" s="3632" t="e">
        <f>IF(F1="售价",ROUND(PRODUCT(T41,AB7:AB40),0),ROUND(PRODUCT(T41,AB7:AB40),1))</f>
        <v>#DIV/0!</v>
      </c>
      <c r="U42" s="3632"/>
      <c r="V42" s="3632" t="e">
        <f>IF(F1="售价",ROUND(PRODUCT(V41,AC7:AC40),0),ROUND(PRODUCT(V41,AC7:AC40),1))</f>
        <v>#DIV/0!</v>
      </c>
      <c r="W42" s="3632"/>
      <c r="X42" s="1365"/>
      <c r="Y42" s="1365"/>
      <c r="Z42" s="1365"/>
      <c r="AA42" s="1365"/>
      <c r="AB42" s="1365"/>
      <c r="AC42" s="1365"/>
    </row>
    <row r="43" spans="1:29" ht="15.75" thickBot="1">
      <c r="A43" s="115" t="s">
        <v>3016</v>
      </c>
      <c r="B43" s="116"/>
      <c r="C43" s="2840" t="e">
        <f>R43</f>
        <v>#DIV/0!</v>
      </c>
      <c r="D43" s="2840"/>
      <c r="E43" s="2840"/>
      <c r="F43" s="2840"/>
      <c r="G43" s="2840"/>
      <c r="H43" s="2840"/>
      <c r="I43" s="2840"/>
      <c r="J43" s="2840"/>
      <c r="K43" s="1395"/>
      <c r="L43" s="2301"/>
      <c r="M43" s="2302"/>
      <c r="N43" s="2302"/>
      <c r="O43" s="2302"/>
      <c r="P43" s="3674" t="str">
        <f>A43</f>
        <v>估价对象XX用房的比较价值（楼面单价，元/平方米）</v>
      </c>
      <c r="Q43" s="3675"/>
      <c r="R43" s="3676" t="e">
        <f>IF(F1="售价",ROUND(AVERAGE(R42:V42),0),ROUND(AVERAGE(R42:V42),1))</f>
        <v>#DIV/0!</v>
      </c>
      <c r="S43" s="3676"/>
      <c r="T43" s="3676"/>
      <c r="U43" s="3676"/>
      <c r="V43" s="3676"/>
      <c r="W43" s="3676"/>
      <c r="X43" s="1365"/>
      <c r="Y43" s="1365"/>
      <c r="Z43" s="1365"/>
      <c r="AA43" s="1365"/>
      <c r="AB43" s="1365"/>
      <c r="AC43" s="1365"/>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2" t="s">
        <v>127</v>
      </c>
      <c r="B51" s="1365"/>
      <c r="C51" s="1373"/>
      <c r="D51" s="1373"/>
      <c r="E51" s="1373"/>
      <c r="F51" s="1374"/>
      <c r="G51" s="1374"/>
      <c r="H51" s="1373"/>
      <c r="I51" s="1373"/>
      <c r="J51" s="1373"/>
      <c r="K51" s="2308"/>
      <c r="L51" s="2309"/>
      <c r="M51" s="2310"/>
      <c r="N51" s="2310"/>
      <c r="O51" s="2310"/>
      <c r="P51" s="120"/>
      <c r="Q51" s="121"/>
    </row>
    <row r="52" spans="1:17" s="851" customFormat="1" ht="15">
      <c r="A52" s="848" t="s">
        <v>2792</v>
      </c>
      <c r="B52" s="849"/>
      <c r="C52" s="3038" t="str">
        <f>YEAR(C7)&amp;"-"&amp;MONTH(C7)</f>
        <v>2017-8</v>
      </c>
      <c r="D52" s="3039">
        <f>EDATE(C52,-1)</f>
        <v>42917</v>
      </c>
      <c r="E52" s="3039">
        <f t="shared" ref="E52:O52" si="16">EDATE(D52,-1)</f>
        <v>42887</v>
      </c>
      <c r="F52" s="3039">
        <f t="shared" si="16"/>
        <v>42856</v>
      </c>
      <c r="G52" s="3039">
        <f t="shared" si="16"/>
        <v>42826</v>
      </c>
      <c r="H52" s="3039">
        <f t="shared" si="16"/>
        <v>42795</v>
      </c>
      <c r="I52" s="3039">
        <f t="shared" si="16"/>
        <v>42767</v>
      </c>
      <c r="J52" s="3039">
        <f t="shared" si="16"/>
        <v>42736</v>
      </c>
      <c r="K52" s="3039">
        <f t="shared" si="16"/>
        <v>42705</v>
      </c>
      <c r="L52" s="3039">
        <f t="shared" si="16"/>
        <v>42675</v>
      </c>
      <c r="M52" s="3039">
        <f t="shared" si="16"/>
        <v>42644</v>
      </c>
      <c r="N52" s="3039">
        <f t="shared" si="16"/>
        <v>42614</v>
      </c>
      <c r="O52" s="3039">
        <f t="shared" si="16"/>
        <v>42583</v>
      </c>
      <c r="P52" s="850"/>
    </row>
    <row r="53" spans="1:17" s="40" customFormat="1" ht="14.25">
      <c r="A53" s="1045"/>
      <c r="B53" s="1046"/>
      <c r="C53" s="3036">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1010</v>
      </c>
      <c r="D59" s="882" t="s">
        <v>1011</v>
      </c>
      <c r="E59" s="882" t="s">
        <v>1012</v>
      </c>
      <c r="F59" s="882" t="s">
        <v>1013</v>
      </c>
      <c r="G59" s="882" t="s">
        <v>1014</v>
      </c>
      <c r="H59" s="882" t="s">
        <v>1015</v>
      </c>
      <c r="I59" s="882" t="s">
        <v>1016</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1017</v>
      </c>
      <c r="D70" s="916" t="s">
        <v>1018</v>
      </c>
      <c r="E70" s="916" t="s">
        <v>1019</v>
      </c>
      <c r="F70" s="916" t="s">
        <v>1020</v>
      </c>
      <c r="G70" s="916" t="s">
        <v>1021</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1017</v>
      </c>
      <c r="D72" s="921" t="s">
        <v>1018</v>
      </c>
      <c r="E72" s="921" t="s">
        <v>1019</v>
      </c>
      <c r="F72" s="921" t="s">
        <v>1020</v>
      </c>
      <c r="G72" s="921" t="s">
        <v>1021</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2635</v>
      </c>
      <c r="C74" s="921" t="s">
        <v>1017</v>
      </c>
      <c r="D74" s="921" t="s">
        <v>1018</v>
      </c>
      <c r="E74" s="921" t="s">
        <v>1019</v>
      </c>
      <c r="F74" s="921" t="s">
        <v>1020</v>
      </c>
      <c r="G74" s="921" t="s">
        <v>1021</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2663</v>
      </c>
      <c r="C76" s="213" t="s">
        <v>2655</v>
      </c>
      <c r="D76" s="213" t="s">
        <v>2656</v>
      </c>
      <c r="E76" s="213" t="s">
        <v>2657</v>
      </c>
      <c r="F76" s="213" t="s">
        <v>2658</v>
      </c>
      <c r="G76" s="213" t="s">
        <v>2659</v>
      </c>
      <c r="H76" s="882"/>
      <c r="I76" s="882"/>
      <c r="J76" s="882"/>
      <c r="K76" s="882"/>
      <c r="L76" s="882"/>
      <c r="M76" s="2762"/>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1017</v>
      </c>
      <c r="D78" s="921" t="s">
        <v>1018</v>
      </c>
      <c r="E78" s="921" t="s">
        <v>1019</v>
      </c>
      <c r="F78" s="921" t="s">
        <v>1020</v>
      </c>
      <c r="G78" s="921" t="s">
        <v>1021</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1017</v>
      </c>
      <c r="D106" s="921" t="s">
        <v>1018</v>
      </c>
      <c r="E106" s="921" t="s">
        <v>1019</v>
      </c>
      <c r="F106" s="921" t="s">
        <v>1020</v>
      </c>
      <c r="G106" s="921" t="s">
        <v>1021</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1" sqref="I4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388</v>
      </c>
      <c r="B1" s="3118"/>
      <c r="C1" s="3119" t="s">
        <v>444</v>
      </c>
      <c r="D1" s="3120"/>
      <c r="E1" s="3121"/>
      <c r="F1" s="3102"/>
      <c r="G1" s="3122" t="s">
        <v>445</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41" customFormat="1" ht="28.5" customHeight="1" thickTop="1">
      <c r="A2" s="3116" t="s">
        <v>446</v>
      </c>
      <c r="B2" s="2841" t="e">
        <f ca="1">IF(C2="——",IF(B37="元/平方米",ROUND(C39*D3/10000,0),ROUND(F3*C39/10000,0)),IF(B37="元/平方米",ROUND(C39*D3/10000,0),ROUND(F3*C39/10000,0))-D2)</f>
        <v>#DIV/0!</v>
      </c>
      <c r="C2" s="3094"/>
      <c r="D2" s="2340" t="e">
        <f ca="1">SUMIF(INDIRECT("'"&amp;F2&amp;"'"&amp;"!A:A"),"承租人权益价值",INDIRECT("'"&amp;F2&amp;"'"&amp;"!c:c"))</f>
        <v>#REF!</v>
      </c>
      <c r="E2" s="3095" t="s">
        <v>869</v>
      </c>
      <c r="F2" s="3096"/>
      <c r="G2" s="2341"/>
      <c r="H2" s="2341"/>
      <c r="I2" s="2341"/>
      <c r="J2" s="2341"/>
      <c r="K2" s="2343"/>
      <c r="L2" s="2344"/>
      <c r="M2" s="2345"/>
      <c r="N2" s="2345"/>
      <c r="O2" s="2345"/>
      <c r="P2" s="2842"/>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2130</v>
      </c>
      <c r="F3" s="742">
        <f>SUMIF('数据-取费表'!A5:A15,D1,'数据-取费表'!AH5:AH15)</f>
        <v>0</v>
      </c>
      <c r="G3" s="2341"/>
      <c r="H3" s="2341"/>
      <c r="I3" s="2341"/>
      <c r="J3" s="2341"/>
      <c r="K3" s="2343"/>
      <c r="L3" s="2344"/>
      <c r="M3" s="2345"/>
      <c r="N3" s="2345"/>
      <c r="O3" s="2345"/>
      <c r="P3" s="2842"/>
      <c r="Q3" s="1316"/>
      <c r="R3" s="1316"/>
      <c r="S3" s="1316"/>
      <c r="T3" s="1316"/>
      <c r="U3" s="1316"/>
      <c r="V3" s="1316"/>
      <c r="W3" s="1316"/>
      <c r="X3" s="1316"/>
      <c r="Y3" s="1316"/>
      <c r="Z3" s="1316"/>
      <c r="AA3" s="1316"/>
      <c r="AB3" s="1409"/>
      <c r="AC3" s="1399"/>
    </row>
    <row r="4" spans="1:29" ht="15">
      <c r="A4" s="744" t="s">
        <v>449</v>
      </c>
      <c r="B4" s="745"/>
      <c r="C4" s="3696" t="s">
        <v>450</v>
      </c>
      <c r="D4" s="3697"/>
      <c r="E4" s="3698" t="s">
        <v>451</v>
      </c>
      <c r="F4" s="3699"/>
      <c r="G4" s="3696" t="s">
        <v>452</v>
      </c>
      <c r="H4" s="3697"/>
      <c r="I4" s="3696" t="s">
        <v>453</v>
      </c>
      <c r="J4" s="3697"/>
      <c r="K4" s="953" t="s">
        <v>454</v>
      </c>
      <c r="L4" s="2346"/>
      <c r="M4" s="2347"/>
      <c r="N4" s="2347"/>
      <c r="O4" s="2347"/>
      <c r="P4" s="3700" t="s">
        <v>455</v>
      </c>
      <c r="Q4" s="3701"/>
      <c r="R4" s="3683" t="s">
        <v>451</v>
      </c>
      <c r="S4" s="3684"/>
      <c r="T4" s="3683" t="s">
        <v>452</v>
      </c>
      <c r="U4" s="3684"/>
      <c r="V4" s="3708" t="s">
        <v>453</v>
      </c>
      <c r="W4" s="3708"/>
      <c r="X4" s="2827"/>
      <c r="Y4" s="3683" t="s">
        <v>455</v>
      </c>
      <c r="Z4" s="3684"/>
      <c r="AA4" s="3678" t="s">
        <v>451</v>
      </c>
      <c r="AB4" s="3679" t="s">
        <v>452</v>
      </c>
      <c r="AC4" s="3678" t="s">
        <v>453</v>
      </c>
    </row>
    <row r="5" spans="1:29" ht="15">
      <c r="A5" s="747"/>
      <c r="B5" s="748"/>
      <c r="C5" s="3689" t="s">
        <v>3017</v>
      </c>
      <c r="D5" s="3690"/>
      <c r="E5" s="3687" t="s">
        <v>3018</v>
      </c>
      <c r="F5" s="3688"/>
      <c r="G5" s="3689" t="s">
        <v>3019</v>
      </c>
      <c r="H5" s="3690"/>
      <c r="I5" s="3689" t="s">
        <v>3020</v>
      </c>
      <c r="J5" s="3690"/>
      <c r="K5" s="953"/>
      <c r="L5" s="2346"/>
      <c r="M5" s="2347"/>
      <c r="N5" s="2347"/>
      <c r="O5" s="2347"/>
      <c r="P5" s="3702"/>
      <c r="Q5" s="3703"/>
      <c r="R5" s="3685"/>
      <c r="S5" s="3686"/>
      <c r="T5" s="3685"/>
      <c r="U5" s="3686"/>
      <c r="V5" s="3708"/>
      <c r="W5" s="3708"/>
      <c r="X5" s="2827"/>
      <c r="Y5" s="3685"/>
      <c r="Z5" s="3686"/>
      <c r="AA5" s="3679"/>
      <c r="AB5" s="3679"/>
      <c r="AC5" s="3679"/>
    </row>
    <row r="6" spans="1:29" ht="15.75" thickBot="1">
      <c r="A6" s="749"/>
      <c r="B6" s="750"/>
      <c r="C6" s="3691" t="s">
        <v>3021</v>
      </c>
      <c r="D6" s="3692"/>
      <c r="E6" s="3693" t="s">
        <v>3021</v>
      </c>
      <c r="F6" s="3694"/>
      <c r="G6" s="3691" t="s">
        <v>3021</v>
      </c>
      <c r="H6" s="3692"/>
      <c r="I6" s="3691" t="s">
        <v>3021</v>
      </c>
      <c r="J6" s="3692"/>
      <c r="K6" s="953" t="s">
        <v>397</v>
      </c>
      <c r="L6" s="2346"/>
      <c r="M6" s="2347"/>
      <c r="N6" s="2347"/>
      <c r="O6" s="2347"/>
      <c r="P6" s="3704"/>
      <c r="Q6" s="3705"/>
      <c r="R6" s="3685"/>
      <c r="S6" s="3686"/>
      <c r="T6" s="3706"/>
      <c r="U6" s="3707"/>
      <c r="V6" s="3708"/>
      <c r="W6" s="3708"/>
      <c r="X6" s="2827"/>
      <c r="Y6" s="3706"/>
      <c r="Z6" s="3707"/>
      <c r="AA6" s="3680"/>
      <c r="AB6" s="3680"/>
      <c r="AC6" s="3680"/>
    </row>
    <row r="7" spans="1:29" s="407" customFormat="1" ht="15.75" thickBot="1">
      <c r="A7" s="751" t="s">
        <v>398</v>
      </c>
      <c r="B7" s="752"/>
      <c r="C7" s="753">
        <f>'数据-取费表'!B2</f>
        <v>42963</v>
      </c>
      <c r="D7" s="754">
        <v>100</v>
      </c>
      <c r="E7" s="755"/>
      <c r="F7" s="756">
        <f>SUMIF(48:48,YEAR(E7)&amp;"-"&amp;MONTH(E7),49:49)</f>
        <v>0</v>
      </c>
      <c r="G7" s="755"/>
      <c r="H7" s="754">
        <f>SUMIF(48:48,YEAR(G7)&amp;"-"&amp;MONTH(G7),49:49)</f>
        <v>0</v>
      </c>
      <c r="I7" s="755"/>
      <c r="J7" s="754">
        <f>SUMIF(48:48,YEAR(I7)&amp;"-"&amp;MONTH(I7),49:49)</f>
        <v>0</v>
      </c>
      <c r="K7" s="954"/>
      <c r="L7" s="2348"/>
      <c r="M7" s="2349"/>
      <c r="N7" s="2349"/>
      <c r="O7" s="2349"/>
      <c r="P7" s="3681" t="s">
        <v>399</v>
      </c>
      <c r="Q7" s="3709"/>
      <c r="R7" s="1319" t="s">
        <v>65</v>
      </c>
      <c r="S7" s="1320">
        <f t="shared" ref="S7:S14" si="0">F7</f>
        <v>0</v>
      </c>
      <c r="T7" s="1319" t="s">
        <v>65</v>
      </c>
      <c r="U7" s="1320">
        <f t="shared" ref="U7:U14" si="1">H7</f>
        <v>0</v>
      </c>
      <c r="V7" s="1319" t="s">
        <v>65</v>
      </c>
      <c r="W7" s="1320">
        <f t="shared" ref="W7:W14" si="2">J7</f>
        <v>0</v>
      </c>
      <c r="X7" s="1321"/>
      <c r="Y7" s="3681" t="s">
        <v>399</v>
      </c>
      <c r="Z7" s="3682"/>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681" t="s">
        <v>435</v>
      </c>
      <c r="Q8" s="3682"/>
      <c r="R8" s="1319" t="s">
        <v>65</v>
      </c>
      <c r="S8" s="1320">
        <f t="shared" si="0"/>
        <v>0</v>
      </c>
      <c r="T8" s="1319" t="s">
        <v>65</v>
      </c>
      <c r="U8" s="1320">
        <f t="shared" si="1"/>
        <v>0</v>
      </c>
      <c r="V8" s="1319" t="s">
        <v>65</v>
      </c>
      <c r="W8" s="1320">
        <f t="shared" si="2"/>
        <v>0</v>
      </c>
      <c r="X8" s="1321"/>
      <c r="Y8" s="3681" t="s">
        <v>435</v>
      </c>
      <c r="Z8" s="3682"/>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695" t="s">
        <v>402</v>
      </c>
      <c r="Q9" s="2826" t="str">
        <f t="shared" ref="Q9:Q14" si="6">B9</f>
        <v>用途</v>
      </c>
      <c r="R9" s="1319" t="s">
        <v>65</v>
      </c>
      <c r="S9" s="1320">
        <f t="shared" si="0"/>
        <v>100</v>
      </c>
      <c r="T9" s="1319" t="s">
        <v>65</v>
      </c>
      <c r="U9" s="1320">
        <f t="shared" si="1"/>
        <v>100</v>
      </c>
      <c r="V9" s="1319" t="s">
        <v>65</v>
      </c>
      <c r="W9" s="1320">
        <f t="shared" si="2"/>
        <v>100</v>
      </c>
      <c r="X9" s="1321"/>
      <c r="Y9" s="3563"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695"/>
      <c r="Q10" s="2826" t="str">
        <f t="shared" si="6"/>
        <v>土地使用年限（年）</v>
      </c>
      <c r="R10" s="1319" t="s">
        <v>65</v>
      </c>
      <c r="S10" s="1320">
        <f t="shared" si="0"/>
        <v>100</v>
      </c>
      <c r="T10" s="1319" t="s">
        <v>65</v>
      </c>
      <c r="U10" s="1320">
        <f t="shared" si="1"/>
        <v>100</v>
      </c>
      <c r="V10" s="1319" t="s">
        <v>65</v>
      </c>
      <c r="W10" s="1320">
        <f t="shared" si="2"/>
        <v>100</v>
      </c>
      <c r="X10" s="1321"/>
      <c r="Y10" s="3563"/>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695"/>
      <c r="Q11" s="2826">
        <f t="shared" si="6"/>
        <v>111</v>
      </c>
      <c r="R11" s="1319" t="s">
        <v>65</v>
      </c>
      <c r="S11" s="1320">
        <f t="shared" si="0"/>
        <v>100</v>
      </c>
      <c r="T11" s="1319" t="s">
        <v>65</v>
      </c>
      <c r="U11" s="1320">
        <f t="shared" si="1"/>
        <v>100</v>
      </c>
      <c r="V11" s="1319" t="s">
        <v>65</v>
      </c>
      <c r="W11" s="1320">
        <f t="shared" si="2"/>
        <v>100</v>
      </c>
      <c r="X11" s="1321"/>
      <c r="Y11" s="3563"/>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695"/>
      <c r="Q12" s="2826">
        <f t="shared" si="6"/>
        <v>111</v>
      </c>
      <c r="R12" s="1319" t="s">
        <v>65</v>
      </c>
      <c r="S12" s="1320">
        <f t="shared" si="0"/>
        <v>100</v>
      </c>
      <c r="T12" s="1319" t="s">
        <v>65</v>
      </c>
      <c r="U12" s="1320">
        <f t="shared" si="1"/>
        <v>100</v>
      </c>
      <c r="V12" s="1319" t="s">
        <v>65</v>
      </c>
      <c r="W12" s="1320">
        <f t="shared" si="2"/>
        <v>100</v>
      </c>
      <c r="X12" s="1321"/>
      <c r="Y12" s="3563"/>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695"/>
      <c r="Q13" s="2826">
        <f t="shared" si="6"/>
        <v>111</v>
      </c>
      <c r="R13" s="1319" t="s">
        <v>65</v>
      </c>
      <c r="S13" s="1320">
        <f t="shared" si="0"/>
        <v>100</v>
      </c>
      <c r="T13" s="1319" t="s">
        <v>65</v>
      </c>
      <c r="U13" s="1320">
        <f t="shared" si="1"/>
        <v>100</v>
      </c>
      <c r="V13" s="1319" t="s">
        <v>65</v>
      </c>
      <c r="W13" s="1320">
        <f t="shared" si="2"/>
        <v>100</v>
      </c>
      <c r="X13" s="1321"/>
      <c r="Y13" s="3563"/>
      <c r="Z13" s="344">
        <f t="shared" si="7"/>
        <v>111</v>
      </c>
      <c r="AA13" s="1322">
        <f t="shared" si="3"/>
        <v>1</v>
      </c>
      <c r="AB13" s="1322">
        <f t="shared" si="4"/>
        <v>1</v>
      </c>
      <c r="AC13" s="1322">
        <f t="shared" si="5"/>
        <v>1</v>
      </c>
    </row>
    <row r="14" spans="1:29" ht="81">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710" t="s">
        <v>407</v>
      </c>
      <c r="Q14" s="2828" t="str">
        <f t="shared" si="6"/>
        <v>交通便捷度</v>
      </c>
      <c r="R14" s="1324" t="s">
        <v>65</v>
      </c>
      <c r="S14" s="1325">
        <f t="shared" si="0"/>
        <v>100</v>
      </c>
      <c r="T14" s="1324" t="s">
        <v>65</v>
      </c>
      <c r="U14" s="1325">
        <f t="shared" si="1"/>
        <v>100</v>
      </c>
      <c r="V14" s="1324" t="s">
        <v>65</v>
      </c>
      <c r="W14" s="1325">
        <f t="shared" si="2"/>
        <v>100</v>
      </c>
      <c r="X14" s="2827"/>
      <c r="Y14" s="3710" t="s">
        <v>407</v>
      </c>
      <c r="Z14" s="2829"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6"/>
      <c r="M15" s="2347"/>
      <c r="N15" s="2347"/>
      <c r="O15" s="2347"/>
      <c r="P15" s="3711"/>
      <c r="Q15" s="2828"/>
      <c r="R15" s="1324"/>
      <c r="S15" s="1325"/>
      <c r="T15" s="1324"/>
      <c r="U15" s="1325"/>
      <c r="V15" s="1324"/>
      <c r="W15" s="1325"/>
      <c r="X15" s="2827"/>
      <c r="Y15" s="3711"/>
      <c r="Z15" s="2829"/>
      <c r="AA15" s="1327">
        <v>1</v>
      </c>
      <c r="AB15" s="1327">
        <v>1</v>
      </c>
      <c r="AC15" s="1327">
        <v>1</v>
      </c>
    </row>
    <row r="16" spans="1:29" ht="40.5">
      <c r="A16" s="747"/>
      <c r="B16" s="1034" t="s">
        <v>2664</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711"/>
      <c r="Q16" s="2828" t="str">
        <f>B16</f>
        <v>公共配套设施</v>
      </c>
      <c r="R16" s="1324" t="s">
        <v>65</v>
      </c>
      <c r="S16" s="1325">
        <f>F16</f>
        <v>100</v>
      </c>
      <c r="T16" s="1324" t="s">
        <v>65</v>
      </c>
      <c r="U16" s="1325">
        <f>H16</f>
        <v>100</v>
      </c>
      <c r="V16" s="1324" t="s">
        <v>65</v>
      </c>
      <c r="W16" s="1325">
        <f>J16</f>
        <v>100</v>
      </c>
      <c r="X16" s="2827"/>
      <c r="Y16" s="3711"/>
      <c r="Z16" s="2829"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6"/>
      <c r="M17" s="2347"/>
      <c r="N17" s="2347"/>
      <c r="O17" s="2347"/>
      <c r="P17" s="3711"/>
      <c r="Q17" s="2828"/>
      <c r="R17" s="1324"/>
      <c r="S17" s="1325"/>
      <c r="T17" s="1324"/>
      <c r="U17" s="1325"/>
      <c r="V17" s="1324"/>
      <c r="W17" s="1325"/>
      <c r="X17" s="2827"/>
      <c r="Y17" s="3711"/>
      <c r="Z17" s="2829"/>
      <c r="AA17" s="1327">
        <v>1</v>
      </c>
      <c r="AB17" s="1327">
        <v>1</v>
      </c>
      <c r="AC17" s="1327">
        <v>1</v>
      </c>
    </row>
    <row r="18" spans="1:29" ht="27">
      <c r="A18" s="747"/>
      <c r="B18" s="1036" t="s">
        <v>2663</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711"/>
      <c r="Q18" s="2828" t="str">
        <f>B18</f>
        <v>基础设施水平</v>
      </c>
      <c r="R18" s="1324" t="s">
        <v>65</v>
      </c>
      <c r="S18" s="1325">
        <f>F18</f>
        <v>100</v>
      </c>
      <c r="T18" s="1324" t="s">
        <v>65</v>
      </c>
      <c r="U18" s="1325">
        <f>H18</f>
        <v>100</v>
      </c>
      <c r="V18" s="1324" t="s">
        <v>65</v>
      </c>
      <c r="W18" s="1325">
        <f>J18</f>
        <v>100</v>
      </c>
      <c r="X18" s="2827"/>
      <c r="Y18" s="3711"/>
      <c r="Z18" s="2829"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4"/>
      <c r="L19" s="2356"/>
      <c r="M19" s="2347"/>
      <c r="N19" s="2347"/>
      <c r="O19" s="2347"/>
      <c r="P19" s="3711"/>
      <c r="Q19" s="2828"/>
      <c r="R19" s="1324"/>
      <c r="S19" s="1325"/>
      <c r="T19" s="1324"/>
      <c r="U19" s="1325"/>
      <c r="V19" s="1324"/>
      <c r="W19" s="1325"/>
      <c r="X19" s="2827"/>
      <c r="Y19" s="3711"/>
      <c r="Z19" s="2829"/>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711"/>
      <c r="Q20" s="2828" t="str">
        <f>B20</f>
        <v>自然及人文环境</v>
      </c>
      <c r="R20" s="1324" t="s">
        <v>65</v>
      </c>
      <c r="S20" s="1325">
        <f>F20</f>
        <v>100</v>
      </c>
      <c r="T20" s="1324" t="s">
        <v>65</v>
      </c>
      <c r="U20" s="1325">
        <f>H20</f>
        <v>100</v>
      </c>
      <c r="V20" s="1324" t="s">
        <v>65</v>
      </c>
      <c r="W20" s="1325">
        <f>J20</f>
        <v>100</v>
      </c>
      <c r="X20" s="2827"/>
      <c r="Y20" s="3711"/>
      <c r="Z20" s="2829"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6"/>
      <c r="M21" s="2347"/>
      <c r="N21" s="2347"/>
      <c r="O21" s="2347"/>
      <c r="P21" s="3711"/>
      <c r="Q21" s="2828"/>
      <c r="R21" s="1324"/>
      <c r="S21" s="1325"/>
      <c r="T21" s="1324"/>
      <c r="U21" s="1325"/>
      <c r="V21" s="1324"/>
      <c r="W21" s="1325"/>
      <c r="X21" s="2827"/>
      <c r="Y21" s="3711"/>
      <c r="Z21" s="2829"/>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711"/>
      <c r="Q22" s="2828" t="str">
        <f>B22</f>
        <v>楼层</v>
      </c>
      <c r="R22" s="1324" t="s">
        <v>65</v>
      </c>
      <c r="S22" s="1325">
        <f>F22</f>
        <v>100</v>
      </c>
      <c r="T22" s="1324" t="s">
        <v>65</v>
      </c>
      <c r="U22" s="1325">
        <f>H22</f>
        <v>100</v>
      </c>
      <c r="V22" s="1324" t="s">
        <v>65</v>
      </c>
      <c r="W22" s="1325">
        <f>J22</f>
        <v>100</v>
      </c>
      <c r="X22" s="2827"/>
      <c r="Y22" s="3711"/>
      <c r="Z22" s="2829"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711"/>
      <c r="Q23" s="2828">
        <f>B23</f>
        <v>111</v>
      </c>
      <c r="R23" s="1324" t="s">
        <v>65</v>
      </c>
      <c r="S23" s="1325">
        <f>F23</f>
        <v>100</v>
      </c>
      <c r="T23" s="1324" t="s">
        <v>65</v>
      </c>
      <c r="U23" s="1325">
        <f>H23</f>
        <v>100</v>
      </c>
      <c r="V23" s="1324" t="s">
        <v>65</v>
      </c>
      <c r="W23" s="1325">
        <f>J23</f>
        <v>100</v>
      </c>
      <c r="X23" s="2827"/>
      <c r="Y23" s="3711"/>
      <c r="Z23" s="2829">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711"/>
      <c r="Q24" s="2828">
        <f t="shared" ref="Q24:Q36" si="11">B24</f>
        <v>111</v>
      </c>
      <c r="R24" s="1324" t="s">
        <v>65</v>
      </c>
      <c r="S24" s="1325">
        <f>F24</f>
        <v>100</v>
      </c>
      <c r="T24" s="1324" t="s">
        <v>65</v>
      </c>
      <c r="U24" s="1325">
        <f>H24</f>
        <v>100</v>
      </c>
      <c r="V24" s="1324" t="s">
        <v>65</v>
      </c>
      <c r="W24" s="1325">
        <f>J24</f>
        <v>100</v>
      </c>
      <c r="X24" s="2827"/>
      <c r="Y24" s="3711"/>
      <c r="Z24" s="2829">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711"/>
      <c r="Q25" s="2826">
        <f t="shared" si="11"/>
        <v>111</v>
      </c>
      <c r="R25" s="1319" t="s">
        <v>65</v>
      </c>
      <c r="S25" s="1320">
        <f>F25</f>
        <v>100</v>
      </c>
      <c r="T25" s="1319" t="s">
        <v>65</v>
      </c>
      <c r="U25" s="1320">
        <f>H25</f>
        <v>100</v>
      </c>
      <c r="V25" s="1319" t="s">
        <v>65</v>
      </c>
      <c r="W25" s="1320">
        <f>J25</f>
        <v>100</v>
      </c>
      <c r="X25" s="1321"/>
      <c r="Y25" s="3711"/>
      <c r="Z25" s="344">
        <f>Q25</f>
        <v>111</v>
      </c>
      <c r="AA25" s="1327">
        <f>D25/F25</f>
        <v>1</v>
      </c>
      <c r="AB25" s="1327">
        <f>D25/H25</f>
        <v>1</v>
      </c>
      <c r="AC25" s="1327">
        <f>D25/J25</f>
        <v>1</v>
      </c>
    </row>
    <row r="26" spans="1:29" ht="15">
      <c r="A26" s="995" t="s">
        <v>408</v>
      </c>
      <c r="B26" s="360" t="s">
        <v>459</v>
      </c>
      <c r="C26" s="2765">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712" t="s">
        <v>409</v>
      </c>
      <c r="Q26" s="2828" t="str">
        <f t="shared" si="11"/>
        <v>配套类型</v>
      </c>
      <c r="R26" s="1324" t="s">
        <v>65</v>
      </c>
      <c r="S26" s="1325">
        <f t="shared" ref="S26:S36" si="12">F26</f>
        <v>100</v>
      </c>
      <c r="T26" s="1324" t="s">
        <v>65</v>
      </c>
      <c r="U26" s="1325">
        <f t="shared" ref="U26:U36" si="13">H26</f>
        <v>100</v>
      </c>
      <c r="V26" s="1324" t="s">
        <v>65</v>
      </c>
      <c r="W26" s="1325">
        <f t="shared" ref="W26:W36" si="14">J26</f>
        <v>100</v>
      </c>
      <c r="X26" s="2827"/>
      <c r="Y26" s="3713" t="s">
        <v>409</v>
      </c>
      <c r="Z26" s="2829"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713"/>
      <c r="Q27" s="1328" t="str">
        <f t="shared" si="11"/>
        <v>项目停车位配比</v>
      </c>
      <c r="R27" s="1329" t="s">
        <v>65</v>
      </c>
      <c r="S27" s="1330">
        <f t="shared" si="12"/>
        <v>100</v>
      </c>
      <c r="T27" s="1329" t="s">
        <v>65</v>
      </c>
      <c r="U27" s="1330">
        <f t="shared" si="13"/>
        <v>100</v>
      </c>
      <c r="V27" s="1329" t="s">
        <v>65</v>
      </c>
      <c r="W27" s="1330">
        <f t="shared" si="14"/>
        <v>100</v>
      </c>
      <c r="X27" s="1331"/>
      <c r="Y27" s="3713"/>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713"/>
      <c r="Q28" s="2828" t="str">
        <f t="shared" si="11"/>
        <v>公共部分装修</v>
      </c>
      <c r="R28" s="1324" t="s">
        <v>65</v>
      </c>
      <c r="S28" s="1325">
        <f t="shared" si="12"/>
        <v>100</v>
      </c>
      <c r="T28" s="1324" t="s">
        <v>65</v>
      </c>
      <c r="U28" s="1325">
        <f t="shared" si="13"/>
        <v>100</v>
      </c>
      <c r="V28" s="1324" t="s">
        <v>65</v>
      </c>
      <c r="W28" s="1325">
        <f t="shared" si="14"/>
        <v>100</v>
      </c>
      <c r="X28" s="2827"/>
      <c r="Y28" s="3713"/>
      <c r="Z28" s="2829"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713"/>
      <c r="Q29" s="2828" t="str">
        <f t="shared" si="11"/>
        <v>成新率</v>
      </c>
      <c r="R29" s="1324" t="s">
        <v>65</v>
      </c>
      <c r="S29" s="1325" t="e">
        <f t="shared" si="12"/>
        <v>#N/A</v>
      </c>
      <c r="T29" s="1324" t="s">
        <v>65</v>
      </c>
      <c r="U29" s="1325" t="e">
        <f t="shared" si="13"/>
        <v>#N/A</v>
      </c>
      <c r="V29" s="1324" t="s">
        <v>65</v>
      </c>
      <c r="W29" s="1325" t="e">
        <f t="shared" si="14"/>
        <v>#N/A</v>
      </c>
      <c r="X29" s="2827"/>
      <c r="Y29" s="3713"/>
      <c r="Z29" s="2829"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713"/>
      <c r="Q30" s="2828" t="str">
        <f t="shared" si="11"/>
        <v>物业等级</v>
      </c>
      <c r="R30" s="1324" t="s">
        <v>65</v>
      </c>
      <c r="S30" s="1325">
        <f t="shared" si="12"/>
        <v>100</v>
      </c>
      <c r="T30" s="1324" t="s">
        <v>65</v>
      </c>
      <c r="U30" s="1325">
        <f t="shared" si="13"/>
        <v>100</v>
      </c>
      <c r="V30" s="1324" t="s">
        <v>65</v>
      </c>
      <c r="W30" s="1325">
        <f t="shared" si="14"/>
        <v>100</v>
      </c>
      <c r="X30" s="2827"/>
      <c r="Y30" s="3713"/>
      <c r="Z30" s="2829"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713"/>
      <c r="Q31" s="2826" t="str">
        <f t="shared" si="11"/>
        <v>停车位面积</v>
      </c>
      <c r="R31" s="1319" t="s">
        <v>65</v>
      </c>
      <c r="S31" s="1320" t="e">
        <f t="shared" si="12"/>
        <v>#N/A</v>
      </c>
      <c r="T31" s="1319" t="s">
        <v>65</v>
      </c>
      <c r="U31" s="1320" t="e">
        <f t="shared" si="13"/>
        <v>#N/A</v>
      </c>
      <c r="V31" s="1319" t="s">
        <v>65</v>
      </c>
      <c r="W31" s="1320" t="e">
        <f t="shared" si="14"/>
        <v>#N/A</v>
      </c>
      <c r="X31" s="1321"/>
      <c r="Y31" s="3713"/>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713" t="s">
        <v>409</v>
      </c>
      <c r="Q32" s="2828" t="str">
        <f t="shared" si="11"/>
        <v>车位类型</v>
      </c>
      <c r="R32" s="1324" t="s">
        <v>65</v>
      </c>
      <c r="S32" s="1325">
        <f t="shared" si="12"/>
        <v>100</v>
      </c>
      <c r="T32" s="1324" t="s">
        <v>65</v>
      </c>
      <c r="U32" s="1325">
        <f t="shared" si="13"/>
        <v>100</v>
      </c>
      <c r="V32" s="1324" t="s">
        <v>65</v>
      </c>
      <c r="W32" s="1325">
        <f t="shared" si="14"/>
        <v>100</v>
      </c>
      <c r="X32" s="2827"/>
      <c r="Y32" s="3713" t="s">
        <v>409</v>
      </c>
      <c r="Z32" s="2829"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713"/>
      <c r="Q33" s="2828" t="str">
        <f t="shared" si="11"/>
        <v>是否直接入户</v>
      </c>
      <c r="R33" s="1324" t="s">
        <v>65</v>
      </c>
      <c r="S33" s="1325">
        <f t="shared" si="12"/>
        <v>100</v>
      </c>
      <c r="T33" s="1324" t="s">
        <v>65</v>
      </c>
      <c r="U33" s="1325">
        <f t="shared" si="13"/>
        <v>100</v>
      </c>
      <c r="V33" s="1324" t="s">
        <v>65</v>
      </c>
      <c r="W33" s="1325">
        <f t="shared" si="14"/>
        <v>100</v>
      </c>
      <c r="X33" s="2827"/>
      <c r="Y33" s="3713"/>
      <c r="Z33" s="2829"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713"/>
      <c r="Q34" s="2828">
        <f t="shared" si="11"/>
        <v>111</v>
      </c>
      <c r="R34" s="1324" t="s">
        <v>65</v>
      </c>
      <c r="S34" s="1325">
        <f t="shared" si="12"/>
        <v>100</v>
      </c>
      <c r="T34" s="1324" t="s">
        <v>65</v>
      </c>
      <c r="U34" s="1325">
        <f t="shared" si="13"/>
        <v>100</v>
      </c>
      <c r="V34" s="1324" t="s">
        <v>65</v>
      </c>
      <c r="W34" s="1325">
        <f t="shared" si="14"/>
        <v>100</v>
      </c>
      <c r="X34" s="2827"/>
      <c r="Y34" s="3713"/>
      <c r="Z34" s="2829">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713"/>
      <c r="Q35" s="1328">
        <f t="shared" si="11"/>
        <v>111</v>
      </c>
      <c r="R35" s="1329" t="s">
        <v>65</v>
      </c>
      <c r="S35" s="1330">
        <f t="shared" si="12"/>
        <v>100</v>
      </c>
      <c r="T35" s="1329" t="s">
        <v>65</v>
      </c>
      <c r="U35" s="1330">
        <f t="shared" si="13"/>
        <v>100</v>
      </c>
      <c r="V35" s="1329" t="s">
        <v>65</v>
      </c>
      <c r="W35" s="1330">
        <f t="shared" si="14"/>
        <v>100</v>
      </c>
      <c r="X35" s="1331"/>
      <c r="Y35" s="3713"/>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713"/>
      <c r="Q36" s="2828">
        <f t="shared" si="11"/>
        <v>111</v>
      </c>
      <c r="R36" s="1324" t="s">
        <v>65</v>
      </c>
      <c r="S36" s="1325">
        <f t="shared" si="12"/>
        <v>100</v>
      </c>
      <c r="T36" s="1324" t="s">
        <v>65</v>
      </c>
      <c r="U36" s="1325">
        <f t="shared" si="13"/>
        <v>100</v>
      </c>
      <c r="V36" s="1324" t="s">
        <v>65</v>
      </c>
      <c r="W36" s="1325">
        <f t="shared" si="14"/>
        <v>100</v>
      </c>
      <c r="X36" s="2827"/>
      <c r="Y36" s="3713"/>
      <c r="Z36" s="2829">
        <f t="shared" si="15"/>
        <v>111</v>
      </c>
      <c r="AA36" s="1327">
        <f t="shared" si="3"/>
        <v>1</v>
      </c>
      <c r="AB36" s="1327">
        <f t="shared" si="4"/>
        <v>1</v>
      </c>
      <c r="AC36" s="1327">
        <f t="shared" si="5"/>
        <v>1</v>
      </c>
    </row>
    <row r="37" spans="1:29" ht="15">
      <c r="A37" s="163" t="s">
        <v>2131</v>
      </c>
      <c r="B37" s="2097" t="s">
        <v>2132</v>
      </c>
      <c r="C37" s="2830" t="s">
        <v>23</v>
      </c>
      <c r="D37" s="2831"/>
      <c r="E37" s="2832"/>
      <c r="F37" s="2833"/>
      <c r="G37" s="2834"/>
      <c r="H37" s="2835"/>
      <c r="I37" s="2832"/>
      <c r="J37" s="2835"/>
      <c r="K37" s="962"/>
      <c r="L37" s="2359"/>
      <c r="M37" s="2360"/>
      <c r="N37" s="2347"/>
      <c r="O37" s="2360"/>
      <c r="P37" s="3695" t="str">
        <f>A37</f>
        <v>成交单价</v>
      </c>
      <c r="Q37" s="3695"/>
      <c r="R37" s="3714">
        <f>E37</f>
        <v>0</v>
      </c>
      <c r="S37" s="3714"/>
      <c r="T37" s="3714">
        <f>G37</f>
        <v>0</v>
      </c>
      <c r="U37" s="3714"/>
      <c r="V37" s="3714">
        <f>I37</f>
        <v>0</v>
      </c>
      <c r="W37" s="3714"/>
      <c r="X37" s="1307"/>
      <c r="Y37" s="1333"/>
      <c r="Z37" s="1307"/>
      <c r="AA37" s="1307"/>
      <c r="AB37" s="1307"/>
      <c r="AC37" s="1307"/>
    </row>
    <row r="38" spans="1:29" ht="15.75" thickBot="1">
      <c r="A38" s="829" t="s">
        <v>411</v>
      </c>
      <c r="B38" s="166" t="str">
        <f>B37</f>
        <v>元/车位</v>
      </c>
      <c r="C38" s="2836" t="e">
        <f>R39</f>
        <v>#DIV/0!</v>
      </c>
      <c r="D38" s="2837"/>
      <c r="E38" s="2838" t="e">
        <f>R38</f>
        <v>#DIV/0!</v>
      </c>
      <c r="F38" s="2838"/>
      <c r="G38" s="2836" t="e">
        <f>T38</f>
        <v>#DIV/0!</v>
      </c>
      <c r="H38" s="2837"/>
      <c r="I38" s="2838" t="e">
        <f>V38</f>
        <v>#DIV/0!</v>
      </c>
      <c r="J38" s="2837"/>
      <c r="K38" s="963"/>
      <c r="L38" s="2359"/>
      <c r="M38" s="2360"/>
      <c r="N38" s="2360"/>
      <c r="O38" s="2360"/>
      <c r="P38" s="3695" t="str">
        <f>A38</f>
        <v>比较价值（元/平方米）</v>
      </c>
      <c r="Q38" s="3695"/>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1307"/>
      <c r="Y38" s="1307"/>
      <c r="Z38" s="1307"/>
      <c r="AA38" s="1307"/>
      <c r="AB38" s="1307"/>
      <c r="AC38" s="1307"/>
    </row>
    <row r="39" spans="1:29" ht="15.75" thickBot="1">
      <c r="A39" s="835" t="s">
        <v>3022</v>
      </c>
      <c r="B39" s="836"/>
      <c r="C39" s="2840" t="e">
        <f>R39</f>
        <v>#DIV/0!</v>
      </c>
      <c r="D39" s="2840"/>
      <c r="E39" s="2840"/>
      <c r="F39" s="2840"/>
      <c r="G39" s="2840"/>
      <c r="H39" s="2840"/>
      <c r="I39" s="2840"/>
      <c r="J39" s="2840"/>
      <c r="K39" s="964"/>
      <c r="L39" s="2359"/>
      <c r="M39" s="2360"/>
      <c r="N39" s="2360"/>
      <c r="O39" s="2360"/>
      <c r="P39" s="3715" t="str">
        <f>A39</f>
        <v>估价对象XX用房的比较价值（楼面单价，元/平方米）</v>
      </c>
      <c r="Q39" s="3716"/>
      <c r="R39" s="3717" t="e">
        <f>IF(F1="售价",ROUND(AVERAGE(R38:V38),0),ROUND(AVERAGE(R38:V38),1))</f>
        <v>#DIV/0!</v>
      </c>
      <c r="S39" s="3717"/>
      <c r="T39" s="3717"/>
      <c r="U39" s="3717"/>
      <c r="V39" s="3717"/>
      <c r="W39" s="3717"/>
      <c r="X39" s="1307"/>
      <c r="Y39" s="1307"/>
      <c r="Z39" s="1307"/>
      <c r="AA39" s="1307"/>
      <c r="AB39" s="1307"/>
      <c r="AC39" s="1307"/>
    </row>
    <row r="40" spans="1:29">
      <c r="A40" s="2360"/>
      <c r="B40" s="2360"/>
      <c r="C40" s="2360"/>
      <c r="D40" s="2360"/>
      <c r="E40" s="2360"/>
      <c r="F40" s="2360"/>
      <c r="G40" s="2363"/>
      <c r="H40" s="2360"/>
      <c r="I40" s="2360"/>
      <c r="J40" s="2360"/>
      <c r="K40" s="2186"/>
      <c r="L40" s="2187"/>
      <c r="M40" s="2360"/>
      <c r="N40" s="2360"/>
      <c r="O40" s="2360"/>
      <c r="P40" s="2843"/>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3"/>
      <c r="Q41" s="2360"/>
      <c r="R41" s="2360"/>
      <c r="S41" s="2360"/>
      <c r="T41" s="2360"/>
      <c r="U41" s="2360"/>
      <c r="V41" s="2360"/>
      <c r="W41" s="2360"/>
      <c r="X41" s="2360"/>
      <c r="Y41" s="2360"/>
      <c r="Z41" s="2360"/>
      <c r="AA41" s="2360"/>
      <c r="AB41" s="2360"/>
      <c r="AC41" s="2360"/>
    </row>
    <row r="42" spans="1:29" ht="13.5" customHeight="1">
      <c r="A42" s="2360"/>
      <c r="B42" s="2360"/>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3"/>
      <c r="Q42" s="2360"/>
      <c r="R42" s="2360"/>
      <c r="S42" s="2360"/>
      <c r="T42" s="2360"/>
      <c r="U42" s="2360"/>
      <c r="V42" s="2360"/>
      <c r="W42" s="2360"/>
      <c r="X42" s="2360"/>
      <c r="Y42" s="2360"/>
      <c r="Z42" s="2360"/>
      <c r="AA42" s="2360"/>
      <c r="AB42" s="2360"/>
      <c r="AC42" s="2360"/>
    </row>
    <row r="43" spans="1:29" ht="13.5" customHeight="1">
      <c r="A43" s="2360"/>
      <c r="B43" s="2360"/>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3"/>
      <c r="Q43" s="2360"/>
      <c r="R43" s="2360"/>
      <c r="S43" s="2360"/>
      <c r="T43" s="2360"/>
      <c r="U43" s="2360"/>
      <c r="V43" s="2360"/>
      <c r="W43" s="2360"/>
      <c r="X43" s="2360"/>
      <c r="Y43" s="2360"/>
      <c r="Z43" s="2360"/>
      <c r="AA43" s="2360"/>
      <c r="AB43" s="2360"/>
      <c r="AC43" s="2360"/>
    </row>
    <row r="44" spans="1:29" s="845" customFormat="1" ht="13.5" customHeight="1">
      <c r="A44" s="2361"/>
      <c r="B44" s="2361"/>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4"/>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4"/>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3"/>
      <c r="Q46" s="2360"/>
      <c r="R46" s="2360"/>
      <c r="S46" s="2360"/>
      <c r="T46" s="2360"/>
      <c r="U46" s="2360"/>
      <c r="V46" s="2360"/>
      <c r="W46" s="2360"/>
      <c r="X46" s="2360"/>
      <c r="Y46" s="2360"/>
      <c r="Z46" s="2360"/>
      <c r="AA46" s="2360"/>
      <c r="AB46" s="2360"/>
      <c r="AC46" s="2360"/>
    </row>
    <row r="47" spans="1:29" ht="21.75" thickBot="1">
      <c r="A47" s="2847" t="s">
        <v>415</v>
      </c>
      <c r="B47" s="2360"/>
      <c r="C47" s="2376"/>
      <c r="D47" s="2376"/>
      <c r="E47" s="2376"/>
      <c r="F47" s="2848"/>
      <c r="G47" s="2848"/>
      <c r="H47" s="2376"/>
      <c r="I47" s="2376"/>
      <c r="J47" s="2376"/>
      <c r="K47" s="2377"/>
      <c r="L47" s="2378"/>
      <c r="M47" s="2376"/>
      <c r="N47" s="2376"/>
      <c r="O47" s="2376"/>
      <c r="P47" s="2845"/>
      <c r="Q47" s="2846"/>
      <c r="R47" s="2360"/>
      <c r="S47" s="2360"/>
      <c r="T47" s="2360"/>
      <c r="U47" s="2360"/>
      <c r="V47" s="2360"/>
      <c r="W47" s="2360"/>
      <c r="X47" s="2360"/>
      <c r="Y47" s="2360"/>
      <c r="Z47" s="2360"/>
      <c r="AA47" s="2360"/>
      <c r="AB47" s="2360"/>
      <c r="AC47" s="2360"/>
    </row>
    <row r="48" spans="1:29" s="851" customFormat="1" ht="15">
      <c r="A48" s="848" t="s">
        <v>2792</v>
      </c>
      <c r="B48" s="849"/>
      <c r="C48" s="3038" t="str">
        <f>YEAR(C7)&amp;"-"&amp;MONTH(C7)</f>
        <v>2017-8</v>
      </c>
      <c r="D48" s="3039">
        <f>EDATE(C48,-1)</f>
        <v>42917</v>
      </c>
      <c r="E48" s="3039">
        <f t="shared" ref="E48:O48" si="16">EDATE(D48,-1)</f>
        <v>42887</v>
      </c>
      <c r="F48" s="3039">
        <f t="shared" si="16"/>
        <v>42856</v>
      </c>
      <c r="G48" s="3039">
        <f t="shared" si="16"/>
        <v>42826</v>
      </c>
      <c r="H48" s="3039">
        <f t="shared" si="16"/>
        <v>42795</v>
      </c>
      <c r="I48" s="3039">
        <f t="shared" si="16"/>
        <v>42767</v>
      </c>
      <c r="J48" s="3039">
        <f t="shared" si="16"/>
        <v>42736</v>
      </c>
      <c r="K48" s="3039">
        <f t="shared" si="16"/>
        <v>42705</v>
      </c>
      <c r="L48" s="3039">
        <f t="shared" si="16"/>
        <v>42675</v>
      </c>
      <c r="M48" s="3039">
        <f t="shared" si="16"/>
        <v>42644</v>
      </c>
      <c r="N48" s="3039">
        <f t="shared" si="16"/>
        <v>42614</v>
      </c>
      <c r="O48" s="3039">
        <f t="shared" si="16"/>
        <v>42583</v>
      </c>
      <c r="P48" s="2861"/>
      <c r="Q48" s="2862"/>
      <c r="R48" s="2862"/>
      <c r="S48" s="2862"/>
      <c r="T48" s="2862"/>
      <c r="U48" s="2862"/>
      <c r="V48" s="2862"/>
      <c r="W48" s="2862"/>
      <c r="X48" s="2862"/>
      <c r="Y48" s="2862"/>
      <c r="Z48" s="2862"/>
      <c r="AA48" s="2862"/>
      <c r="AB48" s="2862"/>
      <c r="AC48" s="2862"/>
    </row>
    <row r="49" spans="1:29" s="407" customFormat="1" ht="15">
      <c r="A49" s="852"/>
      <c r="B49" s="853"/>
      <c r="C49" s="3027">
        <v>100</v>
      </c>
      <c r="D49" s="855"/>
      <c r="E49" s="855"/>
      <c r="F49" s="855"/>
      <c r="G49" s="855"/>
      <c r="H49" s="855"/>
      <c r="I49" s="855"/>
      <c r="J49" s="855"/>
      <c r="K49" s="855"/>
      <c r="L49" s="855"/>
      <c r="M49" s="856"/>
      <c r="N49" s="855"/>
      <c r="O49" s="856"/>
      <c r="P49" s="2851"/>
      <c r="Q49" s="2850"/>
      <c r="R49" s="2850"/>
      <c r="S49" s="2850"/>
      <c r="T49" s="2850"/>
      <c r="U49" s="2850"/>
      <c r="V49" s="2850"/>
      <c r="W49" s="2850"/>
      <c r="X49" s="2850"/>
      <c r="Y49" s="2850"/>
      <c r="Z49" s="2850"/>
      <c r="AA49" s="2850"/>
      <c r="AB49" s="2850"/>
      <c r="AC49" s="2850"/>
    </row>
    <row r="50" spans="1:29" s="407" customFormat="1" ht="15.75" thickBot="1">
      <c r="A50" s="858" t="s">
        <v>416</v>
      </c>
      <c r="B50" s="859"/>
      <c r="C50" s="860"/>
      <c r="D50" s="861"/>
      <c r="E50" s="861"/>
      <c r="F50" s="861"/>
      <c r="G50" s="861"/>
      <c r="H50" s="861"/>
      <c r="I50" s="861"/>
      <c r="J50" s="861"/>
      <c r="K50" s="861"/>
      <c r="L50" s="861"/>
      <c r="M50" s="862"/>
      <c r="N50" s="861"/>
      <c r="O50" s="862"/>
      <c r="P50" s="2851"/>
      <c r="Q50" s="2846"/>
      <c r="R50" s="2850"/>
      <c r="S50" s="2850"/>
      <c r="T50" s="2850"/>
      <c r="U50" s="2850"/>
      <c r="V50" s="2850"/>
      <c r="W50" s="2850"/>
      <c r="X50" s="2850"/>
      <c r="Y50" s="2850"/>
      <c r="Z50" s="2850"/>
      <c r="AA50" s="2850"/>
      <c r="AB50" s="2850"/>
      <c r="AC50" s="2850"/>
    </row>
    <row r="51" spans="1:29" s="407" customFormat="1" ht="15">
      <c r="A51" s="864" t="s">
        <v>400</v>
      </c>
      <c r="B51" s="853"/>
      <c r="C51" s="865" t="s">
        <v>417</v>
      </c>
      <c r="D51" s="866"/>
      <c r="E51" s="866"/>
      <c r="F51" s="866"/>
      <c r="G51" s="866"/>
      <c r="H51" s="866"/>
      <c r="I51" s="866"/>
      <c r="J51" s="866"/>
      <c r="K51" s="866"/>
      <c r="L51" s="867"/>
      <c r="M51" s="868"/>
      <c r="N51" s="2367"/>
      <c r="O51" s="2367"/>
      <c r="P51" s="2849"/>
      <c r="Q51" s="2846"/>
      <c r="R51" s="2850"/>
      <c r="S51" s="2850"/>
      <c r="T51" s="2850"/>
      <c r="U51" s="2850"/>
      <c r="V51" s="2850"/>
      <c r="W51" s="2850"/>
      <c r="X51" s="2850"/>
      <c r="Y51" s="2850"/>
      <c r="Z51" s="2850"/>
      <c r="AA51" s="2850"/>
      <c r="AB51" s="2850"/>
      <c r="AC51" s="2850"/>
    </row>
    <row r="52" spans="1:29" s="407" customFormat="1" ht="15.75" thickBot="1">
      <c r="A52" s="864"/>
      <c r="B52" s="853"/>
      <c r="C52" s="982">
        <v>100</v>
      </c>
      <c r="D52" s="855"/>
      <c r="E52" s="855"/>
      <c r="F52" s="855"/>
      <c r="G52" s="855"/>
      <c r="H52" s="855"/>
      <c r="I52" s="855"/>
      <c r="J52" s="855"/>
      <c r="K52" s="855"/>
      <c r="L52" s="855"/>
      <c r="M52" s="857"/>
      <c r="N52" s="2367"/>
      <c r="O52" s="2367"/>
      <c r="P52" s="2851"/>
      <c r="Q52" s="2846"/>
      <c r="R52" s="2850"/>
      <c r="S52" s="2850"/>
      <c r="T52" s="2850"/>
      <c r="U52" s="2850"/>
      <c r="V52" s="2850"/>
      <c r="W52" s="2850"/>
      <c r="X52" s="2850"/>
      <c r="Y52" s="2850"/>
      <c r="Z52" s="2850"/>
      <c r="AA52" s="2850"/>
      <c r="AB52" s="2850"/>
      <c r="AC52" s="2850"/>
    </row>
    <row r="53" spans="1:29">
      <c r="A53" s="870" t="s">
        <v>418</v>
      </c>
      <c r="B53" s="871" t="s">
        <v>419</v>
      </c>
      <c r="C53" s="872">
        <f>C9</f>
        <v>0</v>
      </c>
      <c r="D53" s="873"/>
      <c r="E53" s="873"/>
      <c r="F53" s="873"/>
      <c r="G53" s="873"/>
      <c r="H53" s="873"/>
      <c r="I53" s="873"/>
      <c r="J53" s="873"/>
      <c r="K53" s="874"/>
      <c r="L53" s="875"/>
      <c r="M53" s="876"/>
      <c r="N53" s="2368"/>
      <c r="O53" s="2368"/>
      <c r="P53" s="2852"/>
      <c r="Q53" s="2846"/>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2"/>
      <c r="Q54" s="2846"/>
      <c r="R54" s="2360"/>
      <c r="S54" s="2360"/>
      <c r="T54" s="2360"/>
      <c r="U54" s="2360"/>
      <c r="V54" s="2360"/>
      <c r="W54" s="2360"/>
      <c r="X54" s="2360"/>
      <c r="Y54" s="2360"/>
      <c r="Z54" s="2360"/>
      <c r="AA54" s="2360"/>
      <c r="AB54" s="2360"/>
      <c r="AC54" s="2360"/>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68"/>
      <c r="O55" s="2368"/>
      <c r="P55" s="2852"/>
      <c r="Q55" s="2846"/>
      <c r="R55" s="2360"/>
      <c r="S55" s="2360"/>
      <c r="T55" s="2360"/>
      <c r="U55" s="2360"/>
      <c r="V55" s="2360"/>
      <c r="W55" s="2360"/>
      <c r="X55" s="2360"/>
      <c r="Y55" s="2360"/>
      <c r="Z55" s="2360"/>
      <c r="AA55" s="2360"/>
      <c r="AB55" s="2360"/>
      <c r="AC55" s="2360"/>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9"/>
      <c r="O56" s="2369"/>
      <c r="P56" s="2852"/>
      <c r="Q56" s="2846"/>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2"/>
      <c r="Q57" s="2846"/>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2"/>
      <c r="Q58" s="2846"/>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3"/>
      <c r="Q59" s="2854"/>
      <c r="R59" s="2855"/>
      <c r="S59" s="2855"/>
      <c r="T59" s="2855"/>
      <c r="U59" s="2855"/>
      <c r="V59" s="2855"/>
      <c r="W59" s="2855"/>
      <c r="X59" s="2855"/>
      <c r="Y59" s="2855"/>
      <c r="Z59" s="2855"/>
      <c r="AA59" s="2855"/>
      <c r="AB59" s="2855"/>
      <c r="AC59" s="2855"/>
    </row>
    <row r="60" spans="1:29" s="814" customFormat="1" ht="15.75" thickBot="1">
      <c r="A60" s="896"/>
      <c r="B60" s="886"/>
      <c r="C60" s="903"/>
      <c r="D60" s="879"/>
      <c r="E60" s="879"/>
      <c r="F60" s="879"/>
      <c r="G60" s="879"/>
      <c r="H60" s="879"/>
      <c r="I60" s="879"/>
      <c r="J60" s="879"/>
      <c r="K60" s="879"/>
      <c r="L60" s="879"/>
      <c r="M60" s="880"/>
      <c r="N60" s="2369"/>
      <c r="O60" s="2369"/>
      <c r="P60" s="2853"/>
      <c r="Q60" s="2854"/>
      <c r="R60" s="2855"/>
      <c r="S60" s="2855"/>
      <c r="T60" s="2855"/>
      <c r="U60" s="2855"/>
      <c r="V60" s="2855"/>
      <c r="W60" s="2855"/>
      <c r="X60" s="2855"/>
      <c r="Y60" s="2855"/>
      <c r="Z60" s="2855"/>
      <c r="AA60" s="2855"/>
      <c r="AB60" s="2855"/>
      <c r="AC60" s="2855"/>
    </row>
    <row r="61" spans="1:29" s="814" customFormat="1" ht="15.75" thickTop="1">
      <c r="A61" s="896"/>
      <c r="B61" s="881">
        <f>B13</f>
        <v>111</v>
      </c>
      <c r="C61" s="897"/>
      <c r="D61" s="897"/>
      <c r="E61" s="897"/>
      <c r="F61" s="897"/>
      <c r="G61" s="897"/>
      <c r="H61" s="898"/>
      <c r="I61" s="898"/>
      <c r="J61" s="898"/>
      <c r="K61" s="898"/>
      <c r="L61" s="899"/>
      <c r="M61" s="900"/>
      <c r="N61" s="2370"/>
      <c r="O61" s="2370"/>
      <c r="P61" s="2856"/>
      <c r="Q61" s="2857"/>
      <c r="R61" s="2855"/>
      <c r="S61" s="2855"/>
      <c r="T61" s="2855"/>
      <c r="U61" s="2855"/>
      <c r="V61" s="2855"/>
      <c r="W61" s="2855"/>
      <c r="X61" s="2855"/>
      <c r="Y61" s="2855"/>
      <c r="Z61" s="2855"/>
      <c r="AA61" s="2855"/>
      <c r="AB61" s="2855"/>
      <c r="AC61" s="2855"/>
    </row>
    <row r="62" spans="1:29" s="814" customFormat="1" ht="15.75" thickBot="1">
      <c r="A62" s="896"/>
      <c r="B62" s="886"/>
      <c r="C62" s="903"/>
      <c r="D62" s="903"/>
      <c r="E62" s="903"/>
      <c r="F62" s="903"/>
      <c r="G62" s="903"/>
      <c r="H62" s="905"/>
      <c r="I62" s="905"/>
      <c r="J62" s="905"/>
      <c r="K62" s="905"/>
      <c r="L62" s="905"/>
      <c r="M62" s="906"/>
      <c r="N62" s="2370"/>
      <c r="O62" s="2370"/>
      <c r="P62" s="2853"/>
      <c r="Q62" s="2854"/>
      <c r="R62" s="2855"/>
      <c r="S62" s="2855"/>
      <c r="T62" s="2855"/>
      <c r="U62" s="2855"/>
      <c r="V62" s="2855"/>
      <c r="W62" s="2855"/>
      <c r="X62" s="2855"/>
      <c r="Y62" s="2855"/>
      <c r="Z62" s="2855"/>
      <c r="AA62" s="2855"/>
      <c r="AB62" s="2855"/>
      <c r="AC62" s="2855"/>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68"/>
      <c r="O63" s="2368"/>
      <c r="P63" s="2858"/>
      <c r="Q63" s="2846"/>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2"/>
      <c r="Q64" s="2846"/>
      <c r="R64" s="2360"/>
      <c r="S64" s="2360"/>
      <c r="T64" s="2360"/>
      <c r="U64" s="2360"/>
      <c r="V64" s="2360"/>
      <c r="W64" s="2360"/>
      <c r="X64" s="2360"/>
      <c r="Y64" s="2360"/>
      <c r="Z64" s="2360"/>
      <c r="AA64" s="2360"/>
      <c r="AB64" s="2360"/>
      <c r="AC64" s="2360"/>
    </row>
    <row r="65" spans="1:29" ht="15.75" thickTop="1">
      <c r="A65" s="877"/>
      <c r="B65" s="1054" t="s">
        <v>2635</v>
      </c>
      <c r="C65" s="921" t="s">
        <v>425</v>
      </c>
      <c r="D65" s="921" t="s">
        <v>426</v>
      </c>
      <c r="E65" s="921" t="s">
        <v>427</v>
      </c>
      <c r="F65" s="921" t="s">
        <v>428</v>
      </c>
      <c r="G65" s="921" t="s">
        <v>429</v>
      </c>
      <c r="H65" s="882"/>
      <c r="I65" s="882"/>
      <c r="J65" s="882"/>
      <c r="K65" s="883"/>
      <c r="L65" s="884"/>
      <c r="M65" s="885"/>
      <c r="N65" s="2368"/>
      <c r="O65" s="2368"/>
      <c r="P65" s="2852"/>
      <c r="Q65" s="2846"/>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2"/>
      <c r="Q66" s="2846"/>
      <c r="R66" s="2360"/>
      <c r="S66" s="2360"/>
      <c r="T66" s="2360"/>
      <c r="U66" s="2360"/>
      <c r="V66" s="2360"/>
      <c r="W66" s="2360"/>
      <c r="X66" s="2360"/>
      <c r="Y66" s="2360"/>
      <c r="Z66" s="2360"/>
      <c r="AA66" s="2360"/>
      <c r="AB66" s="2360"/>
      <c r="AC66" s="2360"/>
    </row>
    <row r="67" spans="1:29" ht="15.75" thickTop="1">
      <c r="A67" s="877"/>
      <c r="B67" s="1056" t="s">
        <v>2665</v>
      </c>
      <c r="C67" s="213" t="s">
        <v>2655</v>
      </c>
      <c r="D67" s="213" t="s">
        <v>2656</v>
      </c>
      <c r="E67" s="213" t="s">
        <v>2657</v>
      </c>
      <c r="F67" s="213" t="s">
        <v>2658</v>
      </c>
      <c r="G67" s="213" t="s">
        <v>2659</v>
      </c>
      <c r="H67" s="882"/>
      <c r="I67" s="882"/>
      <c r="J67" s="882"/>
      <c r="K67" s="882"/>
      <c r="L67" s="882"/>
      <c r="M67" s="2762"/>
      <c r="N67" s="2369"/>
      <c r="O67" s="2369"/>
      <c r="P67" s="2852"/>
      <c r="Q67" s="2846"/>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2"/>
      <c r="Q68" s="2846"/>
      <c r="R68" s="2360"/>
      <c r="S68" s="2360"/>
      <c r="T68" s="2360"/>
      <c r="U68" s="2360"/>
      <c r="V68" s="2360"/>
      <c r="W68" s="2360"/>
      <c r="X68" s="2360"/>
      <c r="Y68" s="2360"/>
      <c r="Z68" s="2360"/>
      <c r="AA68" s="2360"/>
      <c r="AB68" s="2360"/>
      <c r="AC68" s="2360"/>
    </row>
    <row r="69" spans="1:29" ht="15.75" thickTop="1">
      <c r="A69" s="877"/>
      <c r="B69" s="881" t="s">
        <v>432</v>
      </c>
      <c r="C69" s="921" t="s">
        <v>425</v>
      </c>
      <c r="D69" s="921" t="s">
        <v>426</v>
      </c>
      <c r="E69" s="921" t="s">
        <v>427</v>
      </c>
      <c r="F69" s="921" t="s">
        <v>428</v>
      </c>
      <c r="G69" s="921" t="s">
        <v>429</v>
      </c>
      <c r="H69" s="882"/>
      <c r="I69" s="882"/>
      <c r="J69" s="882"/>
      <c r="K69" s="883"/>
      <c r="L69" s="884"/>
      <c r="M69" s="885"/>
      <c r="N69" s="2368"/>
      <c r="O69" s="2368"/>
      <c r="P69" s="2852"/>
      <c r="Q69" s="2846"/>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2"/>
      <c r="Q70" s="2846"/>
      <c r="R70" s="2360"/>
      <c r="S70" s="2360"/>
      <c r="T70" s="2360"/>
      <c r="U70" s="2360"/>
      <c r="V70" s="2360"/>
      <c r="W70" s="2360"/>
      <c r="X70" s="2360"/>
      <c r="Y70" s="2360"/>
      <c r="Z70" s="2360"/>
      <c r="AA70" s="2360"/>
      <c r="AB70" s="2360"/>
      <c r="AC70" s="2360"/>
    </row>
    <row r="71" spans="1:29" ht="15.75" thickTop="1">
      <c r="A71" s="877"/>
      <c r="B71" s="881" t="s">
        <v>433</v>
      </c>
      <c r="C71" s="897"/>
      <c r="D71" s="897"/>
      <c r="E71" s="897"/>
      <c r="F71" s="897"/>
      <c r="G71" s="897"/>
      <c r="H71" s="926"/>
      <c r="I71" s="926"/>
      <c r="J71" s="926"/>
      <c r="K71" s="927"/>
      <c r="L71" s="928"/>
      <c r="M71" s="929"/>
      <c r="N71" s="2368"/>
      <c r="O71" s="2368"/>
      <c r="P71" s="2852"/>
      <c r="Q71" s="2846"/>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2"/>
      <c r="Q72" s="2846"/>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2"/>
      <c r="Q73" s="2846"/>
      <c r="R73" s="2850"/>
      <c r="S73" s="2850"/>
      <c r="T73" s="2850"/>
      <c r="U73" s="2850"/>
      <c r="V73" s="2850"/>
      <c r="W73" s="2850"/>
      <c r="X73" s="2850"/>
      <c r="Y73" s="2850"/>
      <c r="Z73" s="2850"/>
      <c r="AA73" s="2850"/>
      <c r="AB73" s="2850"/>
      <c r="AC73" s="2850"/>
    </row>
    <row r="74" spans="1:29" s="407" customFormat="1" ht="15.75" thickBot="1">
      <c r="A74" s="922"/>
      <c r="B74" s="886"/>
      <c r="C74" s="903"/>
      <c r="D74" s="879"/>
      <c r="E74" s="879"/>
      <c r="F74" s="879"/>
      <c r="G74" s="879"/>
      <c r="H74" s="879"/>
      <c r="I74" s="879"/>
      <c r="J74" s="879"/>
      <c r="K74" s="879"/>
      <c r="L74" s="879"/>
      <c r="M74" s="880"/>
      <c r="N74" s="2369"/>
      <c r="O74" s="2369"/>
      <c r="P74" s="2852"/>
      <c r="Q74" s="2846"/>
      <c r="R74" s="2850"/>
      <c r="S74" s="2850"/>
      <c r="T74" s="2850"/>
      <c r="U74" s="2850"/>
      <c r="V74" s="2850"/>
      <c r="W74" s="2850"/>
      <c r="X74" s="2850"/>
      <c r="Y74" s="2850"/>
      <c r="Z74" s="2850"/>
      <c r="AA74" s="2850"/>
      <c r="AB74" s="2850"/>
      <c r="AC74" s="2850"/>
    </row>
    <row r="75" spans="1:29" s="407" customFormat="1" ht="15.75" thickTop="1">
      <c r="A75" s="922"/>
      <c r="B75" s="881">
        <f>B24</f>
        <v>111</v>
      </c>
      <c r="C75" s="892"/>
      <c r="D75" s="892"/>
      <c r="E75" s="892"/>
      <c r="F75" s="892"/>
      <c r="G75" s="897"/>
      <c r="H75" s="897"/>
      <c r="I75" s="897"/>
      <c r="J75" s="897"/>
      <c r="K75" s="897"/>
      <c r="L75" s="897"/>
      <c r="M75" s="924"/>
      <c r="N75" s="2367"/>
      <c r="O75" s="2367"/>
      <c r="P75" s="2852"/>
      <c r="Q75" s="2846"/>
      <c r="R75" s="2850"/>
      <c r="S75" s="2850"/>
      <c r="T75" s="2850"/>
      <c r="U75" s="2850"/>
      <c r="V75" s="2850"/>
      <c r="W75" s="2850"/>
      <c r="X75" s="2850"/>
      <c r="Y75" s="2850"/>
      <c r="Z75" s="2850"/>
      <c r="AA75" s="2850"/>
      <c r="AB75" s="2850"/>
      <c r="AC75" s="2850"/>
    </row>
    <row r="76" spans="1:29" s="407" customFormat="1" ht="15.75" thickBot="1">
      <c r="A76" s="922"/>
      <c r="B76" s="886"/>
      <c r="C76" s="903"/>
      <c r="D76" s="879"/>
      <c r="E76" s="879"/>
      <c r="F76" s="879"/>
      <c r="G76" s="879"/>
      <c r="H76" s="879"/>
      <c r="I76" s="879"/>
      <c r="J76" s="879"/>
      <c r="K76" s="879"/>
      <c r="L76" s="879"/>
      <c r="M76" s="880"/>
      <c r="N76" s="2369"/>
      <c r="O76" s="2369"/>
      <c r="P76" s="2852"/>
      <c r="Q76" s="2846"/>
      <c r="R76" s="2850"/>
      <c r="S76" s="2850"/>
      <c r="T76" s="2850"/>
      <c r="U76" s="2850"/>
      <c r="V76" s="2850"/>
      <c r="W76" s="2850"/>
      <c r="X76" s="2850"/>
      <c r="Y76" s="2850"/>
      <c r="Z76" s="2850"/>
      <c r="AA76" s="2850"/>
      <c r="AB76" s="2850"/>
      <c r="AC76" s="2850"/>
    </row>
    <row r="77" spans="1:29" s="814" customFormat="1" ht="15.75" thickTop="1">
      <c r="A77" s="896"/>
      <c r="B77" s="881">
        <f>B25</f>
        <v>111</v>
      </c>
      <c r="C77" s="897"/>
      <c r="D77" s="897"/>
      <c r="E77" s="897"/>
      <c r="F77" s="897"/>
      <c r="G77" s="897"/>
      <c r="H77" s="898"/>
      <c r="I77" s="898"/>
      <c r="J77" s="898"/>
      <c r="K77" s="898"/>
      <c r="L77" s="899"/>
      <c r="M77" s="900"/>
      <c r="N77" s="2370"/>
      <c r="O77" s="2370"/>
      <c r="P77" s="2853"/>
      <c r="Q77" s="2854"/>
      <c r="R77" s="2855"/>
      <c r="S77" s="2855"/>
      <c r="T77" s="2855"/>
      <c r="U77" s="2855"/>
      <c r="V77" s="2855"/>
      <c r="W77" s="2855"/>
      <c r="X77" s="2855"/>
      <c r="Y77" s="2855"/>
      <c r="Z77" s="2855"/>
      <c r="AA77" s="2855"/>
      <c r="AB77" s="2855"/>
      <c r="AC77" s="2855"/>
    </row>
    <row r="78" spans="1:29" s="814" customFormat="1" ht="15.75" thickBot="1">
      <c r="A78" s="896"/>
      <c r="B78" s="886"/>
      <c r="C78" s="903"/>
      <c r="D78" s="903"/>
      <c r="E78" s="903"/>
      <c r="F78" s="903"/>
      <c r="G78" s="879"/>
      <c r="H78" s="879"/>
      <c r="I78" s="879"/>
      <c r="J78" s="879"/>
      <c r="K78" s="879"/>
      <c r="L78" s="879"/>
      <c r="M78" s="880"/>
      <c r="N78" s="2370"/>
      <c r="O78" s="2370"/>
      <c r="P78" s="2853"/>
      <c r="Q78" s="2854"/>
      <c r="R78" s="2855"/>
      <c r="S78" s="2855"/>
      <c r="T78" s="2855"/>
      <c r="U78" s="2855"/>
      <c r="V78" s="2855"/>
      <c r="W78" s="2855"/>
      <c r="X78" s="2855"/>
      <c r="Y78" s="2855"/>
      <c r="Z78" s="2855"/>
      <c r="AA78" s="2855"/>
      <c r="AB78" s="2855"/>
      <c r="AC78" s="2855"/>
    </row>
    <row r="79" spans="1:29" ht="27.75" thickTop="1">
      <c r="A79" s="870" t="s">
        <v>408</v>
      </c>
      <c r="B79" s="871" t="s">
        <v>467</v>
      </c>
      <c r="C79" s="872">
        <f>C26</f>
        <v>0</v>
      </c>
      <c r="D79" s="873"/>
      <c r="E79" s="873"/>
      <c r="F79" s="873"/>
      <c r="G79" s="873"/>
      <c r="H79" s="873"/>
      <c r="I79" s="873"/>
      <c r="J79" s="873"/>
      <c r="K79" s="874"/>
      <c r="L79" s="875"/>
      <c r="M79" s="876"/>
      <c r="N79" s="2368"/>
      <c r="O79" s="2368"/>
      <c r="P79" s="2852"/>
      <c r="Q79" s="2846"/>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2"/>
      <c r="Q80" s="2846"/>
      <c r="R80" s="2360"/>
      <c r="S80" s="2360"/>
      <c r="T80" s="2360"/>
      <c r="U80" s="2360"/>
      <c r="V80" s="2360"/>
      <c r="W80" s="2360"/>
      <c r="X80" s="2360"/>
      <c r="Y80" s="2360"/>
      <c r="Z80" s="2360"/>
      <c r="AA80" s="2360"/>
      <c r="AB80" s="2360"/>
      <c r="AC80" s="2360"/>
    </row>
    <row r="81" spans="1:29" ht="15.75" thickTop="1">
      <c r="A81" s="877"/>
      <c r="B81" s="881" t="s">
        <v>468</v>
      </c>
      <c r="C81" s="1004"/>
      <c r="D81" s="1004"/>
      <c r="E81" s="1004"/>
      <c r="F81" s="1004"/>
      <c r="G81" s="1004"/>
      <c r="H81" s="1004"/>
      <c r="I81" s="1004"/>
      <c r="J81" s="1004"/>
      <c r="K81" s="1005"/>
      <c r="L81" s="1006"/>
      <c r="M81" s="1007"/>
      <c r="N81" s="2367"/>
      <c r="O81" s="2367"/>
      <c r="P81" s="2852"/>
      <c r="Q81" s="2846"/>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3"/>
      <c r="Q82" s="2854"/>
      <c r="R82" s="2855"/>
      <c r="S82" s="2855"/>
      <c r="T82" s="2855"/>
      <c r="U82" s="2855"/>
      <c r="V82" s="2855"/>
      <c r="W82" s="2855"/>
      <c r="X82" s="2855"/>
      <c r="Y82" s="2855"/>
      <c r="Z82" s="2855"/>
      <c r="AA82" s="2855"/>
      <c r="AB82" s="2855"/>
      <c r="AC82" s="2855"/>
    </row>
    <row r="83" spans="1:29" ht="15" thickTop="1">
      <c r="A83" s="942"/>
      <c r="B83" s="881" t="s">
        <v>434</v>
      </c>
      <c r="C83" s="897"/>
      <c r="D83" s="897"/>
      <c r="E83" s="926"/>
      <c r="F83" s="926"/>
      <c r="G83" s="926"/>
      <c r="H83" s="926"/>
      <c r="I83" s="926"/>
      <c r="J83" s="926"/>
      <c r="K83" s="927"/>
      <c r="L83" s="928"/>
      <c r="M83" s="929"/>
      <c r="N83" s="2368"/>
      <c r="O83" s="2368"/>
      <c r="P83" s="2852"/>
      <c r="Q83" s="2846"/>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2"/>
      <c r="Q84" s="2846"/>
      <c r="R84" s="2360"/>
      <c r="S84" s="2360"/>
      <c r="T84" s="2360"/>
      <c r="U84" s="2360"/>
      <c r="V84" s="2360"/>
      <c r="W84" s="2360"/>
      <c r="X84" s="2360"/>
      <c r="Y84" s="2360"/>
      <c r="Z84" s="2360"/>
      <c r="AA84" s="2360"/>
      <c r="AB84" s="2360"/>
      <c r="AC84" s="2360"/>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2"/>
      <c r="Q85" s="2846"/>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2"/>
      <c r="Q86" s="2846"/>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2"/>
      <c r="Q87" s="2846"/>
      <c r="R87" s="2360"/>
      <c r="S87" s="2360"/>
      <c r="T87" s="2360"/>
      <c r="U87" s="2360"/>
      <c r="V87" s="2360"/>
      <c r="W87" s="2360"/>
      <c r="X87" s="2360"/>
      <c r="Y87" s="2360"/>
      <c r="Z87" s="2360"/>
      <c r="AA87" s="2360"/>
      <c r="AB87" s="2360"/>
      <c r="AC87" s="2360"/>
    </row>
    <row r="88" spans="1:29" ht="15" thickTop="1">
      <c r="A88" s="942"/>
      <c r="B88" s="889" t="s">
        <v>470</v>
      </c>
      <c r="C88" s="873"/>
      <c r="D88" s="873"/>
      <c r="E88" s="873"/>
      <c r="F88" s="873"/>
      <c r="G88" s="873"/>
      <c r="H88" s="873"/>
      <c r="I88" s="873"/>
      <c r="J88" s="873"/>
      <c r="K88" s="874"/>
      <c r="L88" s="875"/>
      <c r="M88" s="876"/>
      <c r="N88" s="2368"/>
      <c r="O88" s="2368"/>
      <c r="P88" s="2852"/>
      <c r="Q88" s="2846"/>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2"/>
      <c r="Q89" s="2846"/>
      <c r="R89" s="2360"/>
      <c r="S89" s="2360"/>
      <c r="T89" s="2360"/>
      <c r="U89" s="2360"/>
      <c r="V89" s="2360"/>
      <c r="W89" s="2360"/>
      <c r="X89" s="2360"/>
      <c r="Y89" s="2360"/>
      <c r="Z89" s="2360"/>
      <c r="AA89" s="2360"/>
      <c r="AB89" s="2360"/>
      <c r="AC89" s="2360"/>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3"/>
      <c r="Q90" s="2854"/>
      <c r="R90" s="2855"/>
      <c r="S90" s="2855"/>
      <c r="T90" s="2855"/>
      <c r="U90" s="2855"/>
      <c r="V90" s="2855"/>
      <c r="W90" s="2855"/>
      <c r="X90" s="2855"/>
      <c r="Y90" s="2855"/>
      <c r="Z90" s="2855"/>
      <c r="AA90" s="2855"/>
      <c r="AB90" s="2855"/>
      <c r="AC90" s="2855"/>
    </row>
    <row r="91" spans="1:29" s="814" customFormat="1">
      <c r="A91" s="936"/>
      <c r="B91" s="889"/>
      <c r="C91" s="938"/>
      <c r="D91" s="938"/>
      <c r="E91" s="938"/>
      <c r="F91" s="938"/>
      <c r="G91" s="938"/>
      <c r="H91" s="938"/>
      <c r="I91" s="938"/>
      <c r="J91" s="939"/>
      <c r="K91" s="939"/>
      <c r="L91" s="940"/>
      <c r="M91" s="941"/>
      <c r="N91" s="2370"/>
      <c r="O91" s="2370"/>
      <c r="P91" s="2853"/>
      <c r="Q91" s="2854"/>
      <c r="R91" s="2855"/>
      <c r="S91" s="2855"/>
      <c r="T91" s="2855"/>
      <c r="U91" s="2855"/>
      <c r="V91" s="2855"/>
      <c r="W91" s="2855"/>
      <c r="X91" s="2855"/>
      <c r="Y91" s="2855"/>
      <c r="Z91" s="2855"/>
      <c r="AA91" s="2855"/>
      <c r="AB91" s="2855"/>
      <c r="AC91" s="2855"/>
    </row>
    <row r="92" spans="1:29" s="814" customFormat="1" ht="15.75" thickBot="1">
      <c r="A92" s="896"/>
      <c r="B92" s="886"/>
      <c r="C92" s="903"/>
      <c r="D92" s="879"/>
      <c r="E92" s="879"/>
      <c r="F92" s="879"/>
      <c r="G92" s="879"/>
      <c r="H92" s="879"/>
      <c r="I92" s="879"/>
      <c r="J92" s="879"/>
      <c r="K92" s="879"/>
      <c r="L92" s="879"/>
      <c r="M92" s="880"/>
      <c r="N92" s="2370"/>
      <c r="O92" s="2370"/>
      <c r="P92" s="2853"/>
      <c r="Q92" s="2854"/>
      <c r="R92" s="2855"/>
      <c r="S92" s="2855"/>
      <c r="T92" s="2855"/>
      <c r="U92" s="2855"/>
      <c r="V92" s="2855"/>
      <c r="W92" s="2855"/>
      <c r="X92" s="2855"/>
      <c r="Y92" s="2855"/>
      <c r="Z92" s="2855"/>
      <c r="AA92" s="2855"/>
      <c r="AB92" s="2855"/>
      <c r="AC92" s="2855"/>
    </row>
    <row r="93" spans="1:29" ht="15" thickTop="1">
      <c r="A93" s="942"/>
      <c r="B93" s="881" t="s">
        <v>472</v>
      </c>
      <c r="C93" s="897"/>
      <c r="D93" s="897"/>
      <c r="E93" s="926"/>
      <c r="F93" s="926"/>
      <c r="G93" s="926"/>
      <c r="H93" s="926"/>
      <c r="I93" s="926"/>
      <c r="J93" s="926"/>
      <c r="K93" s="927"/>
      <c r="L93" s="928"/>
      <c r="M93" s="929"/>
      <c r="N93" s="2368"/>
      <c r="O93" s="2368"/>
      <c r="P93" s="2852"/>
      <c r="Q93" s="2846"/>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2"/>
      <c r="Q94" s="2846"/>
      <c r="R94" s="2360"/>
      <c r="S94" s="2360"/>
      <c r="T94" s="2360"/>
      <c r="U94" s="2360"/>
      <c r="V94" s="2360"/>
      <c r="W94" s="2360"/>
      <c r="X94" s="2360"/>
      <c r="Y94" s="2360"/>
      <c r="Z94" s="2360"/>
      <c r="AA94" s="2360"/>
      <c r="AB94" s="2360"/>
      <c r="AC94" s="2360"/>
    </row>
    <row r="95" spans="1:29" ht="15" thickTop="1">
      <c r="A95" s="942"/>
      <c r="B95" s="881" t="s">
        <v>473</v>
      </c>
      <c r="C95" s="873"/>
      <c r="D95" s="873"/>
      <c r="E95" s="873"/>
      <c r="F95" s="873"/>
      <c r="G95" s="873"/>
      <c r="H95" s="873"/>
      <c r="I95" s="873"/>
      <c r="J95" s="873"/>
      <c r="K95" s="874"/>
      <c r="L95" s="875"/>
      <c r="M95" s="876"/>
      <c r="N95" s="2368"/>
      <c r="O95" s="2368"/>
      <c r="P95" s="2852"/>
      <c r="Q95" s="2846"/>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2"/>
      <c r="Q96" s="2846"/>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59"/>
      <c r="Q97" s="2860"/>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2"/>
      <c r="Q98" s="2846"/>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3"/>
      <c r="Q99" s="2854"/>
      <c r="R99" s="2855"/>
      <c r="S99" s="2855"/>
      <c r="T99" s="2855"/>
      <c r="U99" s="2855"/>
      <c r="V99" s="2855"/>
      <c r="W99" s="2855"/>
      <c r="X99" s="2855"/>
      <c r="Y99" s="2855"/>
      <c r="Z99" s="2855"/>
      <c r="AA99" s="2855"/>
      <c r="AB99" s="2855"/>
      <c r="AC99" s="2855"/>
    </row>
    <row r="100" spans="1:29" s="814" customFormat="1" ht="15.75" thickBot="1">
      <c r="A100" s="896"/>
      <c r="B100" s="878"/>
      <c r="C100" s="903"/>
      <c r="D100" s="879"/>
      <c r="E100" s="879"/>
      <c r="F100" s="879"/>
      <c r="G100" s="903"/>
      <c r="H100" s="905"/>
      <c r="I100" s="905"/>
      <c r="J100" s="905"/>
      <c r="K100" s="905"/>
      <c r="L100" s="905"/>
      <c r="M100" s="906"/>
      <c r="N100" s="2370"/>
      <c r="O100" s="2370"/>
      <c r="P100" s="2853"/>
      <c r="Q100" s="2854"/>
      <c r="R100" s="2855"/>
      <c r="S100" s="2855"/>
      <c r="T100" s="2855"/>
      <c r="U100" s="2855"/>
      <c r="V100" s="2855"/>
      <c r="W100" s="2855"/>
      <c r="X100" s="2855"/>
      <c r="Y100" s="2855"/>
      <c r="Z100" s="2855"/>
      <c r="AA100" s="2855"/>
      <c r="AB100" s="2855"/>
      <c r="AC100" s="2855"/>
    </row>
    <row r="101" spans="1:29" ht="15" thickTop="1">
      <c r="A101" s="942"/>
      <c r="B101" s="881">
        <f>B36</f>
        <v>111</v>
      </c>
      <c r="C101" s="897"/>
      <c r="D101" s="897"/>
      <c r="E101" s="897"/>
      <c r="F101" s="897"/>
      <c r="G101" s="897"/>
      <c r="H101" s="898"/>
      <c r="I101" s="898"/>
      <c r="J101" s="898"/>
      <c r="K101" s="898"/>
      <c r="L101" s="899"/>
      <c r="M101" s="900"/>
      <c r="N101" s="2368"/>
      <c r="O101" s="2368"/>
      <c r="P101" s="2852"/>
      <c r="Q101" s="2846"/>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2"/>
      <c r="Q102" s="2846"/>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I41" sqref="I4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388</v>
      </c>
      <c r="B1" s="3129"/>
      <c r="C1" s="3119" t="s">
        <v>444</v>
      </c>
      <c r="D1" s="3100"/>
      <c r="E1" s="3130"/>
      <c r="F1" s="3102"/>
      <c r="G1" s="3131" t="s">
        <v>445</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41" customFormat="1" ht="28.5" customHeight="1" thickTop="1">
      <c r="A2" s="3116" t="s">
        <v>446</v>
      </c>
      <c r="B2" s="2841" t="e">
        <f ca="1">IF(C2="——",ROUND(C37*D3/10000,0),ROUND(C37*D3/10000,0)-D2)</f>
        <v>#DIV/0!</v>
      </c>
      <c r="C2" s="3094"/>
      <c r="D2" s="2340" t="e">
        <f ca="1">SUMIF(INDIRECT("'"&amp;F2&amp;"'"&amp;"!A:A"),"承租人权益价值",INDIRECT("'"&amp;F2&amp;"'"&amp;"!c:c"))</f>
        <v>#REF!</v>
      </c>
      <c r="E2" s="3095" t="s">
        <v>869</v>
      </c>
      <c r="F2" s="3096"/>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449</v>
      </c>
      <c r="B4" s="745"/>
      <c r="C4" s="3696" t="s">
        <v>450</v>
      </c>
      <c r="D4" s="3697"/>
      <c r="E4" s="3698" t="s">
        <v>451</v>
      </c>
      <c r="F4" s="3699"/>
      <c r="G4" s="3696" t="s">
        <v>452</v>
      </c>
      <c r="H4" s="3697"/>
      <c r="I4" s="3696" t="s">
        <v>453</v>
      </c>
      <c r="J4" s="3697"/>
      <c r="K4" s="953" t="s">
        <v>454</v>
      </c>
      <c r="L4" s="2346"/>
      <c r="M4" s="2347"/>
      <c r="N4" s="2347"/>
      <c r="O4" s="2347"/>
      <c r="P4" s="3700" t="s">
        <v>455</v>
      </c>
      <c r="Q4" s="3701"/>
      <c r="R4" s="3683" t="s">
        <v>451</v>
      </c>
      <c r="S4" s="3684"/>
      <c r="T4" s="3683" t="s">
        <v>452</v>
      </c>
      <c r="U4" s="3684"/>
      <c r="V4" s="3708" t="s">
        <v>453</v>
      </c>
      <c r="W4" s="3708"/>
      <c r="X4" s="1318"/>
      <c r="Y4" s="3683" t="s">
        <v>455</v>
      </c>
      <c r="Z4" s="3684"/>
      <c r="AA4" s="3678" t="s">
        <v>451</v>
      </c>
      <c r="AB4" s="3679" t="s">
        <v>452</v>
      </c>
      <c r="AC4" s="3678" t="s">
        <v>453</v>
      </c>
    </row>
    <row r="5" spans="1:29" ht="15">
      <c r="A5" s="747"/>
      <c r="B5" s="748"/>
      <c r="C5" s="3598" t="s">
        <v>1125</v>
      </c>
      <c r="D5" s="3599"/>
      <c r="E5" s="3666" t="s">
        <v>1126</v>
      </c>
      <c r="F5" s="3667"/>
      <c r="G5" s="3598" t="s">
        <v>61</v>
      </c>
      <c r="H5" s="3599"/>
      <c r="I5" s="3598" t="s">
        <v>1127</v>
      </c>
      <c r="J5" s="3599"/>
      <c r="K5" s="953"/>
      <c r="L5" s="2346"/>
      <c r="M5" s="2347"/>
      <c r="N5" s="2347"/>
      <c r="O5" s="2347"/>
      <c r="P5" s="3702"/>
      <c r="Q5" s="3703"/>
      <c r="R5" s="3685"/>
      <c r="S5" s="3686"/>
      <c r="T5" s="3685"/>
      <c r="U5" s="3686"/>
      <c r="V5" s="3708"/>
      <c r="W5" s="3708"/>
      <c r="X5" s="1318"/>
      <c r="Y5" s="3685"/>
      <c r="Z5" s="3686"/>
      <c r="AA5" s="3679"/>
      <c r="AB5" s="3679"/>
      <c r="AC5" s="3679"/>
    </row>
    <row r="6" spans="1:29" ht="15.75" thickBot="1">
      <c r="A6" s="749"/>
      <c r="B6" s="750"/>
      <c r="C6" s="3600" t="s">
        <v>1128</v>
      </c>
      <c r="D6" s="3601"/>
      <c r="E6" s="3668" t="s">
        <v>1128</v>
      </c>
      <c r="F6" s="3669"/>
      <c r="G6" s="3600" t="s">
        <v>1128</v>
      </c>
      <c r="H6" s="3601"/>
      <c r="I6" s="3600" t="s">
        <v>1128</v>
      </c>
      <c r="J6" s="3601"/>
      <c r="K6" s="953" t="s">
        <v>397</v>
      </c>
      <c r="L6" s="2346"/>
      <c r="M6" s="2347"/>
      <c r="N6" s="2347"/>
      <c r="O6" s="2347"/>
      <c r="P6" s="3704"/>
      <c r="Q6" s="3705"/>
      <c r="R6" s="3685"/>
      <c r="S6" s="3686"/>
      <c r="T6" s="3706"/>
      <c r="U6" s="3707"/>
      <c r="V6" s="3708"/>
      <c r="W6" s="3708"/>
      <c r="X6" s="1318"/>
      <c r="Y6" s="3706"/>
      <c r="Z6" s="3707"/>
      <c r="AA6" s="3680"/>
      <c r="AB6" s="3680"/>
      <c r="AC6" s="3680"/>
    </row>
    <row r="7" spans="1:29" s="407" customFormat="1" ht="15.75" thickBot="1">
      <c r="A7" s="751" t="s">
        <v>398</v>
      </c>
      <c r="B7" s="752"/>
      <c r="C7" s="753">
        <f>'数据-取费表'!B2</f>
        <v>42963</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681" t="s">
        <v>399</v>
      </c>
      <c r="Q7" s="3709"/>
      <c r="R7" s="1319" t="s">
        <v>65</v>
      </c>
      <c r="S7" s="1320">
        <f t="shared" ref="S7:S14" si="0">F7</f>
        <v>0</v>
      </c>
      <c r="T7" s="1319" t="s">
        <v>65</v>
      </c>
      <c r="U7" s="1320">
        <f t="shared" ref="U7:U14" si="1">H7</f>
        <v>0</v>
      </c>
      <c r="V7" s="1319" t="s">
        <v>65</v>
      </c>
      <c r="W7" s="1320">
        <f t="shared" ref="W7:W14" si="2">J7</f>
        <v>0</v>
      </c>
      <c r="X7" s="1321"/>
      <c r="Y7" s="3681" t="s">
        <v>399</v>
      </c>
      <c r="Z7" s="3682"/>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681" t="s">
        <v>435</v>
      </c>
      <c r="Q8" s="3682"/>
      <c r="R8" s="1319" t="s">
        <v>65</v>
      </c>
      <c r="S8" s="1320">
        <f t="shared" si="0"/>
        <v>0</v>
      </c>
      <c r="T8" s="1319" t="s">
        <v>65</v>
      </c>
      <c r="U8" s="1320">
        <f t="shared" si="1"/>
        <v>0</v>
      </c>
      <c r="V8" s="1319" t="s">
        <v>65</v>
      </c>
      <c r="W8" s="1320">
        <f t="shared" si="2"/>
        <v>0</v>
      </c>
      <c r="X8" s="1321"/>
      <c r="Y8" s="3681" t="s">
        <v>435</v>
      </c>
      <c r="Z8" s="3682"/>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695" t="s">
        <v>402</v>
      </c>
      <c r="Q9" s="296" t="str">
        <f t="shared" ref="Q9:Q14" si="6">B9</f>
        <v>用途</v>
      </c>
      <c r="R9" s="1319" t="s">
        <v>65</v>
      </c>
      <c r="S9" s="1320">
        <f t="shared" si="0"/>
        <v>100</v>
      </c>
      <c r="T9" s="1319" t="s">
        <v>65</v>
      </c>
      <c r="U9" s="1320">
        <f t="shared" si="1"/>
        <v>100</v>
      </c>
      <c r="V9" s="1319" t="s">
        <v>65</v>
      </c>
      <c r="W9" s="1320">
        <f t="shared" si="2"/>
        <v>100</v>
      </c>
      <c r="X9" s="1321"/>
      <c r="Y9" s="3563"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695"/>
      <c r="Q10" s="296" t="str">
        <f t="shared" si="6"/>
        <v>土地使用年限（年）</v>
      </c>
      <c r="R10" s="1319" t="s">
        <v>65</v>
      </c>
      <c r="S10" s="1320">
        <f t="shared" si="0"/>
        <v>100</v>
      </c>
      <c r="T10" s="1319" t="s">
        <v>65</v>
      </c>
      <c r="U10" s="1320">
        <f t="shared" si="1"/>
        <v>100</v>
      </c>
      <c r="V10" s="1319" t="s">
        <v>65</v>
      </c>
      <c r="W10" s="1320">
        <f t="shared" si="2"/>
        <v>100</v>
      </c>
      <c r="X10" s="1321"/>
      <c r="Y10" s="3563"/>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4"/>
      <c r="M11" s="2347"/>
      <c r="N11" s="2347"/>
      <c r="O11" s="2355"/>
      <c r="P11" s="3695"/>
      <c r="Q11" s="296">
        <f t="shared" si="6"/>
        <v>111</v>
      </c>
      <c r="R11" s="1319" t="s">
        <v>65</v>
      </c>
      <c r="S11" s="1320">
        <f t="shared" si="0"/>
        <v>100</v>
      </c>
      <c r="T11" s="1319" t="s">
        <v>65</v>
      </c>
      <c r="U11" s="1320">
        <f t="shared" si="1"/>
        <v>100</v>
      </c>
      <c r="V11" s="1319" t="s">
        <v>65</v>
      </c>
      <c r="W11" s="1320">
        <f t="shared" si="2"/>
        <v>100</v>
      </c>
      <c r="X11" s="1321"/>
      <c r="Y11" s="3563"/>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8"/>
      <c r="M12" s="2349"/>
      <c r="N12" s="2349"/>
      <c r="O12" s="2350"/>
      <c r="P12" s="3695"/>
      <c r="Q12" s="296">
        <f t="shared" si="6"/>
        <v>111</v>
      </c>
      <c r="R12" s="1319" t="s">
        <v>65</v>
      </c>
      <c r="S12" s="1320">
        <f t="shared" si="0"/>
        <v>100</v>
      </c>
      <c r="T12" s="1319" t="s">
        <v>65</v>
      </c>
      <c r="U12" s="1320">
        <f t="shared" si="1"/>
        <v>100</v>
      </c>
      <c r="V12" s="1319" t="s">
        <v>65</v>
      </c>
      <c r="W12" s="1320">
        <f t="shared" si="2"/>
        <v>100</v>
      </c>
      <c r="X12" s="1321"/>
      <c r="Y12" s="3563"/>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6"/>
      <c r="M13" s="2347"/>
      <c r="N13" s="2347"/>
      <c r="O13" s="2355"/>
      <c r="P13" s="3695"/>
      <c r="Q13" s="296">
        <f t="shared" si="6"/>
        <v>111</v>
      </c>
      <c r="R13" s="1319" t="s">
        <v>65</v>
      </c>
      <c r="S13" s="1320">
        <f t="shared" si="0"/>
        <v>100</v>
      </c>
      <c r="T13" s="1319" t="s">
        <v>65</v>
      </c>
      <c r="U13" s="1320">
        <f t="shared" si="1"/>
        <v>100</v>
      </c>
      <c r="V13" s="1319" t="s">
        <v>65</v>
      </c>
      <c r="W13" s="1320">
        <f t="shared" si="2"/>
        <v>100</v>
      </c>
      <c r="X13" s="1321"/>
      <c r="Y13" s="3563"/>
      <c r="Z13" s="344">
        <f t="shared" si="7"/>
        <v>111</v>
      </c>
      <c r="AA13" s="1322">
        <f t="shared" si="3"/>
        <v>1</v>
      </c>
      <c r="AB13" s="1322">
        <f t="shared" si="4"/>
        <v>1</v>
      </c>
      <c r="AC13" s="1322">
        <f t="shared" si="5"/>
        <v>1</v>
      </c>
    </row>
    <row r="14" spans="1:29" ht="81">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710" t="s">
        <v>407</v>
      </c>
      <c r="Q14" s="1323" t="str">
        <f t="shared" si="6"/>
        <v>交通便捷度</v>
      </c>
      <c r="R14" s="1324" t="s">
        <v>65</v>
      </c>
      <c r="S14" s="1325">
        <f t="shared" si="0"/>
        <v>100</v>
      </c>
      <c r="T14" s="1324" t="s">
        <v>65</v>
      </c>
      <c r="U14" s="1325">
        <f t="shared" si="1"/>
        <v>100</v>
      </c>
      <c r="V14" s="1324" t="s">
        <v>65</v>
      </c>
      <c r="W14" s="1325">
        <f t="shared" si="2"/>
        <v>100</v>
      </c>
      <c r="X14" s="1318"/>
      <c r="Y14" s="3710"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6"/>
      <c r="M15" s="2347"/>
      <c r="N15" s="2347"/>
      <c r="O15" s="2355"/>
      <c r="P15" s="3711"/>
      <c r="Q15" s="1323"/>
      <c r="R15" s="1324"/>
      <c r="S15" s="1325"/>
      <c r="T15" s="1324"/>
      <c r="U15" s="1325"/>
      <c r="V15" s="1324"/>
      <c r="W15" s="1325"/>
      <c r="X15" s="1318"/>
      <c r="Y15" s="3711"/>
      <c r="Z15" s="1326"/>
      <c r="AA15" s="1327">
        <v>1</v>
      </c>
      <c r="AB15" s="1327">
        <v>1</v>
      </c>
      <c r="AC15" s="1327">
        <v>1</v>
      </c>
    </row>
    <row r="16" spans="1:29" ht="40.5">
      <c r="A16" s="771"/>
      <c r="B16" s="1356" t="s">
        <v>2664</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711"/>
      <c r="Q16" s="1323" t="str">
        <f>B16</f>
        <v>公共配套设施</v>
      </c>
      <c r="R16" s="1324" t="s">
        <v>65</v>
      </c>
      <c r="S16" s="1325">
        <f>F16</f>
        <v>100</v>
      </c>
      <c r="T16" s="1324" t="s">
        <v>65</v>
      </c>
      <c r="U16" s="1325">
        <f>H16</f>
        <v>100</v>
      </c>
      <c r="V16" s="1324" t="s">
        <v>65</v>
      </c>
      <c r="W16" s="1325">
        <f>J16</f>
        <v>100</v>
      </c>
      <c r="X16" s="1318"/>
      <c r="Y16" s="3711"/>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6"/>
      <c r="M17" s="2347"/>
      <c r="N17" s="2347"/>
      <c r="O17" s="2355"/>
      <c r="P17" s="3711"/>
      <c r="Q17" s="1323"/>
      <c r="R17" s="1324"/>
      <c r="S17" s="1325"/>
      <c r="T17" s="1324"/>
      <c r="U17" s="1325"/>
      <c r="V17" s="1324"/>
      <c r="W17" s="1325"/>
      <c r="X17" s="1318"/>
      <c r="Y17" s="3711"/>
      <c r="Z17" s="1326"/>
      <c r="AA17" s="1327">
        <v>1</v>
      </c>
      <c r="AB17" s="1327">
        <v>1</v>
      </c>
      <c r="AC17" s="1327">
        <v>1</v>
      </c>
    </row>
    <row r="18" spans="1:29" ht="27">
      <c r="A18" s="771"/>
      <c r="B18" s="1412" t="s">
        <v>2666</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711"/>
      <c r="Q18" s="2746" t="str">
        <f>B18</f>
        <v>基础设施水平</v>
      </c>
      <c r="R18" s="1324" t="s">
        <v>65</v>
      </c>
      <c r="S18" s="1325">
        <f>F18</f>
        <v>100</v>
      </c>
      <c r="T18" s="1324" t="s">
        <v>65</v>
      </c>
      <c r="U18" s="1325">
        <f>H18</f>
        <v>100</v>
      </c>
      <c r="V18" s="1324" t="s">
        <v>65</v>
      </c>
      <c r="W18" s="1325">
        <f>J18</f>
        <v>100</v>
      </c>
      <c r="X18" s="2748"/>
      <c r="Y18" s="3711"/>
      <c r="Z18" s="2747" t="str">
        <f>Q18</f>
        <v>基础设施水平</v>
      </c>
      <c r="AA18" s="1327">
        <f t="shared" ref="AA18" si="8">D18/F18</f>
        <v>1</v>
      </c>
      <c r="AB18" s="1327">
        <f t="shared" ref="AB18" si="9">D18/H18</f>
        <v>1</v>
      </c>
      <c r="AC18" s="1327">
        <f t="shared" ref="AC18" si="10">D18/J18</f>
        <v>1</v>
      </c>
    </row>
    <row r="19" spans="1:29" ht="15">
      <c r="A19" s="771"/>
      <c r="B19" s="2766"/>
      <c r="C19" s="102"/>
      <c r="D19" s="793"/>
      <c r="E19" s="102"/>
      <c r="F19" s="796"/>
      <c r="G19" s="102"/>
      <c r="H19" s="791"/>
      <c r="I19" s="97"/>
      <c r="J19" s="791"/>
      <c r="K19" s="2764"/>
      <c r="L19" s="2356"/>
      <c r="M19" s="2347"/>
      <c r="N19" s="2347"/>
      <c r="O19" s="2355"/>
      <c r="P19" s="3711"/>
      <c r="Q19" s="2746"/>
      <c r="R19" s="1324"/>
      <c r="S19" s="1325"/>
      <c r="T19" s="1324"/>
      <c r="U19" s="1325"/>
      <c r="V19" s="1324"/>
      <c r="W19" s="1325"/>
      <c r="X19" s="2748"/>
      <c r="Y19" s="3711"/>
      <c r="Z19" s="2747"/>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711"/>
      <c r="Q20" s="1323" t="str">
        <f>B20</f>
        <v>自然及人文环境</v>
      </c>
      <c r="R20" s="1324" t="s">
        <v>65</v>
      </c>
      <c r="S20" s="1325">
        <f>F20</f>
        <v>100</v>
      </c>
      <c r="T20" s="1324" t="s">
        <v>65</v>
      </c>
      <c r="U20" s="1325">
        <f>H20</f>
        <v>100</v>
      </c>
      <c r="V20" s="1324" t="s">
        <v>65</v>
      </c>
      <c r="W20" s="1325">
        <f>J20</f>
        <v>100</v>
      </c>
      <c r="X20" s="1318"/>
      <c r="Y20" s="3711"/>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6"/>
      <c r="M21" s="2347"/>
      <c r="N21" s="2347"/>
      <c r="O21" s="2355"/>
      <c r="P21" s="3711"/>
      <c r="Q21" s="1323"/>
      <c r="R21" s="1324"/>
      <c r="S21" s="1325"/>
      <c r="T21" s="1324"/>
      <c r="U21" s="1325"/>
      <c r="V21" s="1324"/>
      <c r="W21" s="1325"/>
      <c r="X21" s="1318"/>
      <c r="Y21" s="3711"/>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711"/>
      <c r="Q22" s="1323" t="str">
        <f>B22</f>
        <v>楼层</v>
      </c>
      <c r="R22" s="1324" t="s">
        <v>65</v>
      </c>
      <c r="S22" s="1325">
        <f>F22</f>
        <v>100</v>
      </c>
      <c r="T22" s="1324" t="s">
        <v>65</v>
      </c>
      <c r="U22" s="1325">
        <f>H22</f>
        <v>100</v>
      </c>
      <c r="V22" s="1324" t="s">
        <v>65</v>
      </c>
      <c r="W22" s="1325">
        <f>J22</f>
        <v>100</v>
      </c>
      <c r="X22" s="1318"/>
      <c r="Y22" s="3711"/>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711"/>
      <c r="Q23" s="1323">
        <f>B23</f>
        <v>111</v>
      </c>
      <c r="R23" s="1324" t="s">
        <v>65</v>
      </c>
      <c r="S23" s="1325">
        <f>F23</f>
        <v>100</v>
      </c>
      <c r="T23" s="1324" t="s">
        <v>65</v>
      </c>
      <c r="U23" s="1325">
        <f>H23</f>
        <v>100</v>
      </c>
      <c r="V23" s="1324" t="s">
        <v>65</v>
      </c>
      <c r="W23" s="1325">
        <f>J23</f>
        <v>100</v>
      </c>
      <c r="X23" s="1318"/>
      <c r="Y23" s="3711"/>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711"/>
      <c r="Q24" s="1323">
        <f t="shared" ref="Q24:Q34" si="11">B24</f>
        <v>111</v>
      </c>
      <c r="R24" s="1324" t="s">
        <v>65</v>
      </c>
      <c r="S24" s="1325">
        <f>F24</f>
        <v>100</v>
      </c>
      <c r="T24" s="1324" t="s">
        <v>65</v>
      </c>
      <c r="U24" s="1325">
        <f>H24</f>
        <v>100</v>
      </c>
      <c r="V24" s="1324" t="s">
        <v>65</v>
      </c>
      <c r="W24" s="1325">
        <f>J24</f>
        <v>100</v>
      </c>
      <c r="X24" s="1318"/>
      <c r="Y24" s="3711"/>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711"/>
      <c r="Q25" s="296">
        <f t="shared" si="11"/>
        <v>111</v>
      </c>
      <c r="R25" s="1319" t="s">
        <v>65</v>
      </c>
      <c r="S25" s="1320">
        <f>F25</f>
        <v>100</v>
      </c>
      <c r="T25" s="1319" t="s">
        <v>65</v>
      </c>
      <c r="U25" s="1320">
        <f>H25</f>
        <v>100</v>
      </c>
      <c r="V25" s="1319" t="s">
        <v>65</v>
      </c>
      <c r="W25" s="1320">
        <f>J25</f>
        <v>100</v>
      </c>
      <c r="X25" s="1321"/>
      <c r="Y25" s="3711"/>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712"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13"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713"/>
      <c r="Q27" s="1328" t="str">
        <f t="shared" si="11"/>
        <v>成新率</v>
      </c>
      <c r="R27" s="1329" t="s">
        <v>65</v>
      </c>
      <c r="S27" s="1330" t="e">
        <f t="shared" si="12"/>
        <v>#N/A</v>
      </c>
      <c r="T27" s="1329" t="s">
        <v>65</v>
      </c>
      <c r="U27" s="1330" t="e">
        <f t="shared" si="13"/>
        <v>#N/A</v>
      </c>
      <c r="V27" s="1329" t="s">
        <v>65</v>
      </c>
      <c r="W27" s="1330" t="e">
        <f t="shared" si="14"/>
        <v>#N/A</v>
      </c>
      <c r="X27" s="1331"/>
      <c r="Y27" s="3713"/>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713"/>
      <c r="Q28" s="1323" t="str">
        <f t="shared" si="11"/>
        <v>物业等级</v>
      </c>
      <c r="R28" s="1324" t="s">
        <v>65</v>
      </c>
      <c r="S28" s="1325">
        <f t="shared" si="12"/>
        <v>100</v>
      </c>
      <c r="T28" s="1324" t="s">
        <v>65</v>
      </c>
      <c r="U28" s="1325">
        <f t="shared" si="13"/>
        <v>100</v>
      </c>
      <c r="V28" s="1324" t="s">
        <v>65</v>
      </c>
      <c r="W28" s="1325">
        <f t="shared" si="14"/>
        <v>100</v>
      </c>
      <c r="X28" s="1318"/>
      <c r="Y28" s="3713"/>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6"/>
      <c r="M29" s="2347"/>
      <c r="N29" s="2347"/>
      <c r="O29" s="2355"/>
      <c r="P29" s="3713"/>
      <c r="Q29" s="1323" t="str">
        <f t="shared" si="11"/>
        <v>有无电梯</v>
      </c>
      <c r="R29" s="1324" t="s">
        <v>65</v>
      </c>
      <c r="S29" s="1325">
        <f t="shared" si="12"/>
        <v>100</v>
      </c>
      <c r="T29" s="1324" t="s">
        <v>65</v>
      </c>
      <c r="U29" s="1325">
        <f t="shared" si="13"/>
        <v>100</v>
      </c>
      <c r="V29" s="1324" t="s">
        <v>65</v>
      </c>
      <c r="W29" s="1325">
        <f t="shared" si="14"/>
        <v>100</v>
      </c>
      <c r="X29" s="1318"/>
      <c r="Y29" s="3713"/>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713"/>
      <c r="Q30" s="1323" t="str">
        <f t="shared" si="11"/>
        <v>建筑面积</v>
      </c>
      <c r="R30" s="1324" t="s">
        <v>65</v>
      </c>
      <c r="S30" s="1325" t="e">
        <f t="shared" si="12"/>
        <v>#N/A</v>
      </c>
      <c r="T30" s="1324" t="s">
        <v>65</v>
      </c>
      <c r="U30" s="1325" t="e">
        <f t="shared" si="13"/>
        <v>#N/A</v>
      </c>
      <c r="V30" s="1324" t="s">
        <v>65</v>
      </c>
      <c r="W30" s="1325" t="e">
        <f t="shared" si="14"/>
        <v>#N/A</v>
      </c>
      <c r="X30" s="1318"/>
      <c r="Y30" s="3713"/>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48"/>
      <c r="M31" s="2349"/>
      <c r="N31" s="2349"/>
      <c r="O31" s="2350"/>
      <c r="P31" s="3713"/>
      <c r="Q31" s="296" t="str">
        <f t="shared" si="11"/>
        <v>是否封闭</v>
      </c>
      <c r="R31" s="1319" t="s">
        <v>65</v>
      </c>
      <c r="S31" s="1320">
        <f t="shared" si="12"/>
        <v>100</v>
      </c>
      <c r="T31" s="1319" t="s">
        <v>65</v>
      </c>
      <c r="U31" s="1320">
        <f t="shared" si="13"/>
        <v>100</v>
      </c>
      <c r="V31" s="1319" t="s">
        <v>65</v>
      </c>
      <c r="W31" s="1320">
        <f t="shared" si="14"/>
        <v>100</v>
      </c>
      <c r="X31" s="1321"/>
      <c r="Y31" s="3713"/>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6"/>
      <c r="M32" s="2347"/>
      <c r="N32" s="2347"/>
      <c r="O32" s="2355"/>
      <c r="P32" s="3713" t="s">
        <v>409</v>
      </c>
      <c r="Q32" s="1323">
        <f t="shared" si="11"/>
        <v>111</v>
      </c>
      <c r="R32" s="1324" t="s">
        <v>65</v>
      </c>
      <c r="S32" s="1325">
        <f t="shared" si="12"/>
        <v>100</v>
      </c>
      <c r="T32" s="1324" t="s">
        <v>65</v>
      </c>
      <c r="U32" s="1325">
        <f t="shared" si="13"/>
        <v>100</v>
      </c>
      <c r="V32" s="1324" t="s">
        <v>65</v>
      </c>
      <c r="W32" s="1325">
        <f t="shared" si="14"/>
        <v>100</v>
      </c>
      <c r="X32" s="1318"/>
      <c r="Y32" s="3713"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6"/>
      <c r="M33" s="2347"/>
      <c r="N33" s="2347"/>
      <c r="O33" s="2355"/>
      <c r="P33" s="3713"/>
      <c r="Q33" s="1323">
        <f t="shared" si="11"/>
        <v>111</v>
      </c>
      <c r="R33" s="1324" t="s">
        <v>65</v>
      </c>
      <c r="S33" s="1325">
        <f t="shared" si="12"/>
        <v>100</v>
      </c>
      <c r="T33" s="1324" t="s">
        <v>65</v>
      </c>
      <c r="U33" s="1325">
        <f t="shared" si="13"/>
        <v>100</v>
      </c>
      <c r="V33" s="1324" t="s">
        <v>65</v>
      </c>
      <c r="W33" s="1325">
        <f t="shared" si="14"/>
        <v>100</v>
      </c>
      <c r="X33" s="1318"/>
      <c r="Y33" s="3713"/>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6"/>
      <c r="M34" s="2347"/>
      <c r="N34" s="2347"/>
      <c r="O34" s="2355"/>
      <c r="P34" s="3713"/>
      <c r="Q34" s="1323">
        <f t="shared" si="11"/>
        <v>111</v>
      </c>
      <c r="R34" s="1324" t="s">
        <v>65</v>
      </c>
      <c r="S34" s="1325">
        <f t="shared" si="12"/>
        <v>100</v>
      </c>
      <c r="T34" s="1324" t="s">
        <v>65</v>
      </c>
      <c r="U34" s="1325">
        <f t="shared" si="13"/>
        <v>100</v>
      </c>
      <c r="V34" s="1324" t="s">
        <v>65</v>
      </c>
      <c r="W34" s="1325">
        <f t="shared" si="14"/>
        <v>100</v>
      </c>
      <c r="X34" s="1318"/>
      <c r="Y34" s="3713"/>
      <c r="Z34" s="1326">
        <f t="shared" si="15"/>
        <v>111</v>
      </c>
      <c r="AA34" s="1327">
        <f t="shared" si="3"/>
        <v>1</v>
      </c>
      <c r="AB34" s="1327">
        <f t="shared" si="4"/>
        <v>1</v>
      </c>
      <c r="AC34" s="1327">
        <f t="shared" si="5"/>
        <v>1</v>
      </c>
    </row>
    <row r="35" spans="1:29" ht="15">
      <c r="A35" s="822" t="s">
        <v>410</v>
      </c>
      <c r="B35" s="823"/>
      <c r="C35" s="2830" t="s">
        <v>23</v>
      </c>
      <c r="D35" s="2831"/>
      <c r="E35" s="2832"/>
      <c r="F35" s="2833"/>
      <c r="G35" s="2834"/>
      <c r="H35" s="2835"/>
      <c r="I35" s="2832"/>
      <c r="J35" s="2835"/>
      <c r="K35" s="1400"/>
      <c r="L35" s="2359"/>
      <c r="M35" s="2360"/>
      <c r="N35" s="2347"/>
      <c r="O35" s="2360"/>
      <c r="P35" s="3695" t="str">
        <f>A35</f>
        <v>成交单价（元/平方米）</v>
      </c>
      <c r="Q35" s="3695"/>
      <c r="R35" s="3714">
        <f>E35</f>
        <v>0</v>
      </c>
      <c r="S35" s="3714"/>
      <c r="T35" s="3714">
        <f>G35</f>
        <v>0</v>
      </c>
      <c r="U35" s="3714"/>
      <c r="V35" s="3714">
        <f>I35</f>
        <v>0</v>
      </c>
      <c r="W35" s="3714"/>
      <c r="X35" s="1307"/>
      <c r="Y35" s="1333"/>
      <c r="Z35" s="1307"/>
      <c r="AA35" s="1307"/>
      <c r="AB35" s="1307"/>
      <c r="AC35" s="1307"/>
    </row>
    <row r="36" spans="1:29" ht="15.75" thickBot="1">
      <c r="A36" s="829" t="s">
        <v>411</v>
      </c>
      <c r="B36" s="830"/>
      <c r="C36" s="2836" t="e">
        <f>R37</f>
        <v>#DIV/0!</v>
      </c>
      <c r="D36" s="2837"/>
      <c r="E36" s="2838" t="e">
        <f>R36</f>
        <v>#DIV/0!</v>
      </c>
      <c r="F36" s="2838"/>
      <c r="G36" s="2836" t="e">
        <f>T36</f>
        <v>#DIV/0!</v>
      </c>
      <c r="H36" s="2837"/>
      <c r="I36" s="2838" t="e">
        <f>V36</f>
        <v>#DIV/0!</v>
      </c>
      <c r="J36" s="2837"/>
      <c r="K36" s="1401"/>
      <c r="L36" s="2359"/>
      <c r="M36" s="2360"/>
      <c r="N36" s="2347"/>
      <c r="O36" s="2360"/>
      <c r="P36" s="3695" t="str">
        <f>A36</f>
        <v>比较价值（元/平方米）</v>
      </c>
      <c r="Q36" s="3695"/>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1307"/>
      <c r="Y36" s="1307"/>
      <c r="Z36" s="1307"/>
      <c r="AA36" s="1307"/>
      <c r="AB36" s="1307"/>
      <c r="AC36" s="1307"/>
    </row>
    <row r="37" spans="1:29" ht="15.75" thickBot="1">
      <c r="A37" s="115" t="s">
        <v>3016</v>
      </c>
      <c r="B37" s="836"/>
      <c r="C37" s="2840" t="e">
        <f>R37</f>
        <v>#DIV/0!</v>
      </c>
      <c r="D37" s="2840"/>
      <c r="E37" s="2840"/>
      <c r="F37" s="2840"/>
      <c r="G37" s="2840"/>
      <c r="H37" s="2840"/>
      <c r="I37" s="2840"/>
      <c r="J37" s="2840"/>
      <c r="K37" s="1402"/>
      <c r="L37" s="2359"/>
      <c r="M37" s="2360"/>
      <c r="N37" s="2360"/>
      <c r="O37" s="2360"/>
      <c r="P37" s="3715" t="str">
        <f>A37</f>
        <v>估价对象XX用房的比较价值（楼面单价，元/平方米）</v>
      </c>
      <c r="Q37" s="3716"/>
      <c r="R37" s="3717" t="e">
        <f>IF(F1="售价",ROUND(AVERAGE(R36:V36),0),ROUND(AVERAGE(R36:V36),1))</f>
        <v>#DIV/0!</v>
      </c>
      <c r="S37" s="3717"/>
      <c r="T37" s="3717"/>
      <c r="U37" s="3717"/>
      <c r="V37" s="3717"/>
      <c r="W37" s="3717"/>
      <c r="X37" s="1307"/>
      <c r="Y37" s="1307"/>
      <c r="Z37" s="1307"/>
      <c r="AA37" s="1307"/>
      <c r="AB37" s="1307"/>
      <c r="AC37" s="1307"/>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38" t="str">
        <f>YEAR(C7)&amp;"-"&amp;MONTH(C7)</f>
        <v>2017-8</v>
      </c>
      <c r="D46" s="3039">
        <f>EDATE(C46,-1)</f>
        <v>42917</v>
      </c>
      <c r="E46" s="3039">
        <f t="shared" ref="E46:O46" si="16">EDATE(D46,-1)</f>
        <v>42887</v>
      </c>
      <c r="F46" s="3039">
        <f t="shared" si="16"/>
        <v>42856</v>
      </c>
      <c r="G46" s="3039">
        <f t="shared" si="16"/>
        <v>42826</v>
      </c>
      <c r="H46" s="3039">
        <f t="shared" si="16"/>
        <v>42795</v>
      </c>
      <c r="I46" s="3039">
        <f t="shared" si="16"/>
        <v>42767</v>
      </c>
      <c r="J46" s="3039">
        <f t="shared" si="16"/>
        <v>42736</v>
      </c>
      <c r="K46" s="3039">
        <f t="shared" si="16"/>
        <v>42705</v>
      </c>
      <c r="L46" s="3039">
        <f t="shared" si="16"/>
        <v>42675</v>
      </c>
      <c r="M46" s="3039">
        <f t="shared" si="16"/>
        <v>42644</v>
      </c>
      <c r="N46" s="3039">
        <f t="shared" si="16"/>
        <v>42614</v>
      </c>
      <c r="O46" s="3039">
        <f t="shared" si="16"/>
        <v>42583</v>
      </c>
      <c r="P46" s="850"/>
    </row>
    <row r="47" spans="1:29" s="407" customFormat="1" ht="15">
      <c r="A47" s="852"/>
      <c r="B47" s="853"/>
      <c r="C47" s="3036">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418</v>
      </c>
      <c r="B51" s="871" t="s">
        <v>419</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68"/>
      <c r="O53" s="2368"/>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2665</v>
      </c>
      <c r="C65" s="213" t="s">
        <v>2655</v>
      </c>
      <c r="D65" s="213" t="s">
        <v>2656</v>
      </c>
      <c r="E65" s="213" t="s">
        <v>2657</v>
      </c>
      <c r="F65" s="213" t="s">
        <v>2658</v>
      </c>
      <c r="G65" s="213" t="s">
        <v>2659</v>
      </c>
      <c r="H65" s="882"/>
      <c r="I65" s="882"/>
      <c r="J65" s="882"/>
      <c r="K65" s="882"/>
      <c r="L65" s="882"/>
      <c r="M65" s="2762"/>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433</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4"/>
      <c r="M71" s="1385"/>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5"/>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408</v>
      </c>
      <c r="B77" s="871" t="s">
        <v>434</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470</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478</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480</v>
      </c>
      <c r="C89" s="139"/>
      <c r="D89" s="139"/>
      <c r="E89" s="139"/>
      <c r="F89" s="139"/>
      <c r="G89" s="139"/>
      <c r="H89" s="139"/>
      <c r="I89" s="139"/>
      <c r="J89" s="139"/>
      <c r="K89" s="139"/>
      <c r="L89" s="139"/>
      <c r="M89" s="1385"/>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1" sqref="I4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0"/>
      <c r="D2" s="2340"/>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2885</v>
      </c>
      <c r="D3" s="3050"/>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30" ht="15">
      <c r="A4" s="744" t="s">
        <v>390</v>
      </c>
      <c r="B4" s="745"/>
      <c r="C4" s="3696" t="s">
        <v>391</v>
      </c>
      <c r="D4" s="3697"/>
      <c r="E4" s="3698" t="s">
        <v>392</v>
      </c>
      <c r="F4" s="3699"/>
      <c r="G4" s="3696" t="s">
        <v>393</v>
      </c>
      <c r="H4" s="3697"/>
      <c r="I4" s="3696" t="s">
        <v>394</v>
      </c>
      <c r="J4" s="3697"/>
      <c r="K4" s="953" t="s">
        <v>395</v>
      </c>
      <c r="L4" s="2346"/>
      <c r="M4" s="2347"/>
      <c r="N4" s="2347"/>
      <c r="O4" s="2347"/>
      <c r="P4" s="3700" t="s">
        <v>396</v>
      </c>
      <c r="Q4" s="3701"/>
      <c r="R4" s="3683" t="s">
        <v>392</v>
      </c>
      <c r="S4" s="3684"/>
      <c r="T4" s="3683" t="s">
        <v>393</v>
      </c>
      <c r="U4" s="3684"/>
      <c r="V4" s="3708" t="s">
        <v>394</v>
      </c>
      <c r="W4" s="3708"/>
      <c r="X4" s="1318"/>
      <c r="Y4" s="3683" t="s">
        <v>396</v>
      </c>
      <c r="Z4" s="3684"/>
      <c r="AA4" s="3678" t="s">
        <v>392</v>
      </c>
      <c r="AB4" s="3679" t="s">
        <v>393</v>
      </c>
      <c r="AC4" s="3678" t="s">
        <v>394</v>
      </c>
    </row>
    <row r="5" spans="1:30" ht="15">
      <c r="A5" s="747"/>
      <c r="B5" s="748"/>
      <c r="C5" s="3598" t="s">
        <v>1125</v>
      </c>
      <c r="D5" s="3599"/>
      <c r="E5" s="3666" t="s">
        <v>1126</v>
      </c>
      <c r="F5" s="3667"/>
      <c r="G5" s="3598" t="s">
        <v>1129</v>
      </c>
      <c r="H5" s="3599"/>
      <c r="I5" s="3598" t="s">
        <v>1127</v>
      </c>
      <c r="J5" s="3599"/>
      <c r="K5" s="953"/>
      <c r="L5" s="2346"/>
      <c r="M5" s="2347"/>
      <c r="N5" s="2347"/>
      <c r="O5" s="2347"/>
      <c r="P5" s="3702"/>
      <c r="Q5" s="3703"/>
      <c r="R5" s="3685"/>
      <c r="S5" s="3686"/>
      <c r="T5" s="3685"/>
      <c r="U5" s="3686"/>
      <c r="V5" s="3708"/>
      <c r="W5" s="3708"/>
      <c r="X5" s="1318"/>
      <c r="Y5" s="3685"/>
      <c r="Z5" s="3686"/>
      <c r="AA5" s="3679"/>
      <c r="AB5" s="3679"/>
      <c r="AC5" s="3679"/>
    </row>
    <row r="6" spans="1:30" ht="15.75" thickBot="1">
      <c r="A6" s="749"/>
      <c r="B6" s="750"/>
      <c r="C6" s="3600" t="s">
        <v>1128</v>
      </c>
      <c r="D6" s="3601"/>
      <c r="E6" s="3668" t="s">
        <v>1128</v>
      </c>
      <c r="F6" s="3669"/>
      <c r="G6" s="3600" t="s">
        <v>1128</v>
      </c>
      <c r="H6" s="3601"/>
      <c r="I6" s="3600" t="s">
        <v>1128</v>
      </c>
      <c r="J6" s="3601"/>
      <c r="K6" s="953" t="s">
        <v>397</v>
      </c>
      <c r="L6" s="2346"/>
      <c r="M6" s="2347"/>
      <c r="N6" s="2347"/>
      <c r="O6" s="2347"/>
      <c r="P6" s="3704"/>
      <c r="Q6" s="3705"/>
      <c r="R6" s="3685"/>
      <c r="S6" s="3686"/>
      <c r="T6" s="3706"/>
      <c r="U6" s="3707"/>
      <c r="V6" s="3708"/>
      <c r="W6" s="3708"/>
      <c r="X6" s="1318"/>
      <c r="Y6" s="3706"/>
      <c r="Z6" s="3707"/>
      <c r="AA6" s="3680"/>
      <c r="AB6" s="3680"/>
      <c r="AC6" s="3680"/>
    </row>
    <row r="7" spans="1:30" s="407" customFormat="1" ht="15.75" thickBot="1">
      <c r="A7" s="751" t="s">
        <v>398</v>
      </c>
      <c r="B7" s="752"/>
      <c r="C7" s="753">
        <f>'数据-取费表'!B2</f>
        <v>42963</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681" t="s">
        <v>399</v>
      </c>
      <c r="Q7" s="3709"/>
      <c r="R7" s="1319" t="s">
        <v>65</v>
      </c>
      <c r="S7" s="1320">
        <f t="shared" ref="S7:S15" si="0">F7</f>
        <v>0</v>
      </c>
      <c r="T7" s="1319" t="s">
        <v>65</v>
      </c>
      <c r="U7" s="1320">
        <f t="shared" ref="U7:U15" si="1">H7</f>
        <v>0</v>
      </c>
      <c r="V7" s="1319" t="s">
        <v>65</v>
      </c>
      <c r="W7" s="1320">
        <f t="shared" ref="W7:W15" si="2">J7</f>
        <v>0</v>
      </c>
      <c r="X7" s="1321"/>
      <c r="Y7" s="3681" t="s">
        <v>399</v>
      </c>
      <c r="Z7" s="3682"/>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681" t="s">
        <v>435</v>
      </c>
      <c r="Q8" s="3682"/>
      <c r="R8" s="1319" t="s">
        <v>65</v>
      </c>
      <c r="S8" s="1320">
        <f t="shared" si="0"/>
        <v>0</v>
      </c>
      <c r="T8" s="1319" t="s">
        <v>65</v>
      </c>
      <c r="U8" s="1320">
        <f t="shared" si="1"/>
        <v>0</v>
      </c>
      <c r="V8" s="1319" t="s">
        <v>65</v>
      </c>
      <c r="W8" s="1320">
        <f t="shared" si="2"/>
        <v>0</v>
      </c>
      <c r="X8" s="1321"/>
      <c r="Y8" s="3681" t="s">
        <v>435</v>
      </c>
      <c r="Z8" s="3682"/>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695" t="s">
        <v>402</v>
      </c>
      <c r="Q9" s="296" t="str">
        <f t="shared" ref="Q9:Q15" si="6">B9</f>
        <v>用途</v>
      </c>
      <c r="R9" s="1319" t="s">
        <v>65</v>
      </c>
      <c r="S9" s="1320">
        <f t="shared" si="0"/>
        <v>100</v>
      </c>
      <c r="T9" s="1319" t="s">
        <v>65</v>
      </c>
      <c r="U9" s="1320">
        <f t="shared" si="1"/>
        <v>100</v>
      </c>
      <c r="V9" s="1319" t="s">
        <v>65</v>
      </c>
      <c r="W9" s="1320">
        <f t="shared" si="2"/>
        <v>100</v>
      </c>
      <c r="X9" s="1321"/>
      <c r="Y9" s="3563"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125</v>
      </c>
      <c r="G10" s="806"/>
      <c r="H10" s="426">
        <f>ROUND(100/'数据-取费表'!G16,0)</f>
        <v>125</v>
      </c>
      <c r="I10" s="806"/>
      <c r="J10" s="426">
        <f>ROUND(100/'数据-取费表'!G16,0)</f>
        <v>125</v>
      </c>
      <c r="K10" s="1081"/>
      <c r="L10" s="2351"/>
      <c r="M10" s="2352"/>
      <c r="N10" s="2352"/>
      <c r="O10" s="2353"/>
      <c r="P10" s="3695"/>
      <c r="Q10" s="296" t="str">
        <f t="shared" si="6"/>
        <v>土地使用年限（年）</v>
      </c>
      <c r="R10" s="1319" t="s">
        <v>65</v>
      </c>
      <c r="S10" s="1320">
        <f t="shared" si="0"/>
        <v>125</v>
      </c>
      <c r="T10" s="1319" t="s">
        <v>65</v>
      </c>
      <c r="U10" s="1320">
        <f t="shared" si="1"/>
        <v>125</v>
      </c>
      <c r="V10" s="1319" t="s">
        <v>65</v>
      </c>
      <c r="W10" s="1320">
        <f t="shared" si="2"/>
        <v>125</v>
      </c>
      <c r="X10" s="1321"/>
      <c r="Y10" s="3563"/>
      <c r="Z10" s="344" t="str">
        <f t="shared" si="7"/>
        <v>土地使用年限（年）</v>
      </c>
      <c r="AA10" s="1322">
        <f t="shared" si="3"/>
        <v>0.8</v>
      </c>
      <c r="AB10" s="1322">
        <f t="shared" si="4"/>
        <v>0.8</v>
      </c>
      <c r="AC10" s="1322">
        <f t="shared" si="5"/>
        <v>0.8</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695"/>
      <c r="Q11" s="296" t="str">
        <f t="shared" si="6"/>
        <v>容积率</v>
      </c>
      <c r="R11" s="1319" t="s">
        <v>65</v>
      </c>
      <c r="S11" s="1320" t="e">
        <f t="shared" si="0"/>
        <v>#N/A</v>
      </c>
      <c r="T11" s="1319" t="s">
        <v>65</v>
      </c>
      <c r="U11" s="1320" t="e">
        <f t="shared" si="1"/>
        <v>#N/A</v>
      </c>
      <c r="V11" s="1319" t="s">
        <v>65</v>
      </c>
      <c r="W11" s="1320" t="e">
        <f t="shared" si="2"/>
        <v>#N/A</v>
      </c>
      <c r="X11" s="1321"/>
      <c r="Y11" s="3563"/>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695"/>
      <c r="Q12" s="296" t="str">
        <f t="shared" si="6"/>
        <v>配建</v>
      </c>
      <c r="R12" s="1319" t="s">
        <v>65</v>
      </c>
      <c r="S12" s="1320">
        <f t="shared" si="0"/>
        <v>100</v>
      </c>
      <c r="T12" s="1319" t="s">
        <v>65</v>
      </c>
      <c r="U12" s="1320">
        <f t="shared" si="1"/>
        <v>100</v>
      </c>
      <c r="V12" s="1319" t="s">
        <v>65</v>
      </c>
      <c r="W12" s="1320">
        <f t="shared" si="2"/>
        <v>100</v>
      </c>
      <c r="X12" s="1321"/>
      <c r="Y12" s="3563"/>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695"/>
      <c r="Q13" s="296">
        <f t="shared" si="6"/>
        <v>111</v>
      </c>
      <c r="R13" s="1319" t="s">
        <v>65</v>
      </c>
      <c r="S13" s="1320">
        <f t="shared" si="0"/>
        <v>100</v>
      </c>
      <c r="T13" s="1319" t="s">
        <v>65</v>
      </c>
      <c r="U13" s="1320">
        <f t="shared" si="1"/>
        <v>100</v>
      </c>
      <c r="V13" s="1319" t="s">
        <v>65</v>
      </c>
      <c r="W13" s="1320">
        <f t="shared" si="2"/>
        <v>100</v>
      </c>
      <c r="X13" s="1321"/>
      <c r="Y13" s="3563"/>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695"/>
      <c r="Q14" s="296">
        <f t="shared" si="6"/>
        <v>111</v>
      </c>
      <c r="R14" s="1319" t="s">
        <v>65</v>
      </c>
      <c r="S14" s="1320">
        <f t="shared" si="0"/>
        <v>100</v>
      </c>
      <c r="T14" s="1319" t="s">
        <v>65</v>
      </c>
      <c r="U14" s="1320">
        <f t="shared" si="1"/>
        <v>100</v>
      </c>
      <c r="V14" s="1319" t="s">
        <v>65</v>
      </c>
      <c r="W14" s="1320">
        <f t="shared" si="2"/>
        <v>100</v>
      </c>
      <c r="X14" s="1321"/>
      <c r="Y14" s="3563"/>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710" t="s">
        <v>407</v>
      </c>
      <c r="Q15" s="1323" t="str">
        <f t="shared" si="6"/>
        <v>居住社区成熟度</v>
      </c>
      <c r="R15" s="1324" t="s">
        <v>65</v>
      </c>
      <c r="S15" s="1325">
        <f t="shared" si="0"/>
        <v>100</v>
      </c>
      <c r="T15" s="1324" t="s">
        <v>65</v>
      </c>
      <c r="U15" s="1325">
        <f t="shared" si="1"/>
        <v>100</v>
      </c>
      <c r="V15" s="1324" t="s">
        <v>65</v>
      </c>
      <c r="W15" s="1325">
        <f t="shared" si="2"/>
        <v>100</v>
      </c>
      <c r="X15" s="1318"/>
      <c r="Y15" s="3710"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6"/>
      <c r="M16" s="2347"/>
      <c r="N16" s="2347"/>
      <c r="O16" s="2355"/>
      <c r="P16" s="3711"/>
      <c r="Q16" s="1323"/>
      <c r="R16" s="1324"/>
      <c r="S16" s="1325"/>
      <c r="T16" s="1324"/>
      <c r="U16" s="1325"/>
      <c r="V16" s="1324"/>
      <c r="W16" s="1325"/>
      <c r="X16" s="1318"/>
      <c r="Y16" s="3711"/>
      <c r="Z16" s="1326"/>
      <c r="AA16" s="1327">
        <v>1</v>
      </c>
      <c r="AB16" s="1327">
        <v>1</v>
      </c>
      <c r="AC16" s="1327">
        <v>1</v>
      </c>
    </row>
    <row r="17" spans="1:29" ht="67.5">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711"/>
      <c r="Q17" s="1323" t="str">
        <f>B17</f>
        <v>商业繁华度</v>
      </c>
      <c r="R17" s="1324" t="s">
        <v>65</v>
      </c>
      <c r="S17" s="1325">
        <f>F17</f>
        <v>100</v>
      </c>
      <c r="T17" s="1324" t="s">
        <v>65</v>
      </c>
      <c r="U17" s="1325">
        <f>H17</f>
        <v>100</v>
      </c>
      <c r="V17" s="1324" t="s">
        <v>65</v>
      </c>
      <c r="W17" s="1325">
        <f>J17</f>
        <v>100</v>
      </c>
      <c r="X17" s="1318"/>
      <c r="Y17" s="3711"/>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6"/>
      <c r="M18" s="2347"/>
      <c r="N18" s="2347"/>
      <c r="O18" s="2355"/>
      <c r="P18" s="3711"/>
      <c r="Q18" s="1323"/>
      <c r="R18" s="1324"/>
      <c r="S18" s="1325"/>
      <c r="T18" s="1324"/>
      <c r="U18" s="1325"/>
      <c r="V18" s="1324"/>
      <c r="W18" s="1325"/>
      <c r="X18" s="1318"/>
      <c r="Y18" s="3711"/>
      <c r="Z18" s="1326"/>
      <c r="AA18" s="1327">
        <v>1</v>
      </c>
      <c r="AB18" s="1327">
        <v>1</v>
      </c>
      <c r="AC18" s="1327">
        <v>1</v>
      </c>
    </row>
    <row r="19" spans="1:29" ht="67.5">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711"/>
      <c r="Q19" s="1323" t="str">
        <f>B19</f>
        <v>办公集聚程度</v>
      </c>
      <c r="R19" s="1324" t="s">
        <v>65</v>
      </c>
      <c r="S19" s="1325">
        <f>F19</f>
        <v>100</v>
      </c>
      <c r="T19" s="1324" t="s">
        <v>65</v>
      </c>
      <c r="U19" s="1325">
        <f>H19</f>
        <v>100</v>
      </c>
      <c r="V19" s="1324" t="s">
        <v>65</v>
      </c>
      <c r="W19" s="1325">
        <f>J19</f>
        <v>100</v>
      </c>
      <c r="X19" s="1318"/>
      <c r="Y19" s="3711"/>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6"/>
      <c r="M20" s="2347"/>
      <c r="N20" s="2347"/>
      <c r="O20" s="2355"/>
      <c r="P20" s="3711"/>
      <c r="Q20" s="1323"/>
      <c r="R20" s="1324"/>
      <c r="S20" s="1325"/>
      <c r="T20" s="1324"/>
      <c r="U20" s="1325"/>
      <c r="V20" s="1324"/>
      <c r="W20" s="1325"/>
      <c r="X20" s="1318"/>
      <c r="Y20" s="3711"/>
      <c r="Z20" s="1326"/>
      <c r="AA20" s="1327">
        <v>1</v>
      </c>
      <c r="AB20" s="1327">
        <v>1</v>
      </c>
      <c r="AC20" s="1327">
        <v>1</v>
      </c>
    </row>
    <row r="21" spans="1:29" ht="81">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711"/>
      <c r="Q21" s="1323" t="str">
        <f>B21</f>
        <v>交通便捷度</v>
      </c>
      <c r="R21" s="1324" t="s">
        <v>65</v>
      </c>
      <c r="S21" s="1325">
        <f>F21</f>
        <v>100</v>
      </c>
      <c r="T21" s="1324" t="s">
        <v>65</v>
      </c>
      <c r="U21" s="1325">
        <f>H21</f>
        <v>100</v>
      </c>
      <c r="V21" s="1324" t="s">
        <v>65</v>
      </c>
      <c r="W21" s="1325">
        <f>J21</f>
        <v>100</v>
      </c>
      <c r="X21" s="1318"/>
      <c r="Y21" s="3711"/>
      <c r="Z21" s="1326" t="str">
        <f>Q21</f>
        <v>交通便捷度</v>
      </c>
      <c r="AA21" s="1327">
        <f t="shared" si="3"/>
        <v>1</v>
      </c>
      <c r="AB21" s="1327">
        <f t="shared" si="4"/>
        <v>1</v>
      </c>
      <c r="AC21" s="1327">
        <f t="shared" si="5"/>
        <v>1</v>
      </c>
    </row>
    <row r="22" spans="1:29" ht="15">
      <c r="A22" s="771"/>
      <c r="B22" s="2766"/>
      <c r="C22" s="97"/>
      <c r="D22" s="793"/>
      <c r="E22" s="98"/>
      <c r="F22" s="791"/>
      <c r="G22" s="98"/>
      <c r="H22" s="791"/>
      <c r="I22" s="99"/>
      <c r="J22" s="791"/>
      <c r="K22" s="1081"/>
      <c r="L22" s="2356"/>
      <c r="M22" s="2347"/>
      <c r="N22" s="2347"/>
      <c r="O22" s="2355"/>
      <c r="P22" s="3711"/>
      <c r="Q22" s="1323"/>
      <c r="R22" s="1324"/>
      <c r="S22" s="1325"/>
      <c r="T22" s="1324"/>
      <c r="U22" s="1325"/>
      <c r="V22" s="1324"/>
      <c r="W22" s="1325"/>
      <c r="X22" s="1318"/>
      <c r="Y22" s="3711"/>
      <c r="Z22" s="1326"/>
      <c r="AA22" s="1327">
        <v>1</v>
      </c>
      <c r="AB22" s="1327">
        <v>1</v>
      </c>
      <c r="AC22" s="1327">
        <v>1</v>
      </c>
    </row>
    <row r="23" spans="1:29" ht="15">
      <c r="A23" s="747"/>
      <c r="B23" s="794" t="s">
        <v>483</v>
      </c>
      <c r="C23" s="2771">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711"/>
      <c r="Q23" s="1323" t="str">
        <f t="shared" ref="Q23:Q37" si="8">B23</f>
        <v>区域土地利用方向</v>
      </c>
      <c r="R23" s="1324" t="s">
        <v>65</v>
      </c>
      <c r="S23" s="1325">
        <f>F23</f>
        <v>100</v>
      </c>
      <c r="T23" s="1324" t="s">
        <v>65</v>
      </c>
      <c r="U23" s="1325">
        <f>H23</f>
        <v>100</v>
      </c>
      <c r="V23" s="1324" t="s">
        <v>65</v>
      </c>
      <c r="W23" s="1325">
        <f>J23</f>
        <v>100</v>
      </c>
      <c r="X23" s="1318"/>
      <c r="Y23" s="3711"/>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3"/>
      <c r="L24" s="2356"/>
      <c r="M24" s="2347"/>
      <c r="N24" s="2347"/>
      <c r="O24" s="2355"/>
      <c r="P24" s="3711"/>
      <c r="Q24" s="1470"/>
      <c r="R24" s="1324"/>
      <c r="S24" s="1325"/>
      <c r="T24" s="1324"/>
      <c r="U24" s="1325"/>
      <c r="V24" s="1324"/>
      <c r="W24" s="1325"/>
      <c r="X24" s="1469"/>
      <c r="Y24" s="3711"/>
      <c r="Z24" s="1471"/>
      <c r="AA24" s="1327"/>
      <c r="AB24" s="1327"/>
      <c r="AC24" s="1327"/>
    </row>
    <row r="25" spans="1:29" ht="54">
      <c r="A25" s="747"/>
      <c r="B25" s="2766"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711"/>
      <c r="Q25" s="1323" t="str">
        <f t="shared" si="8"/>
        <v>自然及人文环境状况</v>
      </c>
      <c r="R25" s="1324" t="s">
        <v>65</v>
      </c>
      <c r="S25" s="1325">
        <f>F25</f>
        <v>100</v>
      </c>
      <c r="T25" s="1324" t="s">
        <v>65</v>
      </c>
      <c r="U25" s="1325">
        <f>H25</f>
        <v>100</v>
      </c>
      <c r="V25" s="1324" t="s">
        <v>65</v>
      </c>
      <c r="W25" s="1325">
        <f>J25</f>
        <v>100</v>
      </c>
      <c r="X25" s="1318"/>
      <c r="Y25" s="3711"/>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6"/>
      <c r="M26" s="2347"/>
      <c r="N26" s="2347"/>
      <c r="O26" s="2355"/>
      <c r="P26" s="3711"/>
      <c r="Q26" s="1323"/>
      <c r="R26" s="1324"/>
      <c r="S26" s="1325"/>
      <c r="T26" s="1324"/>
      <c r="U26" s="1325"/>
      <c r="V26" s="1324"/>
      <c r="W26" s="1325"/>
      <c r="X26" s="1318"/>
      <c r="Y26" s="3711"/>
      <c r="Z26" s="1326"/>
      <c r="AA26" s="1327">
        <v>1</v>
      </c>
      <c r="AB26" s="1327">
        <v>1</v>
      </c>
      <c r="AC26" s="1327">
        <v>1</v>
      </c>
    </row>
    <row r="27" spans="1:29" s="407" customFormat="1" ht="40.5">
      <c r="A27" s="992"/>
      <c r="B27" s="1412" t="s">
        <v>2667</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711"/>
      <c r="Q27" s="296" t="str">
        <f t="shared" si="8"/>
        <v>公共配套设施</v>
      </c>
      <c r="R27" s="1319" t="s">
        <v>65</v>
      </c>
      <c r="S27" s="1320">
        <f>F27</f>
        <v>100</v>
      </c>
      <c r="T27" s="1319" t="s">
        <v>65</v>
      </c>
      <c r="U27" s="1320">
        <f>H27</f>
        <v>100</v>
      </c>
      <c r="V27" s="1319" t="s">
        <v>65</v>
      </c>
      <c r="W27" s="1320">
        <f>J27</f>
        <v>100</v>
      </c>
      <c r="X27" s="1321"/>
      <c r="Y27" s="3711"/>
      <c r="Z27" s="344" t="str">
        <f>Q27</f>
        <v>公共配套设施</v>
      </c>
      <c r="AA27" s="1327">
        <f>D27/F27</f>
        <v>1</v>
      </c>
      <c r="AB27" s="1327">
        <f>D27/H27</f>
        <v>1</v>
      </c>
      <c r="AC27" s="1327">
        <f>D27/J27</f>
        <v>1</v>
      </c>
    </row>
    <row r="28" spans="1:29" s="407" customFormat="1" ht="15">
      <c r="A28" s="992"/>
      <c r="B28" s="799"/>
      <c r="C28" s="2772"/>
      <c r="D28" s="791"/>
      <c r="E28" s="192"/>
      <c r="F28" s="791"/>
      <c r="G28" s="192"/>
      <c r="H28" s="791"/>
      <c r="I28" s="97"/>
      <c r="J28" s="791"/>
      <c r="K28" s="1081"/>
      <c r="L28" s="2348"/>
      <c r="M28" s="2349"/>
      <c r="N28" s="2349"/>
      <c r="O28" s="2350"/>
      <c r="P28" s="3711"/>
      <c r="Q28" s="296"/>
      <c r="R28" s="1319"/>
      <c r="S28" s="1320"/>
      <c r="T28" s="1319"/>
      <c r="U28" s="1320"/>
      <c r="V28" s="1319"/>
      <c r="W28" s="1320"/>
      <c r="X28" s="1321"/>
      <c r="Y28" s="3711"/>
      <c r="Z28" s="344"/>
      <c r="AA28" s="1327">
        <v>1</v>
      </c>
      <c r="AB28" s="1327">
        <v>1</v>
      </c>
      <c r="AC28" s="1327">
        <v>1</v>
      </c>
    </row>
    <row r="29" spans="1:29" s="407" customFormat="1" ht="27">
      <c r="A29" s="992"/>
      <c r="B29" s="1412" t="s">
        <v>2668</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711"/>
      <c r="Q29" s="2741" t="str">
        <f t="shared" ref="Q29" si="9">B29</f>
        <v>基础设施水平</v>
      </c>
      <c r="R29" s="1319" t="s">
        <v>65</v>
      </c>
      <c r="S29" s="1320">
        <f>F29</f>
        <v>100</v>
      </c>
      <c r="T29" s="1319" t="s">
        <v>65</v>
      </c>
      <c r="U29" s="1320">
        <f>H29</f>
        <v>100</v>
      </c>
      <c r="V29" s="1319" t="s">
        <v>65</v>
      </c>
      <c r="W29" s="1320">
        <f>J29</f>
        <v>100</v>
      </c>
      <c r="X29" s="1321"/>
      <c r="Y29" s="3711"/>
      <c r="Z29" s="344" t="str">
        <f>Q29</f>
        <v>基础设施水平</v>
      </c>
      <c r="AA29" s="1327">
        <f>D29/F29</f>
        <v>1</v>
      </c>
      <c r="AB29" s="1327">
        <f>D29/H29</f>
        <v>1</v>
      </c>
      <c r="AC29" s="1327">
        <f>D29/J29</f>
        <v>1</v>
      </c>
    </row>
    <row r="30" spans="1:29" s="407" customFormat="1" ht="15">
      <c r="A30" s="992"/>
      <c r="B30" s="799"/>
      <c r="C30" s="2772"/>
      <c r="D30" s="791"/>
      <c r="E30" s="1037"/>
      <c r="F30" s="791"/>
      <c r="G30" s="1037"/>
      <c r="H30" s="791"/>
      <c r="I30" s="1037"/>
      <c r="J30" s="791"/>
      <c r="K30" s="1081"/>
      <c r="L30" s="2348"/>
      <c r="M30" s="2349"/>
      <c r="N30" s="2349"/>
      <c r="O30" s="2350"/>
      <c r="P30" s="3711"/>
      <c r="Q30" s="2741"/>
      <c r="R30" s="1319"/>
      <c r="S30" s="1320"/>
      <c r="T30" s="1319"/>
      <c r="U30" s="1320"/>
      <c r="V30" s="1319"/>
      <c r="W30" s="1320"/>
      <c r="X30" s="1321"/>
      <c r="Y30" s="3711"/>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711"/>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11"/>
      <c r="Z31" s="1326" t="str">
        <f t="shared" ref="Z31:Z45" si="13">Q31</f>
        <v>临街状况</v>
      </c>
      <c r="AA31" s="1327">
        <f t="shared" si="3"/>
        <v>1</v>
      </c>
      <c r="AB31" s="1327">
        <f t="shared" si="4"/>
        <v>1</v>
      </c>
      <c r="AC31" s="1327">
        <f t="shared" si="5"/>
        <v>1</v>
      </c>
    </row>
    <row r="32" spans="1:29" ht="27">
      <c r="A32" s="771"/>
      <c r="B32" s="2766"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711"/>
      <c r="Q32" s="1323" t="str">
        <f t="shared" si="8"/>
        <v>毗邻道路的类型与等级</v>
      </c>
      <c r="R32" s="1324" t="s">
        <v>65</v>
      </c>
      <c r="S32" s="1325">
        <f t="shared" si="10"/>
        <v>100</v>
      </c>
      <c r="T32" s="1324" t="s">
        <v>65</v>
      </c>
      <c r="U32" s="1325">
        <f t="shared" si="11"/>
        <v>100</v>
      </c>
      <c r="V32" s="1324" t="s">
        <v>65</v>
      </c>
      <c r="W32" s="1325">
        <f t="shared" si="12"/>
        <v>100</v>
      </c>
      <c r="X32" s="1318"/>
      <c r="Y32" s="3711"/>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6"/>
      <c r="M33" s="2347"/>
      <c r="N33" s="2347"/>
      <c r="O33" s="2355"/>
      <c r="P33" s="3711"/>
      <c r="Q33" s="1323"/>
      <c r="R33" s="1324"/>
      <c r="S33" s="1325"/>
      <c r="T33" s="1324"/>
      <c r="U33" s="1325"/>
      <c r="V33" s="1324"/>
      <c r="W33" s="1325"/>
      <c r="X33" s="1318"/>
      <c r="Y33" s="3711"/>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711"/>
      <c r="Q34" s="1323" t="str">
        <f t="shared" si="8"/>
        <v>土地级别</v>
      </c>
      <c r="R34" s="1324" t="s">
        <v>65</v>
      </c>
      <c r="S34" s="1325">
        <f t="shared" si="10"/>
        <v>100</v>
      </c>
      <c r="T34" s="1324" t="s">
        <v>65</v>
      </c>
      <c r="U34" s="1325">
        <f t="shared" si="11"/>
        <v>100</v>
      </c>
      <c r="V34" s="1324" t="s">
        <v>65</v>
      </c>
      <c r="W34" s="1325">
        <f t="shared" si="12"/>
        <v>100</v>
      </c>
      <c r="X34" s="1318"/>
      <c r="Y34" s="3711"/>
      <c r="Z34" s="1326" t="str">
        <f t="shared" si="13"/>
        <v>土地级别</v>
      </c>
      <c r="AA34" s="1327">
        <f t="shared" si="3"/>
        <v>1</v>
      </c>
      <c r="AB34" s="1327">
        <f t="shared" si="4"/>
        <v>1</v>
      </c>
      <c r="AC34" s="1327">
        <f t="shared" si="5"/>
        <v>1</v>
      </c>
    </row>
    <row r="35" spans="1:29" ht="15">
      <c r="A35" s="747"/>
      <c r="B35" s="2768">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711"/>
      <c r="Q35" s="1323">
        <f t="shared" si="8"/>
        <v>111</v>
      </c>
      <c r="R35" s="1324" t="s">
        <v>65</v>
      </c>
      <c r="S35" s="1325">
        <f t="shared" si="10"/>
        <v>100</v>
      </c>
      <c r="T35" s="1324" t="s">
        <v>65</v>
      </c>
      <c r="U35" s="1325">
        <f t="shared" si="11"/>
        <v>100</v>
      </c>
      <c r="V35" s="1324" t="s">
        <v>65</v>
      </c>
      <c r="W35" s="1325">
        <f t="shared" si="12"/>
        <v>100</v>
      </c>
      <c r="X35" s="1318"/>
      <c r="Y35" s="3711"/>
      <c r="Z35" s="1326">
        <f t="shared" si="13"/>
        <v>111</v>
      </c>
      <c r="AA35" s="1327">
        <f t="shared" si="3"/>
        <v>1</v>
      </c>
      <c r="AB35" s="1327">
        <f t="shared" si="4"/>
        <v>1</v>
      </c>
      <c r="AC35" s="1327">
        <f t="shared" si="5"/>
        <v>1</v>
      </c>
    </row>
    <row r="36" spans="1:29" ht="15">
      <c r="A36" s="1084"/>
      <c r="B36" s="2769">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712" t="s">
        <v>409</v>
      </c>
      <c r="Q36" s="1323">
        <f t="shared" si="8"/>
        <v>111</v>
      </c>
      <c r="R36" s="1324" t="s">
        <v>65</v>
      </c>
      <c r="S36" s="1325">
        <f t="shared" si="10"/>
        <v>100</v>
      </c>
      <c r="T36" s="1324" t="s">
        <v>65</v>
      </c>
      <c r="U36" s="1325">
        <f t="shared" si="11"/>
        <v>100</v>
      </c>
      <c r="V36" s="1324" t="s">
        <v>65</v>
      </c>
      <c r="W36" s="1325">
        <f t="shared" si="12"/>
        <v>100</v>
      </c>
      <c r="X36" s="1318"/>
      <c r="Y36" s="3713" t="s">
        <v>409</v>
      </c>
      <c r="Z36" s="1326">
        <f t="shared" si="13"/>
        <v>111</v>
      </c>
      <c r="AA36" s="1327">
        <f t="shared" si="3"/>
        <v>1</v>
      </c>
      <c r="AB36" s="1327">
        <f t="shared" si="4"/>
        <v>1</v>
      </c>
      <c r="AC36" s="1327">
        <f t="shared" si="5"/>
        <v>1</v>
      </c>
    </row>
    <row r="37" spans="1:29" s="814" customFormat="1" ht="15.75" thickBot="1">
      <c r="A37" s="1085"/>
      <c r="B37" s="2770">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713"/>
      <c r="Q37" s="1323">
        <f t="shared" si="8"/>
        <v>111</v>
      </c>
      <c r="R37" s="1329" t="s">
        <v>65</v>
      </c>
      <c r="S37" s="1330">
        <f t="shared" si="10"/>
        <v>100</v>
      </c>
      <c r="T37" s="1329" t="s">
        <v>65</v>
      </c>
      <c r="U37" s="1330">
        <f t="shared" si="11"/>
        <v>100</v>
      </c>
      <c r="V37" s="1329" t="s">
        <v>65</v>
      </c>
      <c r="W37" s="1330">
        <f t="shared" si="12"/>
        <v>100</v>
      </c>
      <c r="X37" s="1331"/>
      <c r="Y37" s="3713"/>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713"/>
      <c r="Q38" s="1323" t="str">
        <f>B38</f>
        <v>宗地面积</v>
      </c>
      <c r="R38" s="1324" t="s">
        <v>65</v>
      </c>
      <c r="S38" s="1325" t="e">
        <f t="shared" si="10"/>
        <v>#N/A</v>
      </c>
      <c r="T38" s="1324" t="s">
        <v>65</v>
      </c>
      <c r="U38" s="1325" t="e">
        <f t="shared" si="11"/>
        <v>#N/A</v>
      </c>
      <c r="V38" s="1324" t="s">
        <v>65</v>
      </c>
      <c r="W38" s="1325" t="e">
        <f t="shared" si="12"/>
        <v>#N/A</v>
      </c>
      <c r="X38" s="1318"/>
      <c r="Y38" s="3713"/>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713"/>
      <c r="Q39" s="1323" t="str">
        <f t="shared" ref="Q39:Q45" si="14">B39</f>
        <v>宗地形状</v>
      </c>
      <c r="R39" s="1324" t="s">
        <v>65</v>
      </c>
      <c r="S39" s="1325">
        <f t="shared" si="10"/>
        <v>100</v>
      </c>
      <c r="T39" s="1324" t="s">
        <v>65</v>
      </c>
      <c r="U39" s="1325">
        <f t="shared" si="11"/>
        <v>100</v>
      </c>
      <c r="V39" s="1324" t="s">
        <v>65</v>
      </c>
      <c r="W39" s="1325">
        <f t="shared" si="12"/>
        <v>100</v>
      </c>
      <c r="X39" s="1318"/>
      <c r="Y39" s="3713"/>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713"/>
      <c r="Q40" s="1323" t="str">
        <f t="shared" si="14"/>
        <v>临街宽度及深度</v>
      </c>
      <c r="R40" s="1324" t="s">
        <v>65</v>
      </c>
      <c r="S40" s="1325">
        <f t="shared" si="10"/>
        <v>100</v>
      </c>
      <c r="T40" s="1324" t="s">
        <v>65</v>
      </c>
      <c r="U40" s="1325">
        <f t="shared" si="11"/>
        <v>100</v>
      </c>
      <c r="V40" s="1324" t="s">
        <v>65</v>
      </c>
      <c r="W40" s="1325">
        <f t="shared" si="12"/>
        <v>100</v>
      </c>
      <c r="X40" s="1318"/>
      <c r="Y40" s="3713"/>
      <c r="Z40" s="1326" t="str">
        <f t="shared" si="13"/>
        <v>临街宽度及深度</v>
      </c>
      <c r="AA40" s="1327">
        <f t="shared" si="3"/>
        <v>1</v>
      </c>
      <c r="AB40" s="1327">
        <f t="shared" si="4"/>
        <v>1</v>
      </c>
      <c r="AC40" s="1327">
        <f t="shared" si="5"/>
        <v>1</v>
      </c>
    </row>
    <row r="41" spans="1:29" s="407" customFormat="1" ht="15">
      <c r="A41" s="816"/>
      <c r="B41" s="2607" t="s">
        <v>2499</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713"/>
      <c r="Q41" s="1323" t="str">
        <f t="shared" si="14"/>
        <v>宗地开发程度</v>
      </c>
      <c r="R41" s="1319" t="s">
        <v>65</v>
      </c>
      <c r="S41" s="1320">
        <f t="shared" si="10"/>
        <v>100</v>
      </c>
      <c r="T41" s="1319" t="s">
        <v>65</v>
      </c>
      <c r="U41" s="1320">
        <f t="shared" si="11"/>
        <v>100</v>
      </c>
      <c r="V41" s="1319" t="s">
        <v>65</v>
      </c>
      <c r="W41" s="1320">
        <f t="shared" si="12"/>
        <v>100</v>
      </c>
      <c r="X41" s="1321"/>
      <c r="Y41" s="3713"/>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713" t="s">
        <v>409</v>
      </c>
      <c r="Q42" s="1323" t="str">
        <f t="shared" si="14"/>
        <v>工程地质条件</v>
      </c>
      <c r="R42" s="1324" t="s">
        <v>65</v>
      </c>
      <c r="S42" s="1325">
        <f t="shared" si="10"/>
        <v>100</v>
      </c>
      <c r="T42" s="1324" t="s">
        <v>65</v>
      </c>
      <c r="U42" s="1325">
        <f t="shared" si="11"/>
        <v>100</v>
      </c>
      <c r="V42" s="1324" t="s">
        <v>65</v>
      </c>
      <c r="W42" s="1325">
        <f t="shared" si="12"/>
        <v>100</v>
      </c>
      <c r="X42" s="1318"/>
      <c r="Y42" s="3713"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713"/>
      <c r="Q43" s="1323">
        <f t="shared" si="14"/>
        <v>111</v>
      </c>
      <c r="R43" s="1324" t="s">
        <v>65</v>
      </c>
      <c r="S43" s="1325">
        <f t="shared" si="10"/>
        <v>100</v>
      </c>
      <c r="T43" s="1324" t="s">
        <v>65</v>
      </c>
      <c r="U43" s="1325">
        <f t="shared" si="11"/>
        <v>100</v>
      </c>
      <c r="V43" s="1324" t="s">
        <v>65</v>
      </c>
      <c r="W43" s="1325">
        <f t="shared" si="12"/>
        <v>100</v>
      </c>
      <c r="X43" s="1318"/>
      <c r="Y43" s="3713"/>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713"/>
      <c r="Q44" s="1323">
        <f t="shared" si="14"/>
        <v>111</v>
      </c>
      <c r="R44" s="1324" t="s">
        <v>65</v>
      </c>
      <c r="S44" s="1325">
        <f t="shared" si="10"/>
        <v>100</v>
      </c>
      <c r="T44" s="1324" t="s">
        <v>65</v>
      </c>
      <c r="U44" s="1325">
        <f t="shared" si="11"/>
        <v>100</v>
      </c>
      <c r="V44" s="1324" t="s">
        <v>65</v>
      </c>
      <c r="W44" s="1325">
        <f t="shared" si="12"/>
        <v>100</v>
      </c>
      <c r="X44" s="1318"/>
      <c r="Y44" s="3713"/>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713"/>
      <c r="Q45" s="1323">
        <f t="shared" si="14"/>
        <v>111</v>
      </c>
      <c r="R45" s="1329" t="s">
        <v>65</v>
      </c>
      <c r="S45" s="1330">
        <f t="shared" si="10"/>
        <v>100</v>
      </c>
      <c r="T45" s="1329" t="s">
        <v>65</v>
      </c>
      <c r="U45" s="1330">
        <f t="shared" si="11"/>
        <v>100</v>
      </c>
      <c r="V45" s="1329" t="s">
        <v>65</v>
      </c>
      <c r="W45" s="1330">
        <f t="shared" si="12"/>
        <v>100</v>
      </c>
      <c r="X45" s="1331"/>
      <c r="Y45" s="3713"/>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59"/>
      <c r="M46" s="2360"/>
      <c r="N46" s="2347"/>
      <c r="O46" s="2360"/>
      <c r="P46" s="3695" t="str">
        <f>A46</f>
        <v>成交单价</v>
      </c>
      <c r="Q46" s="3695"/>
      <c r="R46" s="3708">
        <f>E46</f>
        <v>0</v>
      </c>
      <c r="S46" s="3708"/>
      <c r="T46" s="3708">
        <f>G46</f>
        <v>0</v>
      </c>
      <c r="U46" s="3708"/>
      <c r="V46" s="3708">
        <f>I46</f>
        <v>0</v>
      </c>
      <c r="W46" s="3708"/>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59"/>
      <c r="M47" s="2360"/>
      <c r="N47" s="2360"/>
      <c r="O47" s="2360"/>
      <c r="P47" s="3695" t="str">
        <f>A47</f>
        <v>比较价值（元/平方米）</v>
      </c>
      <c r="Q47" s="3695"/>
      <c r="R47" s="3718" t="e">
        <f>ROUND(PRODUCT(R46,AA7:AA45),0)</f>
        <v>#DIV/0!</v>
      </c>
      <c r="S47" s="3718"/>
      <c r="T47" s="3718" t="e">
        <f>ROUND(PRODUCT(T46,AB7:AB45),0)</f>
        <v>#DIV/0!</v>
      </c>
      <c r="U47" s="3718"/>
      <c r="V47" s="3718" t="e">
        <f>ROUND(PRODUCT(V46,AC7:AC45),0)</f>
        <v>#DIV/0!</v>
      </c>
      <c r="W47" s="3718"/>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59"/>
      <c r="M48" s="2360"/>
      <c r="N48" s="2360"/>
      <c r="O48" s="2360"/>
      <c r="P48" s="3715" t="str">
        <f>A48</f>
        <v>估价对象XX用房的比较价值（楼面单价，元/平方米）</v>
      </c>
      <c r="Q48" s="3716"/>
      <c r="R48" s="3719" t="e">
        <f>ROUND(AVERAGE(R47:V47),0)</f>
        <v>#DIV/0!</v>
      </c>
      <c r="S48" s="3719"/>
      <c r="T48" s="3719"/>
      <c r="U48" s="3719"/>
      <c r="V48" s="3719"/>
      <c r="W48" s="3719"/>
      <c r="X48" s="1307"/>
      <c r="Y48" s="1307"/>
      <c r="Z48" s="1307"/>
      <c r="AA48" s="1307"/>
      <c r="AB48" s="1307"/>
      <c r="AC48" s="1307"/>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10"/>
      <c r="D54" s="1308"/>
      <c r="E54" s="1308"/>
      <c r="F54" s="1308"/>
      <c r="G54" s="1308"/>
      <c r="H54" s="1308"/>
      <c r="I54" s="1308"/>
      <c r="J54" s="1308"/>
      <c r="K54" s="2364"/>
      <c r="L54" s="2365"/>
      <c r="M54" s="2361"/>
      <c r="N54" s="2361"/>
      <c r="O54" s="2361"/>
    </row>
    <row r="55" spans="1:15" ht="27" customHeight="1">
      <c r="A55" s="1093" t="s">
        <v>491</v>
      </c>
      <c r="B55" s="1094" t="s">
        <v>492</v>
      </c>
      <c r="C55" s="1774" t="s">
        <v>1885</v>
      </c>
      <c r="D55" s="2391" t="s">
        <v>2323</v>
      </c>
      <c r="E55" s="1095" t="s">
        <v>493</v>
      </c>
      <c r="F55" s="2188" t="s">
        <v>494</v>
      </c>
      <c r="G55" s="3720" t="s">
        <v>2316</v>
      </c>
      <c r="H55" s="3721"/>
      <c r="I55" s="2189" t="s">
        <v>1884</v>
      </c>
      <c r="J55" s="2193">
        <f>项目基本情况!F35</f>
        <v>0</v>
      </c>
      <c r="K55" s="2374" t="s">
        <v>1886</v>
      </c>
      <c r="L55" s="2187"/>
      <c r="M55" s="2360"/>
      <c r="N55" s="2360"/>
      <c r="O55" s="2360"/>
    </row>
    <row r="56" spans="1:15" s="1101" customFormat="1">
      <c r="A56" s="1097" t="s">
        <v>495</v>
      </c>
      <c r="B56" s="1098" t="e">
        <f>C48</f>
        <v>#DIV/0!</v>
      </c>
      <c r="C56" s="1099">
        <v>1</v>
      </c>
      <c r="D56" s="2392">
        <v>1</v>
      </c>
      <c r="E56" s="1099">
        <f>'数据-汇总表'!E8+'数据-汇总表'!E9</f>
        <v>2099.0100000000002</v>
      </c>
      <c r="F56" s="2184" t="e">
        <f t="shared" ref="F56:F65" si="15">ROUND(B56*E56/10000,0)</f>
        <v>#DIV/0!</v>
      </c>
      <c r="G56" s="3722"/>
      <c r="H56" s="3723"/>
      <c r="I56" s="2190">
        <v>1</v>
      </c>
      <c r="J56" s="2194">
        <v>1</v>
      </c>
      <c r="K56" s="2361"/>
      <c r="L56" s="1771"/>
      <c r="M56" s="1771"/>
      <c r="N56" s="1771"/>
      <c r="O56" s="1771"/>
    </row>
    <row r="57" spans="1:15" s="1101" customFormat="1">
      <c r="A57" s="1102" t="s">
        <v>496</v>
      </c>
      <c r="B57" s="594" t="e">
        <f>ROUND($C$48*C57*D57,0)</f>
        <v>#DIV/0!</v>
      </c>
      <c r="C57" s="532">
        <f t="shared" ref="C57:C65" si="16">IF($C$55="北京市系数",I57,J57)</f>
        <v>0.7</v>
      </c>
      <c r="D57" s="2393">
        <v>0.25</v>
      </c>
      <c r="E57" s="1103"/>
      <c r="F57" s="2184" t="e">
        <f t="shared" si="15"/>
        <v>#DIV/0!</v>
      </c>
      <c r="G57" s="3724" t="s">
        <v>2317</v>
      </c>
      <c r="H57" s="2185" t="str">
        <f>项目基本情况!B37</f>
        <v>三级</v>
      </c>
      <c r="I57" s="2190">
        <f>SUMIF(修正!A45:A56,H57,修正!B45:B56)</f>
        <v>0.7</v>
      </c>
      <c r="J57" s="2195"/>
      <c r="K57" s="2360"/>
      <c r="L57" s="1771"/>
      <c r="M57" s="1771"/>
      <c r="N57" s="1771"/>
      <c r="O57" s="1771"/>
    </row>
    <row r="58" spans="1:15" s="1101" customFormat="1">
      <c r="A58" s="1102" t="s">
        <v>497</v>
      </c>
      <c r="B58" s="594" t="e">
        <f t="shared" ref="B58:B65" si="17">ROUND($C$48*C58*D58,0)</f>
        <v>#DIV/0!</v>
      </c>
      <c r="C58" s="532">
        <f t="shared" si="16"/>
        <v>0.4</v>
      </c>
      <c r="D58" s="2393">
        <v>0.25</v>
      </c>
      <c r="E58" s="1103"/>
      <c r="F58" s="2184" t="e">
        <f t="shared" si="15"/>
        <v>#DIV/0!</v>
      </c>
      <c r="G58" s="3724"/>
      <c r="H58" s="2185" t="str">
        <f>项目基本情况!B37</f>
        <v>三级</v>
      </c>
      <c r="I58" s="2190">
        <f>SUMIF(修正!A45:A56,H58,修正!C45:C56)</f>
        <v>0.4</v>
      </c>
      <c r="J58" s="2195"/>
      <c r="K58" s="2361"/>
      <c r="L58" s="1771"/>
      <c r="M58" s="1771"/>
      <c r="N58" s="1771"/>
      <c r="O58" s="1771"/>
    </row>
    <row r="59" spans="1:15" s="1101" customFormat="1">
      <c r="A59" s="1102" t="s">
        <v>498</v>
      </c>
      <c r="B59" s="594" t="e">
        <f t="shared" si="17"/>
        <v>#DIV/0!</v>
      </c>
      <c r="C59" s="532">
        <f t="shared" si="16"/>
        <v>0.28000000000000003</v>
      </c>
      <c r="D59" s="2393">
        <v>0.25</v>
      </c>
      <c r="E59" s="1103"/>
      <c r="F59" s="2184" t="e">
        <f t="shared" si="15"/>
        <v>#DIV/0!</v>
      </c>
      <c r="G59" s="3724"/>
      <c r="H59" s="2185" t="str">
        <f>项目基本情况!B37</f>
        <v>三级</v>
      </c>
      <c r="I59" s="2190">
        <f>SUMIF(修正!A45:A56,H59,修正!D45:D56)</f>
        <v>0.28000000000000003</v>
      </c>
      <c r="J59" s="2195"/>
      <c r="K59" s="2360"/>
      <c r="L59" s="1771"/>
      <c r="M59" s="1771"/>
      <c r="N59" s="1771"/>
      <c r="O59" s="1771"/>
    </row>
    <row r="60" spans="1:15" s="1101" customFormat="1">
      <c r="A60" s="1102" t="s">
        <v>499</v>
      </c>
      <c r="B60" s="594" t="e">
        <f t="shared" si="17"/>
        <v>#DIV/0!</v>
      </c>
      <c r="C60" s="532">
        <f t="shared" si="16"/>
        <v>0.25</v>
      </c>
      <c r="D60" s="2393">
        <v>0.25</v>
      </c>
      <c r="E60" s="1103"/>
      <c r="F60" s="2184" t="e">
        <f t="shared" si="15"/>
        <v>#DIV/0!</v>
      </c>
      <c r="G60" s="3724"/>
      <c r="H60" s="2185" t="str">
        <f>项目基本情况!B37</f>
        <v>三级</v>
      </c>
      <c r="I60" s="2190">
        <f>SUMIF(修正!A45:A56,H60,修正!E45:E56)</f>
        <v>0.25</v>
      </c>
      <c r="J60" s="2195"/>
      <c r="K60" s="2361"/>
      <c r="L60" s="1771"/>
      <c r="M60" s="1771"/>
      <c r="N60" s="1771"/>
      <c r="O60" s="1771"/>
    </row>
    <row r="61" spans="1:15" s="1101" customFormat="1">
      <c r="A61" s="2512" t="s">
        <v>2398</v>
      </c>
      <c r="B61" s="594" t="e">
        <f t="shared" si="17"/>
        <v>#DIV/0!</v>
      </c>
      <c r="C61" s="532">
        <f t="shared" si="16"/>
        <v>0.25</v>
      </c>
      <c r="D61" s="2393">
        <v>0.25</v>
      </c>
      <c r="E61" s="593">
        <f>'数据-汇总表'!E11</f>
        <v>0</v>
      </c>
      <c r="F61" s="2184" t="e">
        <f t="shared" si="15"/>
        <v>#DIV/0!</v>
      </c>
      <c r="G61" s="2197" t="s">
        <v>2318</v>
      </c>
      <c r="H61" s="2185" t="str">
        <f>项目基本情况!C37</f>
        <v>三级</v>
      </c>
      <c r="I61" s="2190">
        <f>SUMIF(修正!A45:A56,H61,修正!F45:F56)</f>
        <v>0.25</v>
      </c>
      <c r="J61" s="2195"/>
      <c r="K61" s="2360"/>
      <c r="L61" s="1771"/>
      <c r="M61" s="1771"/>
      <c r="N61" s="1771"/>
      <c r="O61" s="1771"/>
    </row>
    <row r="62" spans="1:15" s="1101" customFormat="1">
      <c r="A62" s="1102" t="s">
        <v>500</v>
      </c>
      <c r="B62" s="594" t="e">
        <f t="shared" si="17"/>
        <v>#DIV/0!</v>
      </c>
      <c r="C62" s="532">
        <f t="shared" si="16"/>
        <v>0.25</v>
      </c>
      <c r="D62" s="2393">
        <v>0.25</v>
      </c>
      <c r="E62" s="593">
        <f>'数据-汇总表'!E12</f>
        <v>0</v>
      </c>
      <c r="F62" s="2184" t="e">
        <f t="shared" si="15"/>
        <v>#DIV/0!</v>
      </c>
      <c r="G62" s="2191" t="s">
        <v>141</v>
      </c>
      <c r="H62" s="2185" t="str">
        <f>IF(G62="商业",项目基本情况!B37,IF(G62="办公",项目基本情况!C37,IF(G62="住宅",项目基本情况!D37,项目基本情况!E37)))</f>
        <v>三级</v>
      </c>
      <c r="I62" s="2190">
        <f>SUMIF(修正!A45:A56,H62,修正!G45:G56)</f>
        <v>0.25</v>
      </c>
      <c r="J62" s="2195"/>
      <c r="K62" s="2361"/>
      <c r="L62" s="1771"/>
      <c r="M62" s="1771"/>
      <c r="N62" s="1771"/>
      <c r="O62" s="1771"/>
    </row>
    <row r="63" spans="1:15" s="1101" customFormat="1">
      <c r="A63" s="1102" t="s">
        <v>501</v>
      </c>
      <c r="B63" s="594" t="e">
        <f t="shared" si="17"/>
        <v>#DIV/0!</v>
      </c>
      <c r="C63" s="532">
        <f t="shared" si="16"/>
        <v>0.2</v>
      </c>
      <c r="D63" s="2393">
        <v>0.25</v>
      </c>
      <c r="E63" s="593">
        <f>'数据-汇总表'!E13</f>
        <v>0</v>
      </c>
      <c r="F63" s="2184" t="e">
        <f t="shared" si="15"/>
        <v>#DIV/0!</v>
      </c>
      <c r="G63" s="2191" t="s">
        <v>40</v>
      </c>
      <c r="H63" s="2185" t="str">
        <f>IF(G63="商业",项目基本情况!B37,IF(G63="办公",项目基本情况!C37,IF(G63="住宅",项目基本情况!D37,项目基本情况!E37)))</f>
        <v>三级</v>
      </c>
      <c r="I63" s="2190">
        <f>SUMIF(修正!A45:A56,H63,修正!H45:H56)</f>
        <v>0.2</v>
      </c>
      <c r="J63" s="2195"/>
      <c r="K63" s="2360"/>
      <c r="L63" s="1771"/>
      <c r="M63" s="1771"/>
      <c r="N63" s="1771"/>
      <c r="O63" s="1771"/>
    </row>
    <row r="64" spans="1:15" s="1101" customFormat="1">
      <c r="A64" s="1102" t="s">
        <v>502</v>
      </c>
      <c r="B64" s="594" t="e">
        <f t="shared" si="17"/>
        <v>#DIV/0!</v>
      </c>
      <c r="C64" s="532">
        <f t="shared" si="16"/>
        <v>0.2</v>
      </c>
      <c r="D64" s="2393">
        <v>0.25</v>
      </c>
      <c r="E64" s="593">
        <f>'数据-汇总表'!E14</f>
        <v>0</v>
      </c>
      <c r="F64" s="2184" t="e">
        <f t="shared" si="15"/>
        <v>#DIV/0!</v>
      </c>
      <c r="G64" s="2197" t="s">
        <v>2319</v>
      </c>
      <c r="H64" s="2185" t="str">
        <f>项目基本情况!B37</f>
        <v>三级</v>
      </c>
      <c r="I64" s="2190">
        <f>SUMIF(修正!A45:A56,H64,修正!H45:H56)</f>
        <v>0.2</v>
      </c>
      <c r="J64" s="2195"/>
      <c r="K64" s="2361"/>
      <c r="L64" s="1771"/>
      <c r="M64" s="1771"/>
      <c r="N64" s="1771"/>
      <c r="O64" s="1771"/>
    </row>
    <row r="65" spans="1:17" s="1101" customFormat="1" ht="15" thickBot="1">
      <c r="A65" s="1102" t="s">
        <v>503</v>
      </c>
      <c r="B65" s="594" t="e">
        <f t="shared" si="17"/>
        <v>#DIV/0!</v>
      </c>
      <c r="C65" s="532">
        <f t="shared" si="16"/>
        <v>0.2</v>
      </c>
      <c r="D65" s="2393">
        <v>0.25</v>
      </c>
      <c r="E65" s="593">
        <f>'数据-汇总表'!E15</f>
        <v>0</v>
      </c>
      <c r="F65" s="2184" t="e">
        <f t="shared" si="15"/>
        <v>#DIV/0!</v>
      </c>
      <c r="G65" s="2198" t="s">
        <v>2318</v>
      </c>
      <c r="H65" s="2199" t="str">
        <f>项目基本情况!C37</f>
        <v>三级</v>
      </c>
      <c r="I65" s="2192">
        <f>SUMIF(修正!A45:A56,H65,修正!H45:H56)</f>
        <v>0.2</v>
      </c>
      <c r="J65" s="2196"/>
      <c r="K65" s="2360"/>
      <c r="L65" s="1771"/>
      <c r="M65" s="1771"/>
      <c r="N65" s="1771"/>
      <c r="O65" s="1771"/>
    </row>
    <row r="66" spans="1:17" s="1101" customFormat="1" ht="13.5" thickBot="1">
      <c r="A66" s="1104" t="s">
        <v>504</v>
      </c>
      <c r="B66" s="1105" t="s">
        <v>156</v>
      </c>
      <c r="C66" s="1105" t="s">
        <v>157</v>
      </c>
      <c r="D66" s="1105" t="s">
        <v>2324</v>
      </c>
      <c r="E66" s="1105">
        <f>IF(B46="楼面地价",SUM(E56:E65),'数据-汇总表'!D3)</f>
        <v>2099.0100000000002</v>
      </c>
      <c r="F66" s="1106" t="e">
        <f>IF(B46="楼面地价",SUM(F56:F65),ROUND(C48*E66/10000,0))</f>
        <v>#DIV/0!</v>
      </c>
      <c r="G66" s="1415"/>
      <c r="H66" s="1415"/>
      <c r="I66" s="1415"/>
      <c r="J66" s="1415"/>
      <c r="K66" s="2375"/>
      <c r="L66" s="1771"/>
      <c r="M66" s="1771"/>
      <c r="N66" s="1771"/>
      <c r="O66" s="1771"/>
    </row>
    <row r="67" spans="1:17">
      <c r="A67" s="1307"/>
      <c r="B67" s="1309"/>
      <c r="C67" s="1310"/>
      <c r="D67" s="1307"/>
      <c r="E67" s="1307"/>
      <c r="F67" s="1307"/>
      <c r="G67" s="1307"/>
      <c r="H67" s="1307"/>
      <c r="I67" s="1307"/>
      <c r="J67" s="2360"/>
      <c r="K67" s="2186"/>
      <c r="L67" s="2187"/>
      <c r="M67" s="2360"/>
      <c r="N67" s="2360"/>
      <c r="O67" s="2360"/>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6"/>
      <c r="K69" s="2377"/>
      <c r="L69" s="2378"/>
      <c r="M69" s="2376"/>
      <c r="N69" s="2376"/>
      <c r="O69" s="2376"/>
      <c r="P69" s="846"/>
      <c r="Q69" s="847"/>
    </row>
    <row r="70" spans="1:17" s="851" customFormat="1" ht="15">
      <c r="A70" s="2703" t="s">
        <v>2790</v>
      </c>
      <c r="B70" s="2704"/>
      <c r="C70" s="3034" t="str">
        <f>YEAR(C68)&amp;"-"&amp;ROUNDUP(MONTH(C68)/3,0)</f>
        <v>2017-3</v>
      </c>
      <c r="D70" s="3034" t="str">
        <f>YEAR(D68)&amp;"-"&amp;ROUNDUP(MONTH(D68)/3,0)</f>
        <v>2017-2</v>
      </c>
      <c r="E70" s="3034" t="str">
        <f t="shared" ref="E70:O70" si="19">YEAR(E68)&amp;"-"&amp;ROUNDUP(MONTH(E68)/3,0)</f>
        <v>2017-1</v>
      </c>
      <c r="F70" s="3034" t="str">
        <f t="shared" si="19"/>
        <v>2016-4</v>
      </c>
      <c r="G70" s="3034" t="str">
        <f t="shared" si="19"/>
        <v>2016-3</v>
      </c>
      <c r="H70" s="3034" t="str">
        <f t="shared" si="19"/>
        <v>2016-2</v>
      </c>
      <c r="I70" s="3034" t="str">
        <f t="shared" si="19"/>
        <v>2016-1</v>
      </c>
      <c r="J70" s="3034" t="str">
        <f t="shared" si="19"/>
        <v>2015-4</v>
      </c>
      <c r="K70" s="3034" t="str">
        <f t="shared" si="19"/>
        <v>2015-3</v>
      </c>
      <c r="L70" s="3034" t="str">
        <f t="shared" si="19"/>
        <v>2015-2</v>
      </c>
      <c r="M70" s="3034" t="str">
        <f t="shared" si="19"/>
        <v>2015-1</v>
      </c>
      <c r="N70" s="3034" t="str">
        <f t="shared" si="19"/>
        <v>2014-4</v>
      </c>
      <c r="O70" s="3034" t="str">
        <f t="shared" si="19"/>
        <v>2014-3</v>
      </c>
      <c r="P70" s="850"/>
    </row>
    <row r="71" spans="1:17" s="407" customFormat="1" ht="30" customHeight="1">
      <c r="A71" s="3037" t="s">
        <v>40</v>
      </c>
      <c r="B71" s="664" t="str">
        <f>"北京市平均增长率"&amp;TEXT(SUMIF('基准地价修正-2层'!N21:N25,A71,'基准地价修正-2层'!P21:P25),"0.00%")</f>
        <v>北京市平均增长率2.75%</v>
      </c>
      <c r="C71" s="946">
        <v>100</v>
      </c>
      <c r="D71" s="938"/>
      <c r="E71" s="938"/>
      <c r="F71" s="938"/>
      <c r="G71" s="938"/>
      <c r="H71" s="938"/>
      <c r="I71" s="938"/>
      <c r="J71" s="938"/>
      <c r="K71" s="938"/>
      <c r="L71" s="938"/>
      <c r="M71" s="3028"/>
      <c r="N71" s="938"/>
      <c r="O71" s="3029"/>
      <c r="P71" s="847"/>
    </row>
    <row r="72" spans="1:17" s="407" customFormat="1" ht="15.75" thickBot="1">
      <c r="A72" s="858" t="s">
        <v>416</v>
      </c>
      <c r="B72" s="859"/>
      <c r="C72" s="860"/>
      <c r="D72" s="861"/>
      <c r="E72" s="861"/>
      <c r="F72" s="861"/>
      <c r="G72" s="861"/>
      <c r="H72" s="861"/>
      <c r="I72" s="861"/>
      <c r="J72" s="861"/>
      <c r="K72" s="861"/>
      <c r="L72" s="861"/>
      <c r="M72" s="862"/>
      <c r="N72" s="861"/>
      <c r="O72" s="2379"/>
      <c r="P72" s="847"/>
      <c r="Q72" s="847"/>
    </row>
    <row r="73" spans="1:17" s="407" customFormat="1" ht="15">
      <c r="A73" s="864" t="s">
        <v>400</v>
      </c>
      <c r="B73" s="853"/>
      <c r="C73" s="865" t="s">
        <v>417</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418</v>
      </c>
      <c r="B75" s="871" t="s">
        <v>419</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404</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15.75" thickTop="1">
      <c r="A96" s="922"/>
      <c r="B96" s="881" t="s">
        <v>506</v>
      </c>
      <c r="C96" s="921" t="s">
        <v>425</v>
      </c>
      <c r="D96" s="921" t="s">
        <v>426</v>
      </c>
      <c r="E96" s="921" t="s">
        <v>427</v>
      </c>
      <c r="F96" s="921" t="s">
        <v>428</v>
      </c>
      <c r="G96" s="921" t="s">
        <v>429</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2667</v>
      </c>
      <c r="C100" s="916" t="s">
        <v>425</v>
      </c>
      <c r="D100" s="916" t="s">
        <v>426</v>
      </c>
      <c r="E100" s="916" t="s">
        <v>427</v>
      </c>
      <c r="F100" s="916" t="s">
        <v>428</v>
      </c>
      <c r="G100" s="916" t="s">
        <v>429</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2654</v>
      </c>
      <c r="C102" s="213" t="s">
        <v>2655</v>
      </c>
      <c r="D102" s="213" t="s">
        <v>2656</v>
      </c>
      <c r="E102" s="213" t="s">
        <v>2657</v>
      </c>
      <c r="F102" s="213" t="s">
        <v>2658</v>
      </c>
      <c r="G102" s="213" t="s">
        <v>2659</v>
      </c>
      <c r="H102" s="943"/>
      <c r="I102" s="943"/>
      <c r="J102" s="943"/>
      <c r="K102" s="943"/>
      <c r="L102" s="943"/>
      <c r="M102" s="2767"/>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7"/>
      <c r="N103" s="2370"/>
      <c r="O103" s="2370"/>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442</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485</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408</v>
      </c>
      <c r="B116" s="871" t="s">
        <v>512</v>
      </c>
      <c r="C116" s="873"/>
      <c r="D116" s="873"/>
      <c r="E116" s="873"/>
      <c r="F116" s="873"/>
      <c r="G116" s="873"/>
      <c r="H116" s="873"/>
      <c r="I116" s="873"/>
      <c r="J116" s="873"/>
      <c r="K116" s="874"/>
      <c r="L116" s="875"/>
      <c r="M116" s="876"/>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513</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9"/>
      <c r="O120" s="2369"/>
      <c r="P120" s="334"/>
      <c r="Q120" s="847"/>
    </row>
    <row r="121" spans="1:17" ht="15" thickTop="1">
      <c r="A121" s="942"/>
      <c r="B121" s="881" t="s">
        <v>514</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9"/>
      <c r="O122" s="2369"/>
      <c r="P122" s="334"/>
      <c r="Q122" s="847"/>
    </row>
    <row r="123" spans="1:17" s="814" customFormat="1" ht="15" thickTop="1">
      <c r="A123" s="936"/>
      <c r="B123" s="1054" t="s">
        <v>2498</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0"/>
      <c r="O124" s="2370"/>
      <c r="P124" s="901"/>
      <c r="Q124" s="902"/>
    </row>
    <row r="125" spans="1:17" ht="15" thickTop="1">
      <c r="A125" s="942"/>
      <c r="B125" s="881" t="s">
        <v>515</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I41" sqref="I41"/>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1"/>
      <c r="D2" s="2341"/>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2885</v>
      </c>
      <c r="D3" s="3050"/>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390</v>
      </c>
      <c r="B4" s="745"/>
      <c r="C4" s="3696" t="s">
        <v>391</v>
      </c>
      <c r="D4" s="3697"/>
      <c r="E4" s="3698" t="s">
        <v>392</v>
      </c>
      <c r="F4" s="3699"/>
      <c r="G4" s="3696" t="s">
        <v>393</v>
      </c>
      <c r="H4" s="3697"/>
      <c r="I4" s="3696" t="s">
        <v>394</v>
      </c>
      <c r="J4" s="3697"/>
      <c r="K4" s="953" t="s">
        <v>395</v>
      </c>
      <c r="L4" s="2346"/>
      <c r="M4" s="2347"/>
      <c r="N4" s="2347"/>
      <c r="O4" s="2347"/>
      <c r="P4" s="3700" t="s">
        <v>396</v>
      </c>
      <c r="Q4" s="3701"/>
      <c r="R4" s="3683" t="s">
        <v>392</v>
      </c>
      <c r="S4" s="3684"/>
      <c r="T4" s="3683" t="s">
        <v>393</v>
      </c>
      <c r="U4" s="3684"/>
      <c r="V4" s="3708" t="s">
        <v>394</v>
      </c>
      <c r="W4" s="3708"/>
      <c r="X4" s="1318"/>
      <c r="Y4" s="3683" t="s">
        <v>396</v>
      </c>
      <c r="Z4" s="3684"/>
      <c r="AA4" s="3678" t="s">
        <v>392</v>
      </c>
      <c r="AB4" s="3679" t="s">
        <v>393</v>
      </c>
      <c r="AC4" s="3678" t="s">
        <v>394</v>
      </c>
    </row>
    <row r="5" spans="1:29" ht="15">
      <c r="A5" s="747"/>
      <c r="B5" s="748"/>
      <c r="C5" s="3598" t="s">
        <v>1125</v>
      </c>
      <c r="D5" s="3599"/>
      <c r="E5" s="3666" t="s">
        <v>1126</v>
      </c>
      <c r="F5" s="3667"/>
      <c r="G5" s="3598" t="s">
        <v>1129</v>
      </c>
      <c r="H5" s="3599"/>
      <c r="I5" s="3598" t="s">
        <v>1127</v>
      </c>
      <c r="J5" s="3599"/>
      <c r="K5" s="953"/>
      <c r="L5" s="2346"/>
      <c r="M5" s="2347"/>
      <c r="N5" s="2347"/>
      <c r="O5" s="2347"/>
      <c r="P5" s="3702"/>
      <c r="Q5" s="3703"/>
      <c r="R5" s="3685"/>
      <c r="S5" s="3686"/>
      <c r="T5" s="3685"/>
      <c r="U5" s="3686"/>
      <c r="V5" s="3708"/>
      <c r="W5" s="3708"/>
      <c r="X5" s="1318"/>
      <c r="Y5" s="3685"/>
      <c r="Z5" s="3686"/>
      <c r="AA5" s="3679"/>
      <c r="AB5" s="3679"/>
      <c r="AC5" s="3679"/>
    </row>
    <row r="6" spans="1:29" ht="15.75" thickBot="1">
      <c r="A6" s="749"/>
      <c r="B6" s="750"/>
      <c r="C6" s="3725" t="s">
        <v>1128</v>
      </c>
      <c r="D6" s="3726"/>
      <c r="E6" s="3727" t="s">
        <v>1128</v>
      </c>
      <c r="F6" s="3728"/>
      <c r="G6" s="3725" t="s">
        <v>1128</v>
      </c>
      <c r="H6" s="3726"/>
      <c r="I6" s="3725" t="s">
        <v>1128</v>
      </c>
      <c r="J6" s="3726"/>
      <c r="K6" s="953" t="s">
        <v>397</v>
      </c>
      <c r="L6" s="2346"/>
      <c r="M6" s="2347"/>
      <c r="N6" s="2347"/>
      <c r="O6" s="2347"/>
      <c r="P6" s="3704"/>
      <c r="Q6" s="3705"/>
      <c r="R6" s="3685"/>
      <c r="S6" s="3686"/>
      <c r="T6" s="3706"/>
      <c r="U6" s="3707"/>
      <c r="V6" s="3708"/>
      <c r="W6" s="3708"/>
      <c r="X6" s="1318"/>
      <c r="Y6" s="3706"/>
      <c r="Z6" s="3707"/>
      <c r="AA6" s="3680"/>
      <c r="AB6" s="3680"/>
      <c r="AC6" s="3680"/>
    </row>
    <row r="7" spans="1:29" s="407" customFormat="1" ht="15.75" thickBot="1">
      <c r="A7" s="751" t="s">
        <v>398</v>
      </c>
      <c r="B7" s="752"/>
      <c r="C7" s="753">
        <f>'数据-取费表'!B2</f>
        <v>42963</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681" t="s">
        <v>399</v>
      </c>
      <c r="Q7" s="3709"/>
      <c r="R7" s="1319" t="s">
        <v>65</v>
      </c>
      <c r="S7" s="1320">
        <f t="shared" ref="S7:S15" si="0">F7</f>
        <v>0</v>
      </c>
      <c r="T7" s="1319" t="s">
        <v>65</v>
      </c>
      <c r="U7" s="1320">
        <f t="shared" ref="U7:U15" si="1">H7</f>
        <v>0</v>
      </c>
      <c r="V7" s="1319" t="s">
        <v>65</v>
      </c>
      <c r="W7" s="1320">
        <f t="shared" ref="W7:W15" si="2">J7</f>
        <v>0</v>
      </c>
      <c r="X7" s="1321"/>
      <c r="Y7" s="3681" t="s">
        <v>399</v>
      </c>
      <c r="Z7" s="3682"/>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681" t="s">
        <v>435</v>
      </c>
      <c r="Q8" s="3682"/>
      <c r="R8" s="1319" t="s">
        <v>65</v>
      </c>
      <c r="S8" s="1320">
        <f t="shared" si="0"/>
        <v>0</v>
      </c>
      <c r="T8" s="1319" t="s">
        <v>65</v>
      </c>
      <c r="U8" s="1320">
        <f t="shared" si="1"/>
        <v>0</v>
      </c>
      <c r="V8" s="1319" t="s">
        <v>65</v>
      </c>
      <c r="W8" s="1320">
        <f t="shared" si="2"/>
        <v>0</v>
      </c>
      <c r="X8" s="1321"/>
      <c r="Y8" s="3681" t="s">
        <v>435</v>
      </c>
      <c r="Z8" s="3682"/>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695" t="s">
        <v>402</v>
      </c>
      <c r="Q9" s="296" t="str">
        <f t="shared" ref="Q9:Q15" si="6">B9</f>
        <v>用途</v>
      </c>
      <c r="R9" s="1319" t="s">
        <v>65</v>
      </c>
      <c r="S9" s="1320">
        <f t="shared" si="0"/>
        <v>100</v>
      </c>
      <c r="T9" s="1319" t="s">
        <v>65</v>
      </c>
      <c r="U9" s="1320">
        <f t="shared" si="1"/>
        <v>100</v>
      </c>
      <c r="V9" s="1319" t="s">
        <v>65</v>
      </c>
      <c r="W9" s="1320">
        <f t="shared" si="2"/>
        <v>100</v>
      </c>
      <c r="X9" s="1321"/>
      <c r="Y9" s="3563"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125</v>
      </c>
      <c r="G10" s="1024"/>
      <c r="H10" s="426">
        <f>ROUND(100/'数据-取费表'!G16,0)</f>
        <v>125</v>
      </c>
      <c r="I10" s="1024"/>
      <c r="J10" s="426">
        <f>ROUND(100/'数据-取费表'!G16,0)</f>
        <v>125</v>
      </c>
      <c r="K10" s="1081"/>
      <c r="L10" s="2351"/>
      <c r="M10" s="2352"/>
      <c r="N10" s="2352"/>
      <c r="O10" s="2353"/>
      <c r="P10" s="3695"/>
      <c r="Q10" s="296" t="str">
        <f t="shared" si="6"/>
        <v>土地使用年限（年）</v>
      </c>
      <c r="R10" s="1319" t="s">
        <v>65</v>
      </c>
      <c r="S10" s="1320">
        <f t="shared" si="0"/>
        <v>125</v>
      </c>
      <c r="T10" s="1319" t="s">
        <v>65</v>
      </c>
      <c r="U10" s="1320">
        <f t="shared" si="1"/>
        <v>125</v>
      </c>
      <c r="V10" s="1319" t="s">
        <v>65</v>
      </c>
      <c r="W10" s="1320">
        <f t="shared" si="2"/>
        <v>125</v>
      </c>
      <c r="X10" s="1321"/>
      <c r="Y10" s="3563"/>
      <c r="Z10" s="344" t="str">
        <f t="shared" si="7"/>
        <v>土地使用年限（年）</v>
      </c>
      <c r="AA10" s="1322">
        <f t="shared" si="3"/>
        <v>0.8</v>
      </c>
      <c r="AB10" s="1322">
        <f t="shared" si="4"/>
        <v>0.8</v>
      </c>
      <c r="AC10" s="1322">
        <f t="shared" si="5"/>
        <v>0.8</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695"/>
      <c r="Q11" s="296" t="str">
        <f t="shared" si="6"/>
        <v>容积率</v>
      </c>
      <c r="R11" s="1319" t="s">
        <v>65</v>
      </c>
      <c r="S11" s="1320" t="e">
        <f t="shared" si="0"/>
        <v>#N/A</v>
      </c>
      <c r="T11" s="1319" t="s">
        <v>65</v>
      </c>
      <c r="U11" s="1320" t="e">
        <f t="shared" si="1"/>
        <v>#N/A</v>
      </c>
      <c r="V11" s="1319" t="s">
        <v>65</v>
      </c>
      <c r="W11" s="1320" t="e">
        <f t="shared" si="2"/>
        <v>#N/A</v>
      </c>
      <c r="X11" s="1321"/>
      <c r="Y11" s="3563"/>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695"/>
      <c r="Q12" s="296">
        <f t="shared" si="6"/>
        <v>111</v>
      </c>
      <c r="R12" s="1319" t="s">
        <v>65</v>
      </c>
      <c r="S12" s="1320">
        <f t="shared" si="0"/>
        <v>100</v>
      </c>
      <c r="T12" s="1319" t="s">
        <v>65</v>
      </c>
      <c r="U12" s="1320">
        <f t="shared" si="1"/>
        <v>100</v>
      </c>
      <c r="V12" s="1319" t="s">
        <v>65</v>
      </c>
      <c r="W12" s="1320">
        <f t="shared" si="2"/>
        <v>100</v>
      </c>
      <c r="X12" s="1321"/>
      <c r="Y12" s="3563"/>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695"/>
      <c r="Q13" s="296">
        <f t="shared" si="6"/>
        <v>111</v>
      </c>
      <c r="R13" s="1319" t="s">
        <v>65</v>
      </c>
      <c r="S13" s="1320">
        <f t="shared" si="0"/>
        <v>100</v>
      </c>
      <c r="T13" s="1319" t="s">
        <v>65</v>
      </c>
      <c r="U13" s="1320">
        <f t="shared" si="1"/>
        <v>100</v>
      </c>
      <c r="V13" s="1319" t="s">
        <v>65</v>
      </c>
      <c r="W13" s="1320">
        <f t="shared" si="2"/>
        <v>100</v>
      </c>
      <c r="X13" s="1321"/>
      <c r="Y13" s="3563"/>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695"/>
      <c r="Q14" s="296">
        <f t="shared" si="6"/>
        <v>111</v>
      </c>
      <c r="R14" s="1319" t="s">
        <v>65</v>
      </c>
      <c r="S14" s="1320">
        <f t="shared" si="0"/>
        <v>100</v>
      </c>
      <c r="T14" s="1319" t="s">
        <v>65</v>
      </c>
      <c r="U14" s="1320">
        <f t="shared" si="1"/>
        <v>100</v>
      </c>
      <c r="V14" s="1319" t="s">
        <v>65</v>
      </c>
      <c r="W14" s="1320">
        <f t="shared" si="2"/>
        <v>100</v>
      </c>
      <c r="X14" s="1321"/>
      <c r="Y14" s="3563"/>
      <c r="Z14" s="344">
        <f t="shared" si="7"/>
        <v>111</v>
      </c>
      <c r="AA14" s="1322">
        <f t="shared" si="3"/>
        <v>1</v>
      </c>
      <c r="AB14" s="1322">
        <f t="shared" si="4"/>
        <v>1</v>
      </c>
      <c r="AC14" s="1322">
        <f t="shared" si="5"/>
        <v>1</v>
      </c>
    </row>
    <row r="15" spans="1:29" ht="54">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710" t="s">
        <v>407</v>
      </c>
      <c r="Q15" s="1323" t="str">
        <f t="shared" si="6"/>
        <v>产业集聚程度</v>
      </c>
      <c r="R15" s="1324" t="s">
        <v>65</v>
      </c>
      <c r="S15" s="1325">
        <f t="shared" si="0"/>
        <v>100</v>
      </c>
      <c r="T15" s="1324" t="s">
        <v>65</v>
      </c>
      <c r="U15" s="1325">
        <f t="shared" si="1"/>
        <v>100</v>
      </c>
      <c r="V15" s="1324" t="s">
        <v>65</v>
      </c>
      <c r="W15" s="1325">
        <f t="shared" si="2"/>
        <v>100</v>
      </c>
      <c r="X15" s="1318"/>
      <c r="Y15" s="3710"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6"/>
      <c r="M16" s="2347"/>
      <c r="N16" s="2347"/>
      <c r="O16" s="2355"/>
      <c r="P16" s="3711"/>
      <c r="Q16" s="1323"/>
      <c r="R16" s="1324"/>
      <c r="S16" s="1325"/>
      <c r="T16" s="1324"/>
      <c r="U16" s="1325"/>
      <c r="V16" s="1324"/>
      <c r="W16" s="1325"/>
      <c r="X16" s="1318"/>
      <c r="Y16" s="3711"/>
      <c r="Z16" s="1326"/>
      <c r="AA16" s="1327">
        <v>1</v>
      </c>
      <c r="AB16" s="1327">
        <v>1</v>
      </c>
      <c r="AC16" s="1327">
        <v>1</v>
      </c>
    </row>
    <row r="17" spans="1:29" ht="81">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711"/>
      <c r="Q17" s="1323" t="str">
        <f>B17</f>
        <v>交通便捷度</v>
      </c>
      <c r="R17" s="1324" t="s">
        <v>65</v>
      </c>
      <c r="S17" s="1325">
        <f>F17</f>
        <v>100</v>
      </c>
      <c r="T17" s="1324" t="s">
        <v>65</v>
      </c>
      <c r="U17" s="1325">
        <f>H17</f>
        <v>100</v>
      </c>
      <c r="V17" s="1324" t="s">
        <v>65</v>
      </c>
      <c r="W17" s="1325">
        <f>J17</f>
        <v>100</v>
      </c>
      <c r="X17" s="1318"/>
      <c r="Y17" s="3711"/>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6"/>
      <c r="M18" s="2347"/>
      <c r="N18" s="2347"/>
      <c r="O18" s="2355"/>
      <c r="P18" s="3711"/>
      <c r="Q18" s="1323"/>
      <c r="R18" s="1324"/>
      <c r="S18" s="1325"/>
      <c r="T18" s="1324"/>
      <c r="U18" s="1325"/>
      <c r="V18" s="1324"/>
      <c r="W18" s="1325"/>
      <c r="X18" s="1318"/>
      <c r="Y18" s="3711"/>
      <c r="Z18" s="1326"/>
      <c r="AA18" s="1327">
        <v>1</v>
      </c>
      <c r="AB18" s="1327">
        <v>1</v>
      </c>
      <c r="AC18" s="1327">
        <v>1</v>
      </c>
    </row>
    <row r="19" spans="1:29" ht="15">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711"/>
      <c r="Q19" s="1323" t="str">
        <f t="shared" ref="Q19:Q33" si="8">B19</f>
        <v>区域土地利用方向</v>
      </c>
      <c r="R19" s="1324" t="s">
        <v>65</v>
      </c>
      <c r="S19" s="1325">
        <f>F19</f>
        <v>100</v>
      </c>
      <c r="T19" s="1324" t="s">
        <v>65</v>
      </c>
      <c r="U19" s="1325">
        <f>H19</f>
        <v>100</v>
      </c>
      <c r="V19" s="1324" t="s">
        <v>65</v>
      </c>
      <c r="W19" s="1325">
        <f>J19</f>
        <v>100</v>
      </c>
      <c r="X19" s="1318"/>
      <c r="Y19" s="3711"/>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3"/>
      <c r="L20" s="2356"/>
      <c r="M20" s="2347"/>
      <c r="N20" s="2347"/>
      <c r="O20" s="2355"/>
      <c r="P20" s="3711"/>
      <c r="Q20" s="1470"/>
      <c r="R20" s="1324"/>
      <c r="S20" s="1325"/>
      <c r="T20" s="1324"/>
      <c r="U20" s="1325"/>
      <c r="V20" s="1324"/>
      <c r="W20" s="1325"/>
      <c r="X20" s="1469"/>
      <c r="Y20" s="3711"/>
      <c r="Z20" s="1471"/>
      <c r="AA20" s="1327"/>
      <c r="AB20" s="1327"/>
      <c r="AC20" s="1327"/>
    </row>
    <row r="21" spans="1:29" ht="67.5">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711"/>
      <c r="Q21" s="1323" t="str">
        <f t="shared" si="8"/>
        <v>环境状况</v>
      </c>
      <c r="R21" s="1324" t="s">
        <v>65</v>
      </c>
      <c r="S21" s="1325">
        <f>F21</f>
        <v>100</v>
      </c>
      <c r="T21" s="1324" t="s">
        <v>65</v>
      </c>
      <c r="U21" s="1325">
        <f>H21</f>
        <v>100</v>
      </c>
      <c r="V21" s="1324" t="s">
        <v>65</v>
      </c>
      <c r="W21" s="1325">
        <f>J21</f>
        <v>100</v>
      </c>
      <c r="X21" s="1318"/>
      <c r="Y21" s="3711"/>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6"/>
      <c r="M22" s="2347"/>
      <c r="N22" s="2347"/>
      <c r="O22" s="2355"/>
      <c r="P22" s="3711"/>
      <c r="Q22" s="1323"/>
      <c r="R22" s="1324"/>
      <c r="S22" s="1325"/>
      <c r="T22" s="1324"/>
      <c r="U22" s="1325"/>
      <c r="V22" s="1324"/>
      <c r="W22" s="1325"/>
      <c r="X22" s="1318"/>
      <c r="Y22" s="3711"/>
      <c r="Z22" s="1326"/>
      <c r="AA22" s="1327">
        <v>1</v>
      </c>
      <c r="AB22" s="1327">
        <v>1</v>
      </c>
      <c r="AC22" s="1327">
        <v>1</v>
      </c>
    </row>
    <row r="23" spans="1:29" s="407" customFormat="1" ht="40.5">
      <c r="A23" s="992"/>
      <c r="B23" s="1036" t="s">
        <v>2667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711"/>
      <c r="Q23" s="296" t="str">
        <f t="shared" si="8"/>
        <v>公共配套设施</v>
      </c>
      <c r="R23" s="1319" t="s">
        <v>65</v>
      </c>
      <c r="S23" s="1320">
        <f>F23</f>
        <v>100</v>
      </c>
      <c r="T23" s="1319" t="s">
        <v>65</v>
      </c>
      <c r="U23" s="1320">
        <f>H23</f>
        <v>100</v>
      </c>
      <c r="V23" s="1319" t="s">
        <v>65</v>
      </c>
      <c r="W23" s="1320">
        <f>J23</f>
        <v>100</v>
      </c>
      <c r="X23" s="1321"/>
      <c r="Y23" s="3711"/>
      <c r="Z23" s="344" t="str">
        <f>Q23</f>
        <v>公共配套设施</v>
      </c>
      <c r="AA23" s="1327">
        <f>D23/F23</f>
        <v>1</v>
      </c>
      <c r="AB23" s="1327">
        <f>D23/H23</f>
        <v>1</v>
      </c>
      <c r="AC23" s="1327">
        <f>D23/J23</f>
        <v>1</v>
      </c>
    </row>
    <row r="24" spans="1:29" s="407" customFormat="1" ht="15">
      <c r="A24" s="992"/>
      <c r="B24" s="975"/>
      <c r="C24" s="2772"/>
      <c r="D24" s="791"/>
      <c r="E24" s="192"/>
      <c r="F24" s="791"/>
      <c r="G24" s="192"/>
      <c r="H24" s="791"/>
      <c r="I24" s="97"/>
      <c r="J24" s="791"/>
      <c r="K24" s="1081"/>
      <c r="L24" s="2348"/>
      <c r="M24" s="2349"/>
      <c r="N24" s="2349"/>
      <c r="O24" s="2350"/>
      <c r="P24" s="3711"/>
      <c r="Q24" s="296"/>
      <c r="R24" s="1319"/>
      <c r="S24" s="1320"/>
      <c r="T24" s="1319"/>
      <c r="U24" s="1320"/>
      <c r="V24" s="1319"/>
      <c r="W24" s="1320"/>
      <c r="X24" s="1321"/>
      <c r="Y24" s="3711"/>
      <c r="Z24" s="344"/>
      <c r="AA24" s="1322">
        <v>1</v>
      </c>
      <c r="AB24" s="1322">
        <v>1</v>
      </c>
      <c r="AC24" s="1322">
        <v>1</v>
      </c>
    </row>
    <row r="25" spans="1:29" s="407" customFormat="1" ht="27">
      <c r="A25" s="992"/>
      <c r="B25" s="1036" t="s">
        <v>2668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711"/>
      <c r="Q25" s="2741" t="str">
        <f t="shared" ref="Q25" si="9">B25</f>
        <v>基础设施水平</v>
      </c>
      <c r="R25" s="1319" t="s">
        <v>65</v>
      </c>
      <c r="S25" s="1320">
        <f>F25</f>
        <v>100</v>
      </c>
      <c r="T25" s="1319" t="s">
        <v>65</v>
      </c>
      <c r="U25" s="1320">
        <f>H25</f>
        <v>100</v>
      </c>
      <c r="V25" s="1319" t="s">
        <v>65</v>
      </c>
      <c r="W25" s="1320">
        <f>J25</f>
        <v>100</v>
      </c>
      <c r="X25" s="1321"/>
      <c r="Y25" s="3711"/>
      <c r="Z25" s="344" t="str">
        <f>Q25</f>
        <v>基础设施水平</v>
      </c>
      <c r="AA25" s="1327">
        <f>D25/F25</f>
        <v>1</v>
      </c>
      <c r="AB25" s="1327">
        <f>D25/H25</f>
        <v>1</v>
      </c>
      <c r="AC25" s="1327">
        <f>D25/J25</f>
        <v>1</v>
      </c>
    </row>
    <row r="26" spans="1:29" s="407" customFormat="1" ht="15">
      <c r="A26" s="992"/>
      <c r="B26" s="975"/>
      <c r="C26" s="2772"/>
      <c r="D26" s="791"/>
      <c r="E26" s="1037"/>
      <c r="F26" s="791"/>
      <c r="G26" s="1037"/>
      <c r="H26" s="791"/>
      <c r="I26" s="1037"/>
      <c r="J26" s="791"/>
      <c r="K26" s="1081"/>
      <c r="L26" s="2348"/>
      <c r="M26" s="2349"/>
      <c r="N26" s="2349"/>
      <c r="O26" s="2350"/>
      <c r="P26" s="3711"/>
      <c r="Q26" s="2741"/>
      <c r="R26" s="1319"/>
      <c r="S26" s="1320"/>
      <c r="T26" s="1319"/>
      <c r="U26" s="1320"/>
      <c r="V26" s="1319"/>
      <c r="W26" s="1320"/>
      <c r="X26" s="1321"/>
      <c r="Y26" s="3711"/>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711"/>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11"/>
      <c r="Z27" s="1326" t="str">
        <f t="shared" ref="Z27:Z40" si="13">Q27</f>
        <v>临街状况</v>
      </c>
      <c r="AA27" s="1327">
        <f t="shared" si="3"/>
        <v>1</v>
      </c>
      <c r="AB27" s="1327">
        <f t="shared" si="4"/>
        <v>1</v>
      </c>
      <c r="AC27" s="1327">
        <f t="shared" si="5"/>
        <v>1</v>
      </c>
    </row>
    <row r="28" spans="1:29" ht="27">
      <c r="A28" s="771"/>
      <c r="B28" s="976" t="s">
        <v>442</v>
      </c>
      <c r="C28" s="2773">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711"/>
      <c r="Q28" s="1323" t="str">
        <f t="shared" si="8"/>
        <v>毗邻道路的类型与等级</v>
      </c>
      <c r="R28" s="1324" t="s">
        <v>65</v>
      </c>
      <c r="S28" s="1325">
        <f t="shared" si="10"/>
        <v>100</v>
      </c>
      <c r="T28" s="1324" t="s">
        <v>65</v>
      </c>
      <c r="U28" s="1325">
        <f t="shared" si="11"/>
        <v>100</v>
      </c>
      <c r="V28" s="1324" t="s">
        <v>65</v>
      </c>
      <c r="W28" s="1325">
        <f t="shared" si="12"/>
        <v>100</v>
      </c>
      <c r="X28" s="1318"/>
      <c r="Y28" s="3711"/>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6"/>
      <c r="M29" s="2347"/>
      <c r="N29" s="2347"/>
      <c r="O29" s="2355"/>
      <c r="P29" s="3711"/>
      <c r="Q29" s="1323"/>
      <c r="R29" s="1324"/>
      <c r="S29" s="1325"/>
      <c r="T29" s="1324"/>
      <c r="U29" s="1325"/>
      <c r="V29" s="1324"/>
      <c r="W29" s="1325"/>
      <c r="X29" s="1318"/>
      <c r="Y29" s="3711"/>
      <c r="Z29" s="1326"/>
      <c r="AA29" s="1327">
        <v>1</v>
      </c>
      <c r="AB29" s="1327">
        <v>1</v>
      </c>
      <c r="AC29" s="1327">
        <v>1</v>
      </c>
    </row>
    <row r="30" spans="1:29" ht="15">
      <c r="A30" s="771"/>
      <c r="B30" s="997" t="s">
        <v>485</v>
      </c>
      <c r="C30" s="2774">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711"/>
      <c r="Q30" s="1323" t="str">
        <f t="shared" si="8"/>
        <v>土地级别</v>
      </c>
      <c r="R30" s="1324" t="s">
        <v>65</v>
      </c>
      <c r="S30" s="1325">
        <f t="shared" si="10"/>
        <v>100</v>
      </c>
      <c r="T30" s="1324" t="s">
        <v>65</v>
      </c>
      <c r="U30" s="1325">
        <f t="shared" si="11"/>
        <v>100</v>
      </c>
      <c r="V30" s="1324" t="s">
        <v>65</v>
      </c>
      <c r="W30" s="1325">
        <f t="shared" si="12"/>
        <v>100</v>
      </c>
      <c r="X30" s="1318"/>
      <c r="Y30" s="3711"/>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711"/>
      <c r="Q31" s="1323">
        <f t="shared" si="8"/>
        <v>111</v>
      </c>
      <c r="R31" s="1324" t="s">
        <v>65</v>
      </c>
      <c r="S31" s="1325">
        <f t="shared" si="10"/>
        <v>100</v>
      </c>
      <c r="T31" s="1324" t="s">
        <v>65</v>
      </c>
      <c r="U31" s="1325">
        <f t="shared" si="11"/>
        <v>100</v>
      </c>
      <c r="V31" s="1324" t="s">
        <v>65</v>
      </c>
      <c r="W31" s="1325">
        <f t="shared" si="12"/>
        <v>100</v>
      </c>
      <c r="X31" s="1318"/>
      <c r="Y31" s="3711"/>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712" t="s">
        <v>409</v>
      </c>
      <c r="Q32" s="1323">
        <f t="shared" si="8"/>
        <v>111</v>
      </c>
      <c r="R32" s="1324" t="s">
        <v>65</v>
      </c>
      <c r="S32" s="1325">
        <f t="shared" si="10"/>
        <v>100</v>
      </c>
      <c r="T32" s="1324" t="s">
        <v>65</v>
      </c>
      <c r="U32" s="1325">
        <f t="shared" si="11"/>
        <v>100</v>
      </c>
      <c r="V32" s="1324" t="s">
        <v>65</v>
      </c>
      <c r="W32" s="1325">
        <f t="shared" si="12"/>
        <v>100</v>
      </c>
      <c r="X32" s="1318"/>
      <c r="Y32" s="3713" t="s">
        <v>409</v>
      </c>
      <c r="Z32" s="1326">
        <f t="shared" si="13"/>
        <v>111</v>
      </c>
      <c r="AA32" s="1327">
        <f t="shared" si="3"/>
        <v>1</v>
      </c>
      <c r="AB32" s="1327">
        <f t="shared" si="4"/>
        <v>1</v>
      </c>
      <c r="AC32" s="1327">
        <f t="shared" si="5"/>
        <v>1</v>
      </c>
    </row>
    <row r="33" spans="1:29" s="814" customFormat="1" ht="15.75" thickBot="1">
      <c r="A33" s="1085"/>
      <c r="B33" s="329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713"/>
      <c r="Q33" s="1323">
        <f t="shared" si="8"/>
        <v>111</v>
      </c>
      <c r="R33" s="1329" t="s">
        <v>65</v>
      </c>
      <c r="S33" s="1330">
        <f t="shared" si="10"/>
        <v>100</v>
      </c>
      <c r="T33" s="1329" t="s">
        <v>65</v>
      </c>
      <c r="U33" s="1330">
        <f t="shared" si="11"/>
        <v>100</v>
      </c>
      <c r="V33" s="1329" t="s">
        <v>65</v>
      </c>
      <c r="W33" s="1330">
        <f t="shared" si="12"/>
        <v>100</v>
      </c>
      <c r="X33" s="1331"/>
      <c r="Y33" s="3713"/>
      <c r="Z33" s="1332">
        <f t="shared" si="13"/>
        <v>111</v>
      </c>
      <c r="AA33" s="1327">
        <f t="shared" si="3"/>
        <v>1</v>
      </c>
      <c r="AB33" s="1327">
        <f t="shared" si="4"/>
        <v>1</v>
      </c>
      <c r="AC33" s="1327">
        <f t="shared" si="5"/>
        <v>1</v>
      </c>
    </row>
    <row r="34" spans="1:29" ht="15">
      <c r="A34" s="783" t="s">
        <v>2793</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713"/>
      <c r="Q34" s="1323" t="str">
        <f>B34</f>
        <v>宗地面积</v>
      </c>
      <c r="R34" s="1324" t="s">
        <v>65</v>
      </c>
      <c r="S34" s="1325" t="e">
        <f t="shared" si="10"/>
        <v>#N/A</v>
      </c>
      <c r="T34" s="1324" t="s">
        <v>65</v>
      </c>
      <c r="U34" s="1325" t="e">
        <f t="shared" si="11"/>
        <v>#N/A</v>
      </c>
      <c r="V34" s="1324" t="s">
        <v>65</v>
      </c>
      <c r="W34" s="1325" t="e">
        <f t="shared" si="12"/>
        <v>#N/A</v>
      </c>
      <c r="X34" s="1318"/>
      <c r="Y34" s="3713"/>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713"/>
      <c r="Q35" s="1323" t="str">
        <f t="shared" ref="Q35:Q40" si="14">B35</f>
        <v>宗地形状</v>
      </c>
      <c r="R35" s="1324" t="s">
        <v>65</v>
      </c>
      <c r="S35" s="1325">
        <f t="shared" si="10"/>
        <v>100</v>
      </c>
      <c r="T35" s="1324" t="s">
        <v>65</v>
      </c>
      <c r="U35" s="1325">
        <f t="shared" si="11"/>
        <v>100</v>
      </c>
      <c r="V35" s="1324" t="s">
        <v>65</v>
      </c>
      <c r="W35" s="1325">
        <f t="shared" si="12"/>
        <v>100</v>
      </c>
      <c r="X35" s="1318"/>
      <c r="Y35" s="3713"/>
      <c r="Z35" s="1326" t="str">
        <f t="shared" si="13"/>
        <v>宗地形状</v>
      </c>
      <c r="AA35" s="1327">
        <f t="shared" si="3"/>
        <v>1</v>
      </c>
      <c r="AB35" s="1327">
        <f t="shared" si="4"/>
        <v>1</v>
      </c>
      <c r="AC35" s="1327">
        <f t="shared" si="5"/>
        <v>1</v>
      </c>
    </row>
    <row r="36" spans="1:29" s="407" customFormat="1" ht="15">
      <c r="A36" s="816"/>
      <c r="B36" s="2607" t="s">
        <v>2500</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713"/>
      <c r="Q36" s="1323" t="str">
        <f t="shared" si="14"/>
        <v>宗地开发程度</v>
      </c>
      <c r="R36" s="1319" t="s">
        <v>65</v>
      </c>
      <c r="S36" s="1320">
        <f t="shared" si="10"/>
        <v>100</v>
      </c>
      <c r="T36" s="1319" t="s">
        <v>65</v>
      </c>
      <c r="U36" s="1320">
        <f t="shared" si="11"/>
        <v>100</v>
      </c>
      <c r="V36" s="1319" t="s">
        <v>65</v>
      </c>
      <c r="W36" s="1320">
        <f t="shared" si="12"/>
        <v>100</v>
      </c>
      <c r="X36" s="1321"/>
      <c r="Y36" s="3713"/>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713" t="s">
        <v>520</v>
      </c>
      <c r="Q37" s="1323" t="str">
        <f t="shared" si="14"/>
        <v>工程地质条件</v>
      </c>
      <c r="R37" s="1324" t="s">
        <v>65</v>
      </c>
      <c r="S37" s="1325">
        <f t="shared" si="10"/>
        <v>100</v>
      </c>
      <c r="T37" s="1324" t="s">
        <v>65</v>
      </c>
      <c r="U37" s="1325">
        <f t="shared" si="11"/>
        <v>100</v>
      </c>
      <c r="V37" s="1324" t="s">
        <v>65</v>
      </c>
      <c r="W37" s="1325">
        <f t="shared" si="12"/>
        <v>100</v>
      </c>
      <c r="X37" s="1318"/>
      <c r="Y37" s="3713"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713"/>
      <c r="Q38" s="1323">
        <f t="shared" si="14"/>
        <v>111</v>
      </c>
      <c r="R38" s="1324" t="s">
        <v>65</v>
      </c>
      <c r="S38" s="1325">
        <f t="shared" si="10"/>
        <v>100</v>
      </c>
      <c r="T38" s="1324" t="s">
        <v>65</v>
      </c>
      <c r="U38" s="1325">
        <f t="shared" si="11"/>
        <v>100</v>
      </c>
      <c r="V38" s="1324" t="s">
        <v>65</v>
      </c>
      <c r="W38" s="1325">
        <f t="shared" si="12"/>
        <v>100</v>
      </c>
      <c r="X38" s="1318"/>
      <c r="Y38" s="3713"/>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713"/>
      <c r="Q39" s="1323">
        <f t="shared" si="14"/>
        <v>111</v>
      </c>
      <c r="R39" s="1324" t="s">
        <v>65</v>
      </c>
      <c r="S39" s="1325">
        <f t="shared" si="10"/>
        <v>100</v>
      </c>
      <c r="T39" s="1324" t="s">
        <v>65</v>
      </c>
      <c r="U39" s="1325">
        <f t="shared" si="11"/>
        <v>100</v>
      </c>
      <c r="V39" s="1324" t="s">
        <v>65</v>
      </c>
      <c r="W39" s="1325">
        <f t="shared" si="12"/>
        <v>100</v>
      </c>
      <c r="X39" s="1318"/>
      <c r="Y39" s="3713"/>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713"/>
      <c r="Q40" s="1323">
        <f t="shared" si="14"/>
        <v>111</v>
      </c>
      <c r="R40" s="1329" t="s">
        <v>65</v>
      </c>
      <c r="S40" s="1330">
        <f t="shared" si="10"/>
        <v>100</v>
      </c>
      <c r="T40" s="1329" t="s">
        <v>65</v>
      </c>
      <c r="U40" s="1330">
        <f t="shared" si="11"/>
        <v>100</v>
      </c>
      <c r="V40" s="1329" t="s">
        <v>65</v>
      </c>
      <c r="W40" s="1330">
        <f t="shared" si="12"/>
        <v>100</v>
      </c>
      <c r="X40" s="1331"/>
      <c r="Y40" s="3713"/>
      <c r="Z40" s="1332">
        <f t="shared" si="13"/>
        <v>111</v>
      </c>
      <c r="AA40" s="1327">
        <f t="shared" si="3"/>
        <v>1</v>
      </c>
      <c r="AB40" s="1327">
        <f t="shared" si="4"/>
        <v>1</v>
      </c>
      <c r="AC40" s="1327">
        <f t="shared" si="5"/>
        <v>1</v>
      </c>
    </row>
    <row r="41" spans="1:29" ht="15">
      <c r="A41" s="822" t="s">
        <v>490</v>
      </c>
      <c r="B41" s="207" t="s">
        <v>3023</v>
      </c>
      <c r="C41" s="1091" t="s">
        <v>23</v>
      </c>
      <c r="D41" s="824"/>
      <c r="E41" s="825"/>
      <c r="F41" s="826"/>
      <c r="G41" s="827"/>
      <c r="H41" s="828"/>
      <c r="I41" s="825"/>
      <c r="J41" s="828"/>
      <c r="K41" s="1400"/>
      <c r="L41" s="2359"/>
      <c r="M41" s="2347"/>
      <c r="N41" s="2347"/>
      <c r="O41" s="2360"/>
      <c r="P41" s="3695" t="str">
        <f>A41</f>
        <v>成交单价</v>
      </c>
      <c r="Q41" s="3695"/>
      <c r="R41" s="3708">
        <f>E41</f>
        <v>0</v>
      </c>
      <c r="S41" s="3708"/>
      <c r="T41" s="3708">
        <f>G41</f>
        <v>0</v>
      </c>
      <c r="U41" s="3708"/>
      <c r="V41" s="3708">
        <f>I41</f>
        <v>0</v>
      </c>
      <c r="W41" s="3708"/>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59"/>
      <c r="M42" s="2347"/>
      <c r="N42" s="2347"/>
      <c r="O42" s="2360"/>
      <c r="P42" s="3695" t="str">
        <f>A42</f>
        <v>比较价值（元/平方米）</v>
      </c>
      <c r="Q42" s="3695"/>
      <c r="R42" s="3718" t="e">
        <f>ROUND(PRODUCT(R41,AA7:AA40),0)</f>
        <v>#DIV/0!</v>
      </c>
      <c r="S42" s="3718"/>
      <c r="T42" s="3718" t="e">
        <f>ROUND(PRODUCT(T41,AB7:AB40),0)</f>
        <v>#DIV/0!</v>
      </c>
      <c r="U42" s="3718"/>
      <c r="V42" s="3718" t="e">
        <f>ROUND(PRODUCT(V41,AC7:AC40),0)</f>
        <v>#DIV/0!</v>
      </c>
      <c r="W42" s="3718"/>
      <c r="X42" s="1307"/>
      <c r="Y42" s="1307"/>
      <c r="Z42" s="1307"/>
      <c r="AA42" s="1307"/>
      <c r="AB42" s="1307"/>
      <c r="AC42" s="1307"/>
    </row>
    <row r="43" spans="1:29" ht="15.75" thickBot="1">
      <c r="A43" s="115" t="s">
        <v>3016</v>
      </c>
      <c r="B43" s="836"/>
      <c r="C43" s="837" t="e">
        <f>R43</f>
        <v>#DIV/0!</v>
      </c>
      <c r="D43" s="837"/>
      <c r="E43" s="837"/>
      <c r="F43" s="837"/>
      <c r="G43" s="837"/>
      <c r="H43" s="837"/>
      <c r="I43" s="837"/>
      <c r="J43" s="837"/>
      <c r="K43" s="1402"/>
      <c r="L43" s="2359"/>
      <c r="M43" s="2347"/>
      <c r="N43" s="2347"/>
      <c r="O43" s="2360"/>
      <c r="P43" s="3715" t="str">
        <f>A43</f>
        <v>估价对象XX用房的比较价值（楼面单价，元/平方米）</v>
      </c>
      <c r="Q43" s="3716"/>
      <c r="R43" s="3719" t="e">
        <f>ROUND(AVERAGE(R42:V42),0)</f>
        <v>#DIV/0!</v>
      </c>
      <c r="S43" s="3719"/>
      <c r="T43" s="3719"/>
      <c r="U43" s="3719"/>
      <c r="V43" s="3719"/>
      <c r="W43" s="3719"/>
      <c r="X43" s="1307"/>
      <c r="Y43" s="1307"/>
      <c r="Z43" s="1307"/>
      <c r="AA43" s="1307"/>
      <c r="AB43" s="1307"/>
      <c r="AC43" s="1307"/>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10"/>
      <c r="D49" s="1308"/>
      <c r="E49" s="1308"/>
      <c r="F49" s="1308"/>
      <c r="G49" s="1308"/>
      <c r="H49" s="1308"/>
      <c r="I49" s="1308"/>
      <c r="J49" s="1308"/>
      <c r="K49" s="2364"/>
      <c r="L49" s="2365"/>
      <c r="M49" s="2361"/>
      <c r="N49" s="2361"/>
      <c r="O49" s="2361"/>
    </row>
    <row r="50" spans="1:17" ht="27">
      <c r="A50" s="1093" t="s">
        <v>491</v>
      </c>
      <c r="B50" s="1094" t="s">
        <v>492</v>
      </c>
      <c r="C50" s="1774" t="s">
        <v>1885</v>
      </c>
      <c r="D50" s="2391" t="s">
        <v>2323</v>
      </c>
      <c r="E50" s="1095" t="s">
        <v>493</v>
      </c>
      <c r="F50" s="1096" t="s">
        <v>494</v>
      </c>
      <c r="G50" s="3720" t="s">
        <v>2316</v>
      </c>
      <c r="H50" s="3721"/>
      <c r="I50" s="2181" t="s">
        <v>1884</v>
      </c>
      <c r="J50" s="1764">
        <f>项目基本情况!F35</f>
        <v>0</v>
      </c>
      <c r="K50" s="2374" t="s">
        <v>1886</v>
      </c>
      <c r="L50" s="2187"/>
      <c r="M50" s="2360"/>
      <c r="N50" s="2360"/>
      <c r="O50" s="2360"/>
    </row>
    <row r="51" spans="1:17" s="1101" customFormat="1">
      <c r="A51" s="1097" t="s">
        <v>495</v>
      </c>
      <c r="B51" s="1098" t="e">
        <f>C43</f>
        <v>#DIV/0!</v>
      </c>
      <c r="C51" s="1099">
        <v>1</v>
      </c>
      <c r="D51" s="2392">
        <v>1</v>
      </c>
      <c r="E51" s="1099">
        <f>'数据-汇总表'!E8+'数据-汇总表'!E9</f>
        <v>2099.0100000000002</v>
      </c>
      <c r="F51" s="1100" t="e">
        <f t="shared" ref="F51:F60" si="15">ROUND(B51*E51/10000,0)</f>
        <v>#DIV/0!</v>
      </c>
      <c r="G51" s="3722"/>
      <c r="H51" s="3723"/>
      <c r="I51" s="1772">
        <v>1</v>
      </c>
      <c r="J51" s="1772">
        <v>1</v>
      </c>
      <c r="K51" s="2361"/>
      <c r="L51" s="1771"/>
      <c r="M51" s="1771"/>
      <c r="N51" s="1771"/>
      <c r="O51" s="1771"/>
    </row>
    <row r="52" spans="1:17" s="1101" customFormat="1">
      <c r="A52" s="1102" t="s">
        <v>496</v>
      </c>
      <c r="B52" s="594" t="e">
        <f>ROUND($C$43*C52*D52,0)</f>
        <v>#DIV/0!</v>
      </c>
      <c r="C52" s="532">
        <f t="shared" ref="C52:C60" si="16">IF($C$50="北京市系数",I52,J52)</f>
        <v>0.7</v>
      </c>
      <c r="D52" s="2393">
        <v>0.25</v>
      </c>
      <c r="E52" s="1103"/>
      <c r="F52" s="1100" t="e">
        <f t="shared" si="15"/>
        <v>#DIV/0!</v>
      </c>
      <c r="G52" s="3724" t="s">
        <v>2317</v>
      </c>
      <c r="H52" s="2185" t="str">
        <f>项目基本情况!B37</f>
        <v>三级</v>
      </c>
      <c r="I52" s="1772">
        <f>SUMIF(修正!A45:A56,H52,修正!B45:B56)</f>
        <v>0.7</v>
      </c>
      <c r="J52" s="1773"/>
      <c r="K52" s="2360"/>
      <c r="L52" s="1771"/>
      <c r="M52" s="1771"/>
      <c r="N52" s="1771"/>
      <c r="O52" s="1771"/>
    </row>
    <row r="53" spans="1:17" s="1101" customFormat="1">
      <c r="A53" s="1102" t="s">
        <v>497</v>
      </c>
      <c r="B53" s="594" t="e">
        <f t="shared" ref="B53:B60" si="17">ROUND($C$43*C53*D53,0)</f>
        <v>#DIV/0!</v>
      </c>
      <c r="C53" s="532">
        <f t="shared" si="16"/>
        <v>0.4</v>
      </c>
      <c r="D53" s="2393">
        <v>0.25</v>
      </c>
      <c r="E53" s="1103"/>
      <c r="F53" s="1100" t="e">
        <f t="shared" si="15"/>
        <v>#DIV/0!</v>
      </c>
      <c r="G53" s="3724"/>
      <c r="H53" s="2185" t="str">
        <f>项目基本情况!B37</f>
        <v>三级</v>
      </c>
      <c r="I53" s="1772">
        <f>SUMIF(修正!A45:A56,H53,修正!C45:C56)</f>
        <v>0.4</v>
      </c>
      <c r="J53" s="1773"/>
      <c r="K53" s="2361"/>
      <c r="L53" s="1771"/>
      <c r="M53" s="1771"/>
      <c r="N53" s="1771"/>
      <c r="O53" s="1771"/>
    </row>
    <row r="54" spans="1:17" s="1101" customFormat="1">
      <c r="A54" s="1102" t="s">
        <v>498</v>
      </c>
      <c r="B54" s="594" t="e">
        <f t="shared" si="17"/>
        <v>#DIV/0!</v>
      </c>
      <c r="C54" s="532">
        <f t="shared" si="16"/>
        <v>0.28000000000000003</v>
      </c>
      <c r="D54" s="2393">
        <v>0.25</v>
      </c>
      <c r="E54" s="1103"/>
      <c r="F54" s="1100" t="e">
        <f t="shared" si="15"/>
        <v>#DIV/0!</v>
      </c>
      <c r="G54" s="3724"/>
      <c r="H54" s="2185" t="str">
        <f>项目基本情况!B37</f>
        <v>三级</v>
      </c>
      <c r="I54" s="1772">
        <f>SUMIF(修正!A45:A56,H54,修正!D45:D56)</f>
        <v>0.28000000000000003</v>
      </c>
      <c r="J54" s="1773"/>
      <c r="K54" s="2360"/>
      <c r="L54" s="1771"/>
      <c r="M54" s="1771"/>
      <c r="N54" s="1771"/>
      <c r="O54" s="1771"/>
    </row>
    <row r="55" spans="1:17" s="1101" customFormat="1">
      <c r="A55" s="1102" t="s">
        <v>499</v>
      </c>
      <c r="B55" s="594" t="e">
        <f t="shared" si="17"/>
        <v>#DIV/0!</v>
      </c>
      <c r="C55" s="532">
        <f t="shared" si="16"/>
        <v>0.25</v>
      </c>
      <c r="D55" s="2393">
        <v>0.25</v>
      </c>
      <c r="E55" s="1103"/>
      <c r="F55" s="1100" t="e">
        <f t="shared" si="15"/>
        <v>#DIV/0!</v>
      </c>
      <c r="G55" s="3724"/>
      <c r="H55" s="2185" t="str">
        <f>项目基本情况!B37</f>
        <v>三级</v>
      </c>
      <c r="I55" s="1772">
        <f>SUMIF(修正!A45:A56,H55,修正!E45:E56)</f>
        <v>0.25</v>
      </c>
      <c r="J55" s="1773"/>
      <c r="K55" s="2361"/>
      <c r="L55" s="1771"/>
      <c r="M55" s="1771"/>
      <c r="N55" s="1771"/>
      <c r="O55" s="1771"/>
    </row>
    <row r="56" spans="1:17" s="1101" customFormat="1">
      <c r="A56" s="2512" t="s">
        <v>2399</v>
      </c>
      <c r="B56" s="594" t="e">
        <f t="shared" si="17"/>
        <v>#DIV/0!</v>
      </c>
      <c r="C56" s="532">
        <f t="shared" si="16"/>
        <v>0.25</v>
      </c>
      <c r="D56" s="2393">
        <v>0.25</v>
      </c>
      <c r="E56" s="593">
        <f>'数据-汇总表'!E11</f>
        <v>0</v>
      </c>
      <c r="F56" s="1100" t="e">
        <f t="shared" si="15"/>
        <v>#DIV/0!</v>
      </c>
      <c r="G56" s="2197" t="s">
        <v>2318</v>
      </c>
      <c r="H56" s="2185" t="str">
        <f>项目基本情况!C37</f>
        <v>三级</v>
      </c>
      <c r="I56" s="1772">
        <f>SUMIF(修正!A45:A56,H56,修正!F45:F56)</f>
        <v>0.25</v>
      </c>
      <c r="J56" s="1773"/>
      <c r="K56" s="2360"/>
      <c r="L56" s="1771"/>
      <c r="M56" s="1771"/>
      <c r="N56" s="1771"/>
      <c r="O56" s="1771"/>
    </row>
    <row r="57" spans="1:17" s="1101" customFormat="1">
      <c r="A57" s="1102" t="s">
        <v>500</v>
      </c>
      <c r="B57" s="594" t="e">
        <f t="shared" si="17"/>
        <v>#DIV/0!</v>
      </c>
      <c r="C57" s="532">
        <f t="shared" si="16"/>
        <v>0.25</v>
      </c>
      <c r="D57" s="2393">
        <v>0.25</v>
      </c>
      <c r="E57" s="593">
        <f>'数据-汇总表'!E12</f>
        <v>0</v>
      </c>
      <c r="F57" s="1100" t="e">
        <f t="shared" si="15"/>
        <v>#DIV/0!</v>
      </c>
      <c r="G57" s="2191" t="s">
        <v>141</v>
      </c>
      <c r="H57" s="2185" t="str">
        <f>IF(G57="商业",项目基本情况!B37,IF(G57="办公",项目基本情况!C37,IF(G57="住宅",项目基本情况!D37,项目基本情况!E37)))</f>
        <v>三级</v>
      </c>
      <c r="I57" s="1772">
        <f>SUMIF(修正!A45:A56,H57,修正!G45:G56)</f>
        <v>0.25</v>
      </c>
      <c r="J57" s="1773"/>
      <c r="K57" s="2361"/>
      <c r="L57" s="1771"/>
      <c r="M57" s="1771"/>
      <c r="N57" s="1771"/>
      <c r="O57" s="1771"/>
    </row>
    <row r="58" spans="1:17" s="1101" customFormat="1">
      <c r="A58" s="1102" t="s">
        <v>501</v>
      </c>
      <c r="B58" s="594" t="e">
        <f t="shared" si="17"/>
        <v>#DIV/0!</v>
      </c>
      <c r="C58" s="532">
        <f t="shared" si="16"/>
        <v>0.2</v>
      </c>
      <c r="D58" s="2393">
        <v>0.25</v>
      </c>
      <c r="E58" s="593">
        <f>'数据-汇总表'!E13</f>
        <v>0</v>
      </c>
      <c r="F58" s="1100" t="e">
        <f t="shared" si="15"/>
        <v>#DIV/0!</v>
      </c>
      <c r="G58" s="2191" t="s">
        <v>40</v>
      </c>
      <c r="H58" s="2185" t="str">
        <f>IF(G58="商业",项目基本情况!B37,IF(G58="办公",项目基本情况!C37,IF(G58="住宅",项目基本情况!D37,项目基本情况!E37)))</f>
        <v>三级</v>
      </c>
      <c r="I58" s="1772">
        <f>SUMIF(修正!A45:A56,H58,修正!H45:H56)</f>
        <v>0.2</v>
      </c>
      <c r="J58" s="1773"/>
      <c r="K58" s="2360"/>
      <c r="L58" s="1771"/>
      <c r="M58" s="1771"/>
      <c r="N58" s="1771"/>
      <c r="O58" s="1771"/>
    </row>
    <row r="59" spans="1:17" s="1101" customFormat="1">
      <c r="A59" s="1102" t="s">
        <v>502</v>
      </c>
      <c r="B59" s="594" t="e">
        <f t="shared" si="17"/>
        <v>#DIV/0!</v>
      </c>
      <c r="C59" s="532">
        <f t="shared" si="16"/>
        <v>0.2</v>
      </c>
      <c r="D59" s="2393">
        <v>0.25</v>
      </c>
      <c r="E59" s="593">
        <f>'数据-汇总表'!E14</f>
        <v>0</v>
      </c>
      <c r="F59" s="1100" t="e">
        <f t="shared" si="15"/>
        <v>#DIV/0!</v>
      </c>
      <c r="G59" s="2197" t="s">
        <v>2319</v>
      </c>
      <c r="H59" s="2185" t="str">
        <f>项目基本情况!B37</f>
        <v>三级</v>
      </c>
      <c r="I59" s="1772">
        <f>SUMIF(修正!A45:A56,H59,修正!H45:H56)</f>
        <v>0.2</v>
      </c>
      <c r="J59" s="1773"/>
      <c r="K59" s="2361"/>
      <c r="L59" s="1771"/>
      <c r="M59" s="1771"/>
      <c r="N59" s="1771"/>
      <c r="O59" s="1771"/>
    </row>
    <row r="60" spans="1:17" s="1101" customFormat="1" ht="15" thickBot="1">
      <c r="A60" s="1102" t="s">
        <v>503</v>
      </c>
      <c r="B60" s="594" t="e">
        <f t="shared" si="17"/>
        <v>#DIV/0!</v>
      </c>
      <c r="C60" s="532">
        <f t="shared" si="16"/>
        <v>0.2</v>
      </c>
      <c r="D60" s="2393">
        <v>0.25</v>
      </c>
      <c r="E60" s="593">
        <f>'数据-汇总表'!E15</f>
        <v>0</v>
      </c>
      <c r="F60" s="1100" t="e">
        <f t="shared" si="15"/>
        <v>#DIV/0!</v>
      </c>
      <c r="G60" s="2198" t="s">
        <v>2318</v>
      </c>
      <c r="H60" s="2199" t="str">
        <f>项目基本情况!C37</f>
        <v>三级</v>
      </c>
      <c r="I60" s="1772">
        <f>SUMIF(修正!A45:A56,H60,修正!H45:H56)</f>
        <v>0.2</v>
      </c>
      <c r="J60" s="1773"/>
      <c r="K60" s="2360"/>
      <c r="L60" s="1771"/>
      <c r="M60" s="1771"/>
      <c r="N60" s="1771"/>
      <c r="O60" s="1771"/>
    </row>
    <row r="61" spans="1:17" s="1101" customFormat="1" ht="15" thickBot="1">
      <c r="A61" s="1104" t="s">
        <v>504</v>
      </c>
      <c r="B61" s="1105" t="s">
        <v>156</v>
      </c>
      <c r="C61" s="1105" t="s">
        <v>157</v>
      </c>
      <c r="D61" s="1105" t="s">
        <v>2324</v>
      </c>
      <c r="E61" s="1105">
        <f>IF(B41="楼面地价",SUM(E51:E60),'数据-汇总表'!D3)</f>
        <v>215.3</v>
      </c>
      <c r="F61" s="1106" t="e">
        <f>IF(B41="楼面地价",SUM(F51:F60),ROUND(C43*E61/10000,0))</f>
        <v>#DIV/0!</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6"/>
      <c r="P64" s="846"/>
      <c r="Q64" s="847"/>
    </row>
    <row r="65" spans="1:17" s="851" customFormat="1" ht="15">
      <c r="A65" s="2703" t="s">
        <v>2790</v>
      </c>
      <c r="B65" s="2704"/>
      <c r="C65" s="3034" t="str">
        <f>YEAR(C63)&amp;"-"&amp;ROUNDUP(MONTH(C63)/3,0)</f>
        <v>2017-3</v>
      </c>
      <c r="D65" s="3034" t="str">
        <f t="shared" ref="D65:O65" si="19">YEAR(D63)&amp;"-"&amp;ROUNDUP(MONTH(D63)/3,0)</f>
        <v>2017-2</v>
      </c>
      <c r="E65" s="3034" t="str">
        <f t="shared" si="19"/>
        <v>2017-1</v>
      </c>
      <c r="F65" s="3034" t="str">
        <f t="shared" si="19"/>
        <v>2016-4</v>
      </c>
      <c r="G65" s="3034" t="str">
        <f t="shared" si="19"/>
        <v>2016-3</v>
      </c>
      <c r="H65" s="3034" t="str">
        <f t="shared" si="19"/>
        <v>2016-2</v>
      </c>
      <c r="I65" s="3034" t="str">
        <f t="shared" si="19"/>
        <v>2016-1</v>
      </c>
      <c r="J65" s="3034" t="str">
        <f t="shared" si="19"/>
        <v>2015-4</v>
      </c>
      <c r="K65" s="3034" t="str">
        <f t="shared" si="19"/>
        <v>2015-3</v>
      </c>
      <c r="L65" s="3034" t="str">
        <f t="shared" si="19"/>
        <v>2015-2</v>
      </c>
      <c r="M65" s="3034" t="str">
        <f t="shared" si="19"/>
        <v>2015-1</v>
      </c>
      <c r="N65" s="3034" t="str">
        <f t="shared" si="19"/>
        <v>2014-4</v>
      </c>
      <c r="O65" s="3034" t="str">
        <f t="shared" si="19"/>
        <v>2014-3</v>
      </c>
      <c r="P65" s="850"/>
    </row>
    <row r="66" spans="1:17" s="407" customFormat="1" ht="30.75" customHeight="1">
      <c r="A66" s="3030" t="s">
        <v>2789</v>
      </c>
      <c r="B66" s="664" t="str">
        <f>"北京市平均增长率"&amp;TEXT('基准地价修正-2层'!P24,"0.00%")</f>
        <v>北京市平均增长率1.37%</v>
      </c>
      <c r="C66" s="946">
        <v>100</v>
      </c>
      <c r="D66" s="938"/>
      <c r="E66" s="938"/>
      <c r="F66" s="938"/>
      <c r="G66" s="938"/>
      <c r="H66" s="938"/>
      <c r="I66" s="938"/>
      <c r="J66" s="938"/>
      <c r="K66" s="938"/>
      <c r="L66" s="938"/>
      <c r="M66" s="3028"/>
      <c r="N66" s="3028"/>
      <c r="O66" s="3031"/>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418</v>
      </c>
      <c r="B70" s="871" t="s">
        <v>419</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404</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15.75" thickTop="1">
      <c r="A87" s="922"/>
      <c r="B87" s="1054" t="s">
        <v>109</v>
      </c>
      <c r="C87" s="916" t="s">
        <v>425</v>
      </c>
      <c r="D87" s="916" t="s">
        <v>426</v>
      </c>
      <c r="E87" s="916" t="s">
        <v>427</v>
      </c>
      <c r="F87" s="916" t="s">
        <v>428</v>
      </c>
      <c r="G87" s="916" t="s">
        <v>429</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2667</v>
      </c>
      <c r="C91" s="916" t="s">
        <v>425</v>
      </c>
      <c r="D91" s="916" t="s">
        <v>426</v>
      </c>
      <c r="E91" s="916" t="s">
        <v>427</v>
      </c>
      <c r="F91" s="916" t="s">
        <v>428</v>
      </c>
      <c r="G91" s="916" t="s">
        <v>429</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2669</v>
      </c>
      <c r="C93" s="213" t="s">
        <v>2655</v>
      </c>
      <c r="D93" s="213" t="s">
        <v>2656</v>
      </c>
      <c r="E93" s="213" t="s">
        <v>2657</v>
      </c>
      <c r="F93" s="213" t="s">
        <v>2658</v>
      </c>
      <c r="G93" s="213" t="s">
        <v>2659</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7"/>
      <c r="N94" s="2370"/>
      <c r="O94" s="2370"/>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144</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153</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5" t="str">
        <f t="shared" si="25"/>
        <v>(含)-</v>
      </c>
      <c r="L107" s="3295" t="str">
        <f t="shared" si="25"/>
        <v>(含)-</v>
      </c>
      <c r="M107" s="3296"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86</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2501</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85</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8" sqref="G48:G5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1792</v>
      </c>
      <c r="B1" s="1474"/>
      <c r="C1" s="86" t="s">
        <v>2502</v>
      </c>
      <c r="D1" s="1736">
        <f>SUM(D29:D30,D33:D39)</f>
        <v>2099.0100000000002</v>
      </c>
      <c r="E1" s="1621"/>
      <c r="F1" s="1621"/>
      <c r="G1" s="1621"/>
      <c r="H1" s="1621"/>
      <c r="I1" s="1621"/>
      <c r="J1" s="1621"/>
      <c r="K1" s="2380"/>
      <c r="L1" s="1882" t="s">
        <v>1224</v>
      </c>
      <c r="M1" s="2135">
        <f>SUMPRODUCT((区片价!B5:B9=I2)*(区片价!C3:F3=E2)*(区片价!C5:F9))</f>
        <v>0</v>
      </c>
      <c r="N1" s="2138">
        <f>SUMPRODUCT((因素修正幅度!B5:B9=I2)*(因素修正幅度!C3:F3=E2)*(因素修正幅度!C5:F9))</f>
        <v>0</v>
      </c>
      <c r="O1" s="2384"/>
      <c r="P1" s="2384"/>
      <c r="Q1" s="2380"/>
      <c r="R1" s="3069" t="s">
        <v>2889</v>
      </c>
      <c r="S1" s="3069" t="s">
        <v>1760</v>
      </c>
      <c r="T1" s="3069" t="s">
        <v>2891</v>
      </c>
      <c r="U1" s="3069" t="s">
        <v>2892</v>
      </c>
      <c r="V1" s="3069" t="s">
        <v>1854</v>
      </c>
      <c r="W1" s="3070"/>
      <c r="X1" s="3070"/>
      <c r="Y1" s="3070"/>
      <c r="Z1" s="3070"/>
      <c r="AA1" s="3070"/>
      <c r="AB1" s="3070"/>
      <c r="AC1" s="3071"/>
      <c r="AD1" s="3072"/>
      <c r="AE1" s="3072"/>
      <c r="AF1" s="3072"/>
      <c r="AG1" s="3072"/>
      <c r="AH1" s="3072"/>
      <c r="AI1" s="3072"/>
      <c r="AJ1" s="3073"/>
    </row>
    <row r="2" spans="1:36" ht="15.75">
      <c r="A2" s="86" t="s">
        <v>1793</v>
      </c>
      <c r="B2" s="580" t="e">
        <f ca="1">C26</f>
        <v>#DIV/0!</v>
      </c>
      <c r="C2" s="1472" t="s">
        <v>1098</v>
      </c>
      <c r="D2" s="1626" t="s">
        <v>68</v>
      </c>
      <c r="E2" s="1780" t="s">
        <v>3042</v>
      </c>
      <c r="F2" s="1626" t="s">
        <v>1558</v>
      </c>
      <c r="G2" s="1603" t="str">
        <f>IF(E2="商业",项目基本情况!B37,IF(E2="办公",项目基本情况!C37,IF(E2="住宅",项目基本情况!D37,项目基本情况!E37)))</f>
        <v>三级</v>
      </c>
      <c r="H2" s="1626" t="s">
        <v>1211</v>
      </c>
      <c r="I2" s="1603" t="str">
        <f>IF(E2="商业",项目基本情况!B38,IF(E2="办公",项目基本情况!C38,IF(E2="住宅",项目基本情况!D38,项目基本情况!E38)))</f>
        <v>Ⅲ—16</v>
      </c>
      <c r="J2" s="1627"/>
      <c r="K2" s="2380"/>
      <c r="L2" s="1883" t="s">
        <v>1281</v>
      </c>
      <c r="M2" s="2136">
        <f>SUMPRODUCT((区片价!B10:B28=I2)*(区片价!C3:F3=E2)*(区片价!C10:F28))</f>
        <v>0</v>
      </c>
      <c r="N2" s="2138">
        <f>SUMPRODUCT((因素修正幅度!B10:B28=I2)*(因素修正幅度!C3:F3=E2)*(因素修正幅度!C10:F28))</f>
        <v>0</v>
      </c>
      <c r="O2" s="2380"/>
      <c r="P2" s="2380"/>
      <c r="Q2" s="2380"/>
      <c r="R2" s="3074">
        <v>1</v>
      </c>
      <c r="S2" s="3074">
        <f>ROUND(IF(G3&gt;1,IF(R2&lt;7,SUMPRODUCT((B93:B98=R2)*(C92:N92=G2)*(C93:N98)),SUMIF(C92:N92,G2,C100:N100)),IF(R2&lt;7,SUMPRODUCT((B102:B107=R2)*(C92:N92=G2)*(C102:N107)),SUMIF(C92:N92,G2,C109:N109))),4)</f>
        <v>1.8629</v>
      </c>
      <c r="T2" s="3074" t="e">
        <f ca="1">ROUND($C$5*$C$18*$C$19*$C$20*S2*$C$24,0)</f>
        <v>#DIV/0!</v>
      </c>
      <c r="U2" s="3075"/>
      <c r="V2" s="3074" t="e">
        <f ca="1">ROUND(T2*U2/10000,0)</f>
        <v>#DIV/0!</v>
      </c>
      <c r="W2" s="3070"/>
      <c r="X2" s="3070"/>
      <c r="Y2" s="3070"/>
      <c r="Z2" s="3070"/>
      <c r="AA2" s="3070"/>
      <c r="AB2" s="3070"/>
      <c r="AC2" s="3071"/>
      <c r="AD2" s="3072"/>
      <c r="AE2" s="3072"/>
      <c r="AF2" s="3072"/>
      <c r="AG2" s="3072"/>
      <c r="AH2" s="3072"/>
      <c r="AI2" s="3072"/>
      <c r="AJ2" s="3073"/>
    </row>
    <row r="3" spans="1:36" ht="15.75">
      <c r="A3" s="87" t="s">
        <v>1797</v>
      </c>
      <c r="B3" s="580" t="e">
        <f ca="1">ROUND(B2*10000/D1,0)</f>
        <v>#DIV/0!</v>
      </c>
      <c r="C3" s="1472" t="s">
        <v>1099</v>
      </c>
      <c r="D3" s="1626" t="s">
        <v>1137</v>
      </c>
      <c r="E3" s="1781" t="s">
        <v>3099</v>
      </c>
      <c r="F3" s="1782" t="s">
        <v>3024</v>
      </c>
      <c r="G3" s="1628">
        <f>IF(F3="宗地容积率",'数据-汇总表'!I4,IF(F3="估价对象容积率",'数据-汇总表'!I6,'数据-汇总表'!I7))</f>
        <v>9.75</v>
      </c>
      <c r="H3" s="1629" t="s">
        <v>1138</v>
      </c>
      <c r="I3" s="1783">
        <v>1</v>
      </c>
      <c r="J3" s="1627" t="s">
        <v>1139</v>
      </c>
      <c r="K3" s="2380"/>
      <c r="L3" s="1883" t="s">
        <v>1454</v>
      </c>
      <c r="M3" s="2136">
        <f>SUMPRODUCT((区片价!B29:B48=I2)*(区片价!C3:F3=E2)*(区片价!C29:F48))</f>
        <v>23260</v>
      </c>
      <c r="N3" s="2138">
        <f>SUMPRODUCT((因素修正幅度!B29:B48=I2)*(因素修正幅度!C3:F3=E2)*(因素修正幅度!C29:F48))</f>
        <v>8.5999999999999993E-2</v>
      </c>
      <c r="O3" s="2380"/>
      <c r="P3" s="2380"/>
      <c r="Q3" s="2380"/>
      <c r="R3" s="3074">
        <v>2</v>
      </c>
      <c r="S3" s="3074">
        <f>ROUND(IF(G3&gt;1,IF(R3&lt;7,SUMPRODUCT((B93:B98=R3)*(C92:N92=G2)*(C93:N98)),SUMIF(C92:N92,G2,C100:N100)),IF(R3&lt;7,SUMPRODUCT((B102:B107=R3)*(C92:N92=G2)*(C102:N107)),SUMIF(C92:N92,G2,C109:N109))),4)</f>
        <v>1.3371999999999999</v>
      </c>
      <c r="T3" s="3074" t="e">
        <f t="shared" ref="T3:T16" ca="1" si="0">ROUND($C$5*$C$18*$C$19*$C$20*S3*$C$24,0)</f>
        <v>#DIV/0!</v>
      </c>
      <c r="U3" s="3075"/>
      <c r="V3" s="3074" t="e">
        <f t="shared" ref="V3:V16" ca="1" si="1">ROUND(T3*U3/10000,0)</f>
        <v>#DIV/0!</v>
      </c>
      <c r="W3" s="3070"/>
      <c r="X3" s="3070"/>
      <c r="Y3" s="3070"/>
      <c r="Z3" s="3070"/>
      <c r="AA3" s="3070"/>
      <c r="AB3" s="3070"/>
      <c r="AC3" s="3071"/>
      <c r="AD3" s="3072"/>
      <c r="AE3" s="3072"/>
      <c r="AF3" s="3072"/>
      <c r="AG3" s="3072"/>
      <c r="AH3" s="3072"/>
      <c r="AI3" s="3072"/>
      <c r="AJ3" s="3073"/>
    </row>
    <row r="4" spans="1:36" ht="15">
      <c r="A4" s="3742"/>
      <c r="B4" s="3743"/>
      <c r="C4" s="3743"/>
      <c r="D4" s="3744"/>
      <c r="E4" s="3744"/>
      <c r="F4" s="3744"/>
      <c r="G4" s="3744"/>
      <c r="H4" s="3744"/>
      <c r="I4" s="3744"/>
      <c r="J4" s="3745"/>
      <c r="K4" s="2380"/>
      <c r="L4" s="1883" t="s">
        <v>1135</v>
      </c>
      <c r="M4" s="2136">
        <f>SUMPRODUCT((区片价!B49:B75=I2)*(区片价!C3:F3=E2)*(区片价!C49:F75))</f>
        <v>0</v>
      </c>
      <c r="N4" s="2138">
        <f>SUMPRODUCT((因素修正幅度!B49:B75=I2)*(因素修正幅度!C3:F3=E2)*(因素修正幅度!C49:F75))</f>
        <v>0</v>
      </c>
      <c r="O4" s="2380"/>
      <c r="P4" s="2380"/>
      <c r="Q4" s="2380"/>
      <c r="R4" s="3074">
        <v>3</v>
      </c>
      <c r="S4" s="3074">
        <f>ROUND(IF(G3&gt;1,IF(R4&lt;7,SUMPRODUCT((B93:B98=R4)*(C92:N92=G2)*(C93:N98)),SUMIF(C92:N92,G2,C100:N100)),IF(R4&lt;7,SUMPRODUCT((B102:B107=R4)*(C92:N92=G2)*(C102:N107)),SUMIF(C92:N92,G2,C109:N109))),4)</f>
        <v>1.0788</v>
      </c>
      <c r="T4" s="3074" t="e">
        <f t="shared" ca="1" si="0"/>
        <v>#DIV/0!</v>
      </c>
      <c r="U4" s="3075"/>
      <c r="V4" s="3074" t="e">
        <f t="shared" ca="1" si="1"/>
        <v>#DIV/0!</v>
      </c>
      <c r="W4" s="3070"/>
      <c r="X4" s="3070"/>
      <c r="Y4" s="3070"/>
      <c r="Z4" s="3070"/>
      <c r="AA4" s="3070"/>
      <c r="AB4" s="3070"/>
      <c r="AC4" s="3071"/>
      <c r="AD4" s="3072"/>
      <c r="AE4" s="3072"/>
      <c r="AF4" s="3072"/>
      <c r="AG4" s="3072"/>
      <c r="AH4" s="3072"/>
      <c r="AI4" s="3072"/>
      <c r="AJ4" s="3073"/>
    </row>
    <row r="5" spans="1:36" s="1636" customFormat="1" ht="15.75" thickBot="1">
      <c r="A5" s="1876" t="s">
        <v>1934</v>
      </c>
      <c r="B5" s="1630" t="s">
        <v>1799</v>
      </c>
      <c r="C5" s="1631">
        <f>ROUND(IF(E2="商业",IF(F16="增加",C6*C7+C16,C6*C7-C16),IF(E2="住宅",IF(F16="增加",C6*C12+C16,C6*C12-C16),IF(F16="增加",C6+C16,C6-C16))),0)</f>
        <v>23240</v>
      </c>
      <c r="D5" s="3342">
        <f>ROUND(IF(E2="商业",IF(F16="增加",C6+C16,C6-C16)),0)</f>
        <v>23240</v>
      </c>
      <c r="E5" s="1632"/>
      <c r="F5" s="1632"/>
      <c r="G5" s="1633"/>
      <c r="H5" s="1633"/>
      <c r="I5" s="1633"/>
      <c r="J5" s="1634"/>
      <c r="K5" s="2385"/>
      <c r="L5" s="1883" t="s">
        <v>1535</v>
      </c>
      <c r="M5" s="2136">
        <f>SUMPRODUCT((区片价!B76:B109=I2)*(区片价!C3:F3=E2)*(区片价!C76:F109))</f>
        <v>0</v>
      </c>
      <c r="N5" s="2138">
        <f>SUMPRODUCT((因素修正幅度!B76:B109=I2)*(因素修正幅度!C3:F3=E2)*(因素修正幅度!C76:F109))</f>
        <v>0</v>
      </c>
      <c r="O5" s="2380"/>
      <c r="P5" s="2380"/>
      <c r="Q5" s="2380"/>
      <c r="R5" s="3074">
        <v>4</v>
      </c>
      <c r="S5" s="3074">
        <f>ROUND(IF(G3&gt;1,IF(R5&lt;7,SUMPRODUCT((B93:B98=R5)*(C92:N92=G2)*(C93:N98)),SUMIF(C92:N92,G2,C100:N100)),IF(R5&lt;7,SUMPRODUCT((B102:B107=R5)*(C92:N92=G2)*(C102:N107)),SUMIF(C92:N92,G2,C109:N109))),4)</f>
        <v>0.86560000000000004</v>
      </c>
      <c r="T5" s="3074" t="e">
        <f t="shared" ca="1" si="0"/>
        <v>#DIV/0!</v>
      </c>
      <c r="U5" s="3075"/>
      <c r="V5" s="3074" t="e">
        <f t="shared" ca="1" si="1"/>
        <v>#DIV/0!</v>
      </c>
      <c r="W5" s="3070"/>
      <c r="X5" s="3070"/>
      <c r="Y5" s="3070"/>
      <c r="Z5" s="3070"/>
      <c r="AA5" s="3070"/>
      <c r="AB5" s="3070"/>
      <c r="AC5" s="3076"/>
      <c r="AD5" s="3077"/>
      <c r="AE5" s="3077"/>
      <c r="AF5" s="3077"/>
      <c r="AG5" s="3077"/>
      <c r="AH5" s="3077"/>
      <c r="AI5" s="3077"/>
      <c r="AJ5" s="3078"/>
    </row>
    <row r="6" spans="1:36" ht="15.75" thickBot="1">
      <c r="A6" s="1880" t="s">
        <v>1941</v>
      </c>
      <c r="B6" s="1637" t="s">
        <v>1799</v>
      </c>
      <c r="C6" s="1638">
        <f>SUMIF(L1:L12,G2,M1:M12)</f>
        <v>23260</v>
      </c>
      <c r="D6" s="1639" t="s">
        <v>1800</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4">
        <v>5</v>
      </c>
      <c r="S6" s="3074">
        <f>ROUND(IF(G3&gt;1,IF(R6&lt;7,SUMPRODUCT((B93:B98=R6)*(C92:N92=G2)*(C93:N98)),SUMIF(C92:N92,G2,C100:N100)),IF(R6&lt;7,SUMPRODUCT((B102:B107=R6)*(C92:N92=G2)*(C102:N107)),SUMIF(C92:N92,G2,C109:N109))),4)</f>
        <v>0.73709999999999998</v>
      </c>
      <c r="T6" s="3074" t="e">
        <f t="shared" ca="1" si="0"/>
        <v>#DIV/0!</v>
      </c>
      <c r="U6" s="3075"/>
      <c r="V6" s="3074" t="e">
        <f t="shared" ca="1" si="1"/>
        <v>#DIV/0!</v>
      </c>
      <c r="W6" s="3070"/>
      <c r="X6" s="3070"/>
      <c r="Y6" s="3070"/>
      <c r="Z6" s="3070"/>
      <c r="AA6" s="3070"/>
      <c r="AB6" s="3070"/>
      <c r="AC6" s="3076"/>
      <c r="AD6" s="3077"/>
      <c r="AE6" s="3077"/>
      <c r="AF6" s="3077"/>
      <c r="AG6" s="3077"/>
      <c r="AH6" s="3077"/>
      <c r="AI6" s="3077"/>
      <c r="AJ6" s="3078"/>
    </row>
    <row r="7" spans="1:36" ht="24">
      <c r="A7" s="3735" t="str">
        <f>IF(E2="商业",IF(C8="不临58条商业街","",2),"")</f>
        <v/>
      </c>
      <c r="B7" s="1643" t="s">
        <v>1801</v>
      </c>
      <c r="C7" s="1644">
        <f>IF(C8="不临58条商业街",1,ROUND(1+(1.6*E8+1.2*E9+0.8*E10+0.4*E11)*C9,4))</f>
        <v>1</v>
      </c>
      <c r="D7" s="1645" t="s">
        <v>1802</v>
      </c>
      <c r="E7" s="1784"/>
      <c r="F7" s="1646"/>
      <c r="G7" s="1647"/>
      <c r="H7" s="1647"/>
      <c r="I7" s="1647"/>
      <c r="J7" s="1648"/>
      <c r="K7" s="2386"/>
      <c r="L7" s="1883" t="s">
        <v>1538</v>
      </c>
      <c r="M7" s="2136">
        <f>SUMPRODUCT((区片价!B158:B205=I2)*(区片价!C3:F3=E2)*(区片价!C158:F205))</f>
        <v>0</v>
      </c>
      <c r="N7" s="2138">
        <f>SUMPRODUCT((因素修正幅度!B158:B205=I2)*(因素修正幅度!C3:F3=E2)*(因素修正幅度!C158:F205))</f>
        <v>0</v>
      </c>
      <c r="O7" s="2380"/>
      <c r="P7" s="2380"/>
      <c r="Q7" s="2380"/>
      <c r="R7" s="3074">
        <v>6</v>
      </c>
      <c r="S7" s="3074">
        <f>ROUND(IF(G3&gt;1,IF(R7&lt;7,SUMPRODUCT((B93:B98=R7)*(C92:N92=G2)*(C93:N98)),SUMIF(C92:N92,G2,C100:N100)),IF(R7&lt;7,SUMPRODUCT((B102:B107=R7)*(C92:N92=G2)*(C102:N107)),SUMIF(C92:N92,G2,C109:N109))),4)</f>
        <v>0.6482</v>
      </c>
      <c r="T7" s="3074" t="e">
        <f t="shared" ca="1" si="0"/>
        <v>#DIV/0!</v>
      </c>
      <c r="U7" s="3075"/>
      <c r="V7" s="3074" t="e">
        <f t="shared" ca="1" si="1"/>
        <v>#DIV/0!</v>
      </c>
      <c r="W7" s="3364" t="s">
        <v>2894</v>
      </c>
      <c r="X7" s="3080" t="str">
        <f>G2</f>
        <v>三级</v>
      </c>
      <c r="Y7" s="3080" t="s">
        <v>93</v>
      </c>
      <c r="Z7" s="3081">
        <f>G3</f>
        <v>9.75</v>
      </c>
      <c r="AA7" s="3082"/>
      <c r="AB7" s="3082"/>
      <c r="AC7" s="3083"/>
      <c r="AD7" s="3084"/>
      <c r="AE7" s="3084"/>
      <c r="AF7" s="3084"/>
      <c r="AG7" s="3084"/>
      <c r="AH7" s="3084"/>
      <c r="AI7" s="3084"/>
      <c r="AJ7" s="3085"/>
    </row>
    <row r="8" spans="1:36" ht="24">
      <c r="A8" s="3736"/>
      <c r="B8" s="1629" t="s">
        <v>1803</v>
      </c>
      <c r="C8" s="1785" t="s">
        <v>3100</v>
      </c>
      <c r="D8" s="1649" t="s">
        <v>1140</v>
      </c>
      <c r="E8" s="1650" t="e">
        <f>ROUND(C11/E7,4)</f>
        <v>#DIV/0!</v>
      </c>
      <c r="F8" s="1651" t="s">
        <v>1804</v>
      </c>
      <c r="G8" s="1652"/>
      <c r="H8" s="1652"/>
      <c r="I8" s="1652"/>
      <c r="J8" s="1653"/>
      <c r="K8" s="2380"/>
      <c r="L8" s="1883" t="s">
        <v>1540</v>
      </c>
      <c r="M8" s="2136">
        <f>SUMPRODUCT((区片价!B206:B244=I2)*(区片价!C3:F3=E2)*(区片价!C206:F244))</f>
        <v>0</v>
      </c>
      <c r="N8" s="2138">
        <f>SUMPRODUCT((因素修正幅度!B206:B244=I2)*(因素修正幅度!C3:F3=E2)*(因素修正幅度!C206:F244))</f>
        <v>0</v>
      </c>
      <c r="O8" s="2380"/>
      <c r="P8" s="2380"/>
      <c r="Q8" s="2380"/>
      <c r="R8" s="3074">
        <v>7</v>
      </c>
      <c r="S8" s="3075"/>
      <c r="T8" s="3074" t="e">
        <f t="shared" ca="1" si="0"/>
        <v>#DIV/0!</v>
      </c>
      <c r="U8" s="3075"/>
      <c r="V8" s="3074" t="e">
        <f t="shared" ca="1" si="1"/>
        <v>#DIV/0!</v>
      </c>
      <c r="W8" s="3746" t="s">
        <v>2896</v>
      </c>
      <c r="X8" s="3747"/>
      <c r="Y8" s="3086" t="s">
        <v>165</v>
      </c>
      <c r="Z8" s="3086" t="s">
        <v>166</v>
      </c>
      <c r="AA8" s="3086" t="s">
        <v>161</v>
      </c>
      <c r="AB8" s="3086" t="s">
        <v>162</v>
      </c>
      <c r="AC8" s="3086" t="s">
        <v>163</v>
      </c>
      <c r="AD8" s="3086" t="s">
        <v>164</v>
      </c>
      <c r="AE8" s="3086" t="s">
        <v>1175</v>
      </c>
      <c r="AF8" s="3086" t="s">
        <v>1176</v>
      </c>
      <c r="AG8" s="3086" t="s">
        <v>1177</v>
      </c>
      <c r="AH8" s="3086" t="s">
        <v>1178</v>
      </c>
      <c r="AI8" s="3086" t="s">
        <v>1179</v>
      </c>
      <c r="AJ8" s="3086" t="s">
        <v>1180</v>
      </c>
    </row>
    <row r="9" spans="1:36" ht="15">
      <c r="A9" s="3736"/>
      <c r="B9" s="1629" t="s">
        <v>1624</v>
      </c>
      <c r="C9" s="1654">
        <f>SUMIF(修正!C59:C119,C8,修正!E59:E119)</f>
        <v>0</v>
      </c>
      <c r="D9" s="532" t="s">
        <v>1141</v>
      </c>
      <c r="E9" s="532" t="e">
        <f>ROUND(C11/E7,4)</f>
        <v>#DIV/0!</v>
      </c>
      <c r="F9" s="1651" t="s">
        <v>1806</v>
      </c>
      <c r="G9" s="1652"/>
      <c r="H9" s="1652"/>
      <c r="I9" s="1652"/>
      <c r="J9" s="1653"/>
      <c r="K9" s="2380"/>
      <c r="L9" s="1883" t="s">
        <v>1542</v>
      </c>
      <c r="M9" s="2136">
        <f>SUMPRODUCT((区片价!B245:B289=I2)*(区片价!C3:F3=E2)*(区片价!C245:F289))</f>
        <v>0</v>
      </c>
      <c r="N9" s="2138">
        <f>SUMPRODUCT((因素修正幅度!B245:B289=I2)*(因素修正幅度!C3:F3=E2)*(因素修正幅度!C245:F289))</f>
        <v>0</v>
      </c>
      <c r="O9" s="2380"/>
      <c r="P9" s="2380"/>
      <c r="Q9" s="2380"/>
      <c r="R9" s="3074">
        <v>8</v>
      </c>
      <c r="S9" s="3075"/>
      <c r="T9" s="3074" t="e">
        <f t="shared" ca="1" si="0"/>
        <v>#DIV/0!</v>
      </c>
      <c r="U9" s="3075"/>
      <c r="V9" s="3074" t="e">
        <f t="shared" ca="1" si="1"/>
        <v>#DIV/0!</v>
      </c>
      <c r="W9" s="3748" t="s">
        <v>2897</v>
      </c>
      <c r="X9" s="3087" t="s">
        <v>1762</v>
      </c>
      <c r="Y9" s="3309"/>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36"/>
      <c r="B10" s="1629" t="s">
        <v>1807</v>
      </c>
      <c r="C10" s="532">
        <f>SUMIF(修正!C59:C119,C8,修正!F59:F119)</f>
        <v>0</v>
      </c>
      <c r="D10" s="532" t="s">
        <v>1142</v>
      </c>
      <c r="E10" s="532" t="e">
        <f>ROUND(C11/E7,4)</f>
        <v>#DIV/0!</v>
      </c>
      <c r="F10" s="1651" t="s">
        <v>1808</v>
      </c>
      <c r="G10" s="1652"/>
      <c r="H10" s="1652"/>
      <c r="I10" s="1652"/>
      <c r="J10" s="1653"/>
      <c r="K10" s="2380"/>
      <c r="L10" s="1883" t="s">
        <v>1546</v>
      </c>
      <c r="M10" s="2136">
        <f>SUMPRODUCT((区片价!B290:B316=I2)*(区片价!C3:F3=E2)*(区片价!C290:F316))</f>
        <v>0</v>
      </c>
      <c r="N10" s="2138">
        <f>SUMPRODUCT((因素修正幅度!B290:B316=I2)*(因素修正幅度!C3:F3=E2)*(因素修正幅度!C290:F316))</f>
        <v>0</v>
      </c>
      <c r="O10" s="2380"/>
      <c r="P10" s="2380"/>
      <c r="Q10" s="2380"/>
      <c r="R10" s="3074">
        <v>9</v>
      </c>
      <c r="S10" s="3075"/>
      <c r="T10" s="3074" t="e">
        <f t="shared" ca="1" si="0"/>
        <v>#DIV/0!</v>
      </c>
      <c r="U10" s="3075"/>
      <c r="V10" s="3074" t="e">
        <f t="shared" ca="1" si="1"/>
        <v>#DIV/0!</v>
      </c>
      <c r="W10" s="3748"/>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36"/>
      <c r="B11" s="1655" t="s">
        <v>1809</v>
      </c>
      <c r="C11" s="1656">
        <f>C10/4</f>
        <v>0</v>
      </c>
      <c r="D11" s="1656" t="s">
        <v>1143</v>
      </c>
      <c r="E11" s="1656" t="e">
        <f>ROUND(C11/E7,4)</f>
        <v>#DIV/0!</v>
      </c>
      <c r="F11" s="1657" t="s">
        <v>1810</v>
      </c>
      <c r="G11" s="1658"/>
      <c r="H11" s="1658"/>
      <c r="I11" s="1658"/>
      <c r="J11" s="1659"/>
      <c r="K11" s="2380"/>
      <c r="L11" s="1883" t="s">
        <v>1944</v>
      </c>
      <c r="M11" s="2136">
        <f>SUMPRODUCT((区片价!B317:B337=I2)*(区片价!C3:F3=E2)*(区片价!C317:F337))</f>
        <v>0</v>
      </c>
      <c r="N11" s="2138">
        <f>SUMPRODUCT((因素修正幅度!B317:B337=I2)*(因素修正幅度!C3:F3=E2)*(因素修正幅度!C317:F337))</f>
        <v>0</v>
      </c>
      <c r="O11" s="2380"/>
      <c r="P11" s="2380"/>
      <c r="Q11" s="2380"/>
      <c r="R11" s="3074">
        <v>10</v>
      </c>
      <c r="S11" s="3075"/>
      <c r="T11" s="3074" t="e">
        <f t="shared" ca="1" si="0"/>
        <v>#DIV/0!</v>
      </c>
      <c r="U11" s="3075"/>
      <c r="V11" s="3074" t="e">
        <f t="shared" ca="1" si="1"/>
        <v>#DIV/0!</v>
      </c>
      <c r="W11" s="3748" t="s">
        <v>2898</v>
      </c>
      <c r="X11" s="3090" t="s">
        <v>93</v>
      </c>
      <c r="Y11" s="3091">
        <f>$G$3</f>
        <v>9.75</v>
      </c>
      <c r="Z11" s="3091">
        <f t="shared" ref="Z11:AJ11" si="3">$G$3</f>
        <v>9.75</v>
      </c>
      <c r="AA11" s="3091">
        <f t="shared" si="3"/>
        <v>9.75</v>
      </c>
      <c r="AB11" s="3091">
        <f t="shared" si="3"/>
        <v>9.75</v>
      </c>
      <c r="AC11" s="3091">
        <f t="shared" si="3"/>
        <v>9.75</v>
      </c>
      <c r="AD11" s="3091">
        <f t="shared" si="3"/>
        <v>9.75</v>
      </c>
      <c r="AE11" s="3091">
        <f t="shared" si="3"/>
        <v>9.75</v>
      </c>
      <c r="AF11" s="3091">
        <f t="shared" si="3"/>
        <v>9.75</v>
      </c>
      <c r="AG11" s="3091">
        <f t="shared" si="3"/>
        <v>9.75</v>
      </c>
      <c r="AH11" s="3091">
        <f t="shared" si="3"/>
        <v>9.75</v>
      </c>
      <c r="AI11" s="3091">
        <f t="shared" si="3"/>
        <v>9.75</v>
      </c>
      <c r="AJ11" s="3091">
        <f t="shared" si="3"/>
        <v>9.75</v>
      </c>
    </row>
    <row r="12" spans="1:36" ht="26.25" thickBot="1">
      <c r="A12" s="3735" t="s">
        <v>1942</v>
      </c>
      <c r="B12" s="1660" t="s">
        <v>1811</v>
      </c>
      <c r="C12" s="1644">
        <f>ROUND(C15*D15*E15*F15*G15*H15*I15*J15,4)</f>
        <v>1</v>
      </c>
      <c r="D12" s="1661" t="s">
        <v>1812</v>
      </c>
      <c r="E12" s="1662"/>
      <c r="F12" s="1662"/>
      <c r="G12" s="1663"/>
      <c r="H12" s="1663"/>
      <c r="I12" s="1663"/>
      <c r="J12" s="1664"/>
      <c r="K12" s="2380"/>
      <c r="L12" s="1884" t="s">
        <v>1945</v>
      </c>
      <c r="M12" s="2137">
        <f>SUMPRODUCT((区片价!B338:B344=I2)*(区片价!C3:F3=E2)*(区片价!C338:F344))</f>
        <v>0</v>
      </c>
      <c r="N12" s="2138">
        <f>SUMPRODUCT((因素修正幅度!B338:B344=I2)*(因素修正幅度!C3:F3=E2)*(因素修正幅度!C338:F344))</f>
        <v>0</v>
      </c>
      <c r="O12" s="2380"/>
      <c r="P12" s="2380"/>
      <c r="Q12" s="2380"/>
      <c r="R12" s="3074">
        <v>11</v>
      </c>
      <c r="S12" s="3075"/>
      <c r="T12" s="3074" t="e">
        <f t="shared" ca="1" si="0"/>
        <v>#DIV/0!</v>
      </c>
      <c r="U12" s="3075"/>
      <c r="V12" s="3074" t="e">
        <f t="shared" ca="1" si="1"/>
        <v>#DIV/0!</v>
      </c>
      <c r="W12" s="3748"/>
      <c r="X12" s="3092" t="s">
        <v>1765</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49"/>
      <c r="B13" s="1665" t="s">
        <v>1813</v>
      </c>
      <c r="C13" s="1666" t="s">
        <v>1814</v>
      </c>
      <c r="D13" s="1667" t="s">
        <v>1815</v>
      </c>
      <c r="E13" s="1667" t="s">
        <v>1816</v>
      </c>
      <c r="F13" s="81" t="s">
        <v>1144</v>
      </c>
      <c r="G13" s="1786" t="s">
        <v>1866</v>
      </c>
      <c r="H13" s="1786" t="s">
        <v>1866</v>
      </c>
      <c r="I13" s="1786" t="s">
        <v>1866</v>
      </c>
      <c r="J13" s="1787" t="s">
        <v>1866</v>
      </c>
      <c r="K13" s="2380"/>
      <c r="L13" s="2380"/>
      <c r="M13" s="2380"/>
      <c r="N13" s="2380"/>
      <c r="O13" s="2380"/>
      <c r="P13" s="2380"/>
      <c r="Q13" s="2380"/>
      <c r="R13" s="3074">
        <v>12</v>
      </c>
      <c r="S13" s="3075"/>
      <c r="T13" s="3074" t="e">
        <f t="shared" ca="1" si="0"/>
        <v>#DIV/0!</v>
      </c>
      <c r="U13" s="3075"/>
      <c r="V13" s="3074" t="e">
        <f t="shared" ca="1" si="1"/>
        <v>#DIV/0!</v>
      </c>
      <c r="W13" s="3748"/>
      <c r="X13" s="3092"/>
      <c r="Y13" s="3089">
        <f>(-0.163*(Y12^2)-0.59*Y12+7617)*(10^(-4))/Y11</f>
        <v>7.8123076923076934E-2</v>
      </c>
      <c r="Z13" s="3089">
        <f t="shared" ref="Z13:AJ13" si="5">(-0.163*(Z12^2)-0.59*Z12+7617)*(10^(-4))/Z11</f>
        <v>7.8123076923076934E-2</v>
      </c>
      <c r="AA13" s="3089">
        <f t="shared" si="5"/>
        <v>7.8123076923076934E-2</v>
      </c>
      <c r="AB13" s="3089">
        <f t="shared" si="5"/>
        <v>7.8123076923076934E-2</v>
      </c>
      <c r="AC13" s="3089">
        <f t="shared" si="5"/>
        <v>7.8123076923076934E-2</v>
      </c>
      <c r="AD13" s="3089">
        <f t="shared" si="5"/>
        <v>7.8123076923076934E-2</v>
      </c>
      <c r="AE13" s="3089">
        <f t="shared" si="5"/>
        <v>7.8123076923076934E-2</v>
      </c>
      <c r="AF13" s="3089">
        <f t="shared" si="5"/>
        <v>7.8123076923076934E-2</v>
      </c>
      <c r="AG13" s="3089">
        <f t="shared" si="5"/>
        <v>7.8123076923076934E-2</v>
      </c>
      <c r="AH13" s="3089">
        <f t="shared" si="5"/>
        <v>7.8123076923076934E-2</v>
      </c>
      <c r="AI13" s="3089">
        <f t="shared" si="5"/>
        <v>7.8123076923076934E-2</v>
      </c>
      <c r="AJ13" s="3089">
        <f t="shared" si="5"/>
        <v>7.8123076923076934E-2</v>
      </c>
    </row>
    <row r="14" spans="1:36" ht="15">
      <c r="A14" s="3749"/>
      <c r="B14" s="1668"/>
      <c r="C14" s="1788"/>
      <c r="D14" s="1485"/>
      <c r="E14" s="1485"/>
      <c r="F14" s="1789"/>
      <c r="G14" s="1669" t="s">
        <v>1844</v>
      </c>
      <c r="H14" s="1670"/>
      <c r="I14" s="1671"/>
      <c r="J14" s="1672"/>
      <c r="K14" s="2380"/>
      <c r="L14" s="2380"/>
      <c r="M14" s="2380"/>
      <c r="N14" s="2380"/>
      <c r="O14" s="2380"/>
      <c r="P14" s="2380"/>
      <c r="Q14" s="2380"/>
      <c r="R14" s="3074">
        <v>13</v>
      </c>
      <c r="S14" s="3075"/>
      <c r="T14" s="3074" t="e">
        <f t="shared" ca="1" si="0"/>
        <v>#DIV/0!</v>
      </c>
      <c r="U14" s="3075"/>
      <c r="V14" s="3074" t="e">
        <f t="shared" ca="1" si="1"/>
        <v>#DIV/0!</v>
      </c>
      <c r="W14" s="3070"/>
      <c r="X14" s="3070"/>
      <c r="Y14" s="3070"/>
      <c r="Z14" s="3070"/>
      <c r="AA14" s="3070"/>
      <c r="AB14" s="3070"/>
      <c r="AC14" s="3071"/>
      <c r="AD14" s="3072"/>
      <c r="AE14" s="3072"/>
      <c r="AF14" s="3072"/>
      <c r="AG14" s="3072"/>
      <c r="AH14" s="3072"/>
      <c r="AI14" s="3072"/>
      <c r="AJ14" s="3073"/>
    </row>
    <row r="15" spans="1:36" ht="15.75" thickBot="1">
      <c r="A15" s="3750"/>
      <c r="B15" s="1673" t="s">
        <v>1817</v>
      </c>
      <c r="C15" s="561">
        <f>IF(C14="有",1.1,1)</f>
        <v>1</v>
      </c>
      <c r="D15" s="561">
        <f>IF(D14="有",1.1,1)</f>
        <v>1</v>
      </c>
      <c r="E15" s="561">
        <f>IF(E14="有",1.1,1)</f>
        <v>1</v>
      </c>
      <c r="F15" s="561">
        <f>IF(F14="500米范围内",1.2,IF(F14="500-1000米",1.1,1))</f>
        <v>1</v>
      </c>
      <c r="G15" s="1790">
        <v>1</v>
      </c>
      <c r="H15" s="1790">
        <v>1</v>
      </c>
      <c r="I15" s="1790">
        <v>1</v>
      </c>
      <c r="J15" s="1791">
        <v>1</v>
      </c>
      <c r="K15" s="2380"/>
      <c r="L15" s="1704" t="s">
        <v>68</v>
      </c>
      <c r="M15" s="1705" t="s">
        <v>1</v>
      </c>
      <c r="N15" s="1705" t="s">
        <v>1160</v>
      </c>
      <c r="O15" s="1705" t="s">
        <v>981</v>
      </c>
      <c r="P15" s="1706" t="s">
        <v>1102</v>
      </c>
      <c r="Q15" s="2380"/>
      <c r="R15" s="3074">
        <v>14</v>
      </c>
      <c r="S15" s="3075"/>
      <c r="T15" s="3074" t="e">
        <f t="shared" ca="1" si="0"/>
        <v>#DIV/0!</v>
      </c>
      <c r="U15" s="3075"/>
      <c r="V15" s="3074" t="e">
        <f t="shared" ca="1" si="1"/>
        <v>#DIV/0!</v>
      </c>
      <c r="W15" s="3070"/>
      <c r="X15" s="3070"/>
      <c r="Y15" s="3070"/>
      <c r="Z15" s="3070"/>
      <c r="AA15" s="3070"/>
      <c r="AB15" s="3070"/>
      <c r="AC15" s="3071"/>
      <c r="AD15" s="3072"/>
      <c r="AE15" s="3072"/>
      <c r="AF15" s="3072"/>
      <c r="AG15" s="3072"/>
      <c r="AH15" s="3072"/>
      <c r="AI15" s="3072"/>
      <c r="AJ15" s="3073"/>
    </row>
    <row r="16" spans="1:36" ht="24">
      <c r="A16" s="3735" t="s">
        <v>1943</v>
      </c>
      <c r="B16" s="1643" t="s">
        <v>1818</v>
      </c>
      <c r="C16" s="3356">
        <f>ROUND(SUM(G17:J17)/C17,0)</f>
        <v>20</v>
      </c>
      <c r="D16" s="1674" t="s">
        <v>1819</v>
      </c>
      <c r="E16" s="1792" t="s">
        <v>3101</v>
      </c>
      <c r="F16" s="1793" t="s">
        <v>3102</v>
      </c>
      <c r="G16" s="1794" t="s">
        <v>3103</v>
      </c>
      <c r="H16" s="1794"/>
      <c r="I16" s="1794"/>
      <c r="J16" s="1795"/>
      <c r="K16" s="2380"/>
      <c r="L16" s="1710" t="s">
        <v>1838</v>
      </c>
      <c r="M16" s="1654">
        <v>0.25</v>
      </c>
      <c r="N16" s="1654">
        <v>0.2</v>
      </c>
      <c r="O16" s="1654">
        <v>0.15</v>
      </c>
      <c r="P16" s="2729">
        <v>0.1</v>
      </c>
      <c r="Q16" s="2730"/>
      <c r="R16" s="3074">
        <v>15</v>
      </c>
      <c r="S16" s="3075"/>
      <c r="T16" s="3074" t="e">
        <f t="shared" ca="1" si="0"/>
        <v>#DIV/0!</v>
      </c>
      <c r="U16" s="3075"/>
      <c r="V16" s="3074" t="e">
        <f t="shared" ca="1" si="1"/>
        <v>#DIV/0!</v>
      </c>
      <c r="W16" s="3082"/>
      <c r="X16" s="3082"/>
      <c r="Y16" s="3082"/>
      <c r="Z16" s="3082"/>
      <c r="AA16" s="3082"/>
      <c r="AB16" s="3082"/>
      <c r="AC16" s="3083"/>
      <c r="AD16" s="3072"/>
      <c r="AE16" s="3072"/>
      <c r="AF16" s="3072"/>
      <c r="AG16" s="3072"/>
      <c r="AH16" s="3072"/>
      <c r="AI16" s="3072"/>
      <c r="AJ16" s="3073"/>
    </row>
    <row r="17" spans="1:37" ht="13.5" thickBot="1">
      <c r="A17" s="3736"/>
      <c r="B17" s="1675" t="s">
        <v>1820</v>
      </c>
      <c r="C17" s="1676">
        <f>SUMPRODUCT((修正!A2:A5=E2)*(修正!B1:M1=G2)*(修正!B2:M5))</f>
        <v>2.5</v>
      </c>
      <c r="D17" s="1677" t="s">
        <v>1821</v>
      </c>
      <c r="E17" s="1747" t="str">
        <f>IF(OR(G2="八级",G2="九级",G2="十级",G2="十一级",G2="十二级"),"五通一平","七通一平")</f>
        <v>七通一平</v>
      </c>
      <c r="F17" s="1678" t="s">
        <v>1822</v>
      </c>
      <c r="G17" s="1676">
        <f>SUMPRODUCT((七通一平=G16)*(修正!B1:M1=G2)*(修正!B6:M14))</f>
        <v>50</v>
      </c>
      <c r="H17" s="1676">
        <f>SUMPRODUCT((七通一平=H16)*(修正!B1:M1=G2)*(修正!B6:M14))</f>
        <v>0</v>
      </c>
      <c r="I17" s="1676">
        <f>SUMPRODUCT((七通一平=I16)*(修正!B1:M1=G2)*(修正!B6:M14))</f>
        <v>0</v>
      </c>
      <c r="J17" s="1679">
        <f>SUMPRODUCT((七通一平=J16)*(修正!B1:M1=G2)*(修正!B6:M14))</f>
        <v>0</v>
      </c>
      <c r="K17" s="2380"/>
      <c r="L17" s="1717" t="s">
        <v>1827</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2"/>
      <c r="AF17" s="1622"/>
      <c r="AG17" s="1625"/>
      <c r="AH17" s="1625"/>
      <c r="AI17" s="1625"/>
      <c r="AJ17" s="1625"/>
    </row>
    <row r="18" spans="1:37" s="1636" customFormat="1" ht="15.75" thickBot="1">
      <c r="A18" s="1877" t="s">
        <v>1935</v>
      </c>
      <c r="B18" s="1680" t="s">
        <v>1823</v>
      </c>
      <c r="C18" s="1681">
        <f>SUMIF(修正!C18:C39,E3,修正!E18:E39)</f>
        <v>1</v>
      </c>
      <c r="D18" s="1682"/>
      <c r="E18" s="1683"/>
      <c r="F18" s="1684"/>
      <c r="G18" s="1685"/>
      <c r="H18" s="1685"/>
      <c r="I18" s="1685"/>
      <c r="J18" s="1686"/>
      <c r="K18" s="2387"/>
      <c r="O18" s="2735"/>
      <c r="P18" s="2735"/>
      <c r="Q18" s="2736"/>
      <c r="R18" s="2736"/>
      <c r="S18" s="2736"/>
      <c r="T18" s="2731"/>
      <c r="U18" s="2731"/>
      <c r="V18" s="2731"/>
      <c r="W18" s="2730"/>
      <c r="X18" s="2730"/>
      <c r="Y18" s="2730"/>
      <c r="Z18" s="2737"/>
      <c r="AA18" s="2738"/>
      <c r="AB18" s="2738"/>
      <c r="AC18" s="2738"/>
      <c r="AD18" s="2738"/>
      <c r="AE18" s="1623"/>
      <c r="AF18" s="1623"/>
      <c r="AG18" s="1624"/>
      <c r="AH18" s="1624"/>
      <c r="AI18" s="1624"/>
    </row>
    <row r="19" spans="1:37" s="1636" customFormat="1" ht="27.75" thickBot="1">
      <c r="A19" s="1877" t="s">
        <v>1936</v>
      </c>
      <c r="B19" s="1680" t="s">
        <v>1824</v>
      </c>
      <c r="C19" s="1689">
        <f>ROUND(IF(H19="按公示增长率计算",SUMPRODUCT((地价!A3:A19=YEAR(G19)&amp;"-"&amp;ROUNDUP(MONTH(G19)/3,0))*(地价!X2:AB2=E2)*(地价!X3:AB19)),IF(H19="地价指数",M20/M19,(1+I19)^O19)),4)</f>
        <v>1.2363999999999999</v>
      </c>
      <c r="D19" s="1690" t="s">
        <v>1145</v>
      </c>
      <c r="E19" s="1691">
        <v>41640</v>
      </c>
      <c r="F19" s="1690" t="s">
        <v>1146</v>
      </c>
      <c r="G19" s="1692">
        <f>'数据-取费表'!B2</f>
        <v>42963</v>
      </c>
      <c r="H19" s="3016" t="s">
        <v>2957</v>
      </c>
      <c r="I19" s="1693" t="str">
        <f>IF(H19="季度增幅（自定义）",SUMIF(N21:N24,E2,O21:O24),"")</f>
        <v/>
      </c>
      <c r="J19" s="1686"/>
      <c r="K19" s="2387"/>
      <c r="L19" s="3241" t="s">
        <v>2955</v>
      </c>
      <c r="M19" s="3243">
        <f>ROUND(SUMIF(地价!B2:F2,E2,地价!B19:F19),0)</f>
        <v>258</v>
      </c>
      <c r="N19" s="3239" t="s">
        <v>1868</v>
      </c>
      <c r="O19" s="1694">
        <f>ROUNDDOWN(DATEDIF(E19,G19,"M")/3,0)</f>
        <v>14</v>
      </c>
      <c r="P19" s="2734"/>
      <c r="Q19" s="2736"/>
      <c r="R19" s="2736"/>
      <c r="S19" s="2736"/>
      <c r="T19" s="2731"/>
      <c r="U19" s="2731"/>
      <c r="V19" s="2731"/>
      <c r="W19" s="2730"/>
      <c r="X19" s="2730"/>
      <c r="Y19" s="2730"/>
      <c r="Z19" s="2737"/>
      <c r="AA19" s="2738"/>
      <c r="AB19" s="2738"/>
      <c r="AC19" s="2738"/>
      <c r="AD19" s="2738"/>
      <c r="AE19" s="1687"/>
      <c r="AF19" s="1688"/>
      <c r="AG19" s="1695"/>
      <c r="AH19" s="1624"/>
      <c r="AI19" s="1635"/>
      <c r="AJ19" s="1635"/>
      <c r="AK19" s="1635"/>
    </row>
    <row r="20" spans="1:37" s="1636" customFormat="1" ht="27.75" thickBot="1">
      <c r="A20" s="1878" t="s">
        <v>1937</v>
      </c>
      <c r="B20" s="1749" t="s">
        <v>682</v>
      </c>
      <c r="C20" s="1696" t="e">
        <f ca="1">ROUND(POWER(1+G20,J20-I20)*(POWER(1+G20,I20)-1)/(POWER(1+G20,J20)-1),4)</f>
        <v>#DIV/0!</v>
      </c>
      <c r="D20" s="1750" t="s">
        <v>1826</v>
      </c>
      <c r="E20" s="3297">
        <f ca="1">存贷款利率!D4/100</f>
        <v>4.3499999999999997E-2</v>
      </c>
      <c r="F20" s="1750" t="s">
        <v>1827</v>
      </c>
      <c r="G20" s="1751">
        <f ca="1">SUMIF(M15:P15,E2,M17:P17)</f>
        <v>5.3999999999999999E-2</v>
      </c>
      <c r="H20" s="1750" t="s">
        <v>1828</v>
      </c>
      <c r="I20" s="1752" t="e">
        <f>SUMIF('数据-取费表'!C6:C15,E2,'数据-取费表'!F6:F15)/COUNTIF('数据-取费表'!C6:C15,E2)</f>
        <v>#DIV/0!</v>
      </c>
      <c r="J20" s="1753">
        <f>IF(E2="住宅",70,IF(E2="商业",40,50))</f>
        <v>40</v>
      </c>
      <c r="K20" s="2387"/>
      <c r="L20" s="3242" t="s">
        <v>2956</v>
      </c>
      <c r="M20" s="3244">
        <f>ROUND(SUMPRODUCT((地价!A4:A19=YEAR(G19)&amp;"-"&amp;ROUNDUP(MONTH(G19)/3,0))*(地价!B2:F2=E2)*(地价!B4:F19)),0)</f>
        <v>319</v>
      </c>
      <c r="N20" s="3240" t="s">
        <v>2784</v>
      </c>
      <c r="O20" s="3017" t="s">
        <v>2785</v>
      </c>
      <c r="P20" s="3018" t="s">
        <v>2794</v>
      </c>
      <c r="R20" s="2736"/>
      <c r="S20" s="2736"/>
      <c r="T20" s="2731"/>
      <c r="U20" s="2731"/>
      <c r="V20" s="2731"/>
      <c r="W20" s="2730"/>
      <c r="X20" s="2730"/>
      <c r="Y20" s="2730"/>
      <c r="Z20" s="2737"/>
      <c r="AA20" s="2738"/>
      <c r="AB20" s="2738"/>
      <c r="AC20" s="2738"/>
      <c r="AD20" s="2738"/>
      <c r="AE20" s="1687"/>
      <c r="AF20" s="1687"/>
    </row>
    <row r="21" spans="1:37" s="1636" customFormat="1" ht="14.25">
      <c r="A21" s="1879" t="s">
        <v>1938</v>
      </c>
      <c r="B21" s="1796" t="s">
        <v>2496</v>
      </c>
      <c r="C21" s="1754">
        <f>IF(B21="容积率修正",IF(G3&lt;=10,D22,J22),C23)</f>
        <v>1.8629</v>
      </c>
      <c r="D21" s="1755"/>
      <c r="E21" s="1755"/>
      <c r="F21" s="1755"/>
      <c r="G21" s="1755"/>
      <c r="H21" s="1755"/>
      <c r="I21" s="1755"/>
      <c r="J21" s="1756"/>
      <c r="K21" s="2387"/>
      <c r="N21" s="3019" t="s">
        <v>1</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7"/>
      <c r="AF21" s="1687"/>
    </row>
    <row r="22" spans="1:37" s="1636" customFormat="1" ht="14.25">
      <c r="A22" s="190" t="s">
        <v>1941</v>
      </c>
      <c r="B22" s="1698" t="s">
        <v>1829</v>
      </c>
      <c r="C22" s="3360" t="s">
        <v>1842</v>
      </c>
      <c r="D22" s="3360">
        <f>IF(E22=G22,F22,IF(G3&lt;=10,ROUND(F22+(H22-F22)*(G3-E22)/(G22-E22),4),"——"))</f>
        <v>0.72689999999999999</v>
      </c>
      <c r="E22" s="1628">
        <f>ROUNDDOWN(G3,1)</f>
        <v>9.6999999999999993</v>
      </c>
      <c r="F22" s="33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8">
        <f>ROUNDUP(G3,1)</f>
        <v>9.7999999999999989</v>
      </c>
      <c r="H22" s="33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3360" t="s">
        <v>1159</v>
      </c>
      <c r="J22" s="1757" t="str">
        <f>IF(G3&gt;10,D113,"——")</f>
        <v>——</v>
      </c>
      <c r="K22" s="2387"/>
      <c r="N22" s="3019" t="s">
        <v>1160</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7"/>
      <c r="AF22" s="1687"/>
    </row>
    <row r="23" spans="1:37" ht="27.75" thickBot="1">
      <c r="A23" s="190" t="s">
        <v>1942</v>
      </c>
      <c r="B23" s="1869" t="s">
        <v>1830</v>
      </c>
      <c r="C23" s="1870">
        <f>ROUND(IF(G3&gt;1,IF(I3&lt;7,SUMPRODUCT((B93:B98=I3)*(C92:N92=G2)*(C93:N98)),SUMIF(C92:N92,G2,C100:N100)),IF(I3&lt;7,SUMPRODUCT((B102:B107=I3)*(C92:N92=G2)*(C102:N107)),SUMIF(C92:N92,G2,C109:N109))),4)</f>
        <v>1.8629</v>
      </c>
      <c r="D23" s="1670"/>
      <c r="E23" s="1670"/>
      <c r="F23" s="1699"/>
      <c r="G23" s="1700"/>
      <c r="H23" s="1871"/>
      <c r="I23" s="1872"/>
      <c r="J23" s="1873"/>
      <c r="K23" s="2380"/>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4"/>
    </row>
    <row r="24" spans="1:37" s="1636" customFormat="1" ht="15.75" thickBot="1">
      <c r="A24" s="1878" t="s">
        <v>1939</v>
      </c>
      <c r="B24" s="1680" t="s">
        <v>1831</v>
      </c>
      <c r="C24" s="1689">
        <f>SUMIF(A45:A88,E2,B45:B88)</f>
        <v>1.0355000000000001</v>
      </c>
      <c r="D24" s="1684"/>
      <c r="E24" s="1874"/>
      <c r="F24" s="1874"/>
      <c r="G24" s="1874"/>
      <c r="H24" s="1874"/>
      <c r="I24" s="1874"/>
      <c r="J24" s="1875"/>
      <c r="K24" s="2387"/>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7"/>
      <c r="AF24" s="1687"/>
    </row>
    <row r="25" spans="1:37" ht="15" thickBot="1">
      <c r="A25" s="1878" t="s">
        <v>1940</v>
      </c>
      <c r="B25" s="1701" t="s">
        <v>1832</v>
      </c>
      <c r="C25" s="1702"/>
      <c r="D25" s="1647"/>
      <c r="E25" s="1647"/>
      <c r="F25" s="1703"/>
      <c r="G25" s="1647"/>
      <c r="H25" s="1647"/>
      <c r="I25" s="1647"/>
      <c r="J25" s="1648"/>
      <c r="K25" s="2380"/>
      <c r="N25" s="3026" t="s">
        <v>2718</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1"/>
      <c r="B26" s="1698" t="s">
        <v>1863</v>
      </c>
      <c r="C26" s="538" t="e">
        <f ca="1">E29+SUM(E33:E39)</f>
        <v>#DIV/0!</v>
      </c>
      <c r="D26" s="1707"/>
      <c r="E26" s="1670"/>
      <c r="F26" s="1708"/>
      <c r="G26" s="1670"/>
      <c r="H26" s="1670"/>
      <c r="I26" s="1670"/>
      <c r="J26" s="1709"/>
      <c r="K26" s="2380"/>
      <c r="R26" s="2736"/>
      <c r="S26" s="2736"/>
      <c r="T26" s="2731"/>
      <c r="U26" s="2731"/>
      <c r="V26" s="2731"/>
      <c r="W26" s="2730"/>
      <c r="X26" s="2730"/>
      <c r="Y26" s="2730"/>
      <c r="Z26" s="2737"/>
      <c r="AA26" s="2738"/>
      <c r="AB26" s="2738"/>
      <c r="AC26" s="2738"/>
      <c r="AD26" s="2738"/>
    </row>
    <row r="27" spans="1:37" ht="15" thickBot="1">
      <c r="A27" s="1881"/>
      <c r="B27" s="1711" t="s">
        <v>1864</v>
      </c>
      <c r="C27" s="1712" t="e">
        <f ca="1">E30+SUM(I33:I39)</f>
        <v>#DIV/0!</v>
      </c>
      <c r="D27" s="1713"/>
      <c r="E27" s="1714"/>
      <c r="F27" s="1715"/>
      <c r="G27" s="1714"/>
      <c r="H27" s="1714"/>
      <c r="I27" s="1714"/>
      <c r="J27" s="1716"/>
      <c r="K27" s="2380"/>
      <c r="L27" s="2380"/>
      <c r="M27" s="2380"/>
      <c r="N27" s="2380"/>
      <c r="O27" s="2735"/>
      <c r="P27" s="2735"/>
      <c r="Q27" s="2736"/>
      <c r="R27" s="2736"/>
      <c r="S27" s="2736"/>
      <c r="T27" s="2731"/>
      <c r="U27" s="2731"/>
      <c r="V27" s="2731"/>
      <c r="W27" s="2730"/>
      <c r="X27" s="2730"/>
      <c r="Y27" s="2730"/>
      <c r="Z27" s="2737"/>
      <c r="AA27" s="2738"/>
      <c r="AB27" s="2738"/>
      <c r="AC27" s="2738"/>
      <c r="AD27" s="2738"/>
    </row>
    <row r="28" spans="1:37" ht="14.25">
      <c r="A28" s="1868"/>
      <c r="B28" s="1718" t="s">
        <v>1862</v>
      </c>
      <c r="C28" s="1719" t="s">
        <v>1837</v>
      </c>
      <c r="D28" s="1719" t="s">
        <v>615</v>
      </c>
      <c r="E28" s="1720" t="s">
        <v>1854</v>
      </c>
      <c r="F28" s="1721"/>
      <c r="G28" s="1663"/>
      <c r="H28" s="1663"/>
      <c r="I28" s="1663"/>
      <c r="J28" s="1664"/>
      <c r="K28" s="2380"/>
      <c r="L28" s="2380"/>
      <c r="M28" s="2380"/>
      <c r="N28" s="2380"/>
      <c r="O28" s="2735"/>
      <c r="P28" s="2735"/>
      <c r="Q28" s="2736"/>
      <c r="R28" s="2736"/>
      <c r="S28" s="2736"/>
      <c r="T28" s="2731"/>
      <c r="U28" s="2731"/>
      <c r="V28" s="2731"/>
      <c r="W28" s="2730"/>
      <c r="X28" s="2730"/>
      <c r="Y28" s="2730"/>
      <c r="Z28" s="2737"/>
      <c r="AA28" s="2738"/>
      <c r="AB28" s="2738"/>
      <c r="AC28" s="2738"/>
      <c r="AD28" s="2738"/>
    </row>
    <row r="29" spans="1:37" ht="14.25">
      <c r="A29" s="1778"/>
      <c r="B29" s="1722" t="s">
        <v>1857</v>
      </c>
      <c r="C29" s="538" t="e">
        <f ca="1">ROUND(C5*C18*C19*C20*C21*C24,0)</f>
        <v>#DIV/0!</v>
      </c>
      <c r="D29" s="1745">
        <f>'数据-汇总表'!F19</f>
        <v>2099.0100000000002</v>
      </c>
      <c r="E29" s="1779" t="e">
        <f ca="1">ROUND(C29*D29/10000,0)</f>
        <v>#DIV/0!</v>
      </c>
      <c r="F29" s="1723" t="s">
        <v>1839</v>
      </c>
      <c r="G29" s="1724"/>
      <c r="H29" s="1724"/>
      <c r="I29" s="1724"/>
      <c r="J29" s="1725"/>
      <c r="K29" s="2380"/>
      <c r="L29" s="2380"/>
      <c r="M29" s="2380"/>
      <c r="N29" s="2380"/>
      <c r="O29" s="2735"/>
      <c r="P29" s="2735"/>
      <c r="Q29" s="2736"/>
      <c r="R29" s="2736"/>
      <c r="S29" s="2736"/>
      <c r="T29" s="2731"/>
      <c r="U29" s="2731"/>
      <c r="V29" s="2731"/>
      <c r="W29" s="2730"/>
      <c r="X29" s="2730"/>
      <c r="Y29" s="2730"/>
      <c r="Z29" s="2737"/>
      <c r="AA29" s="2738"/>
      <c r="AB29" s="2738"/>
      <c r="AC29" s="2738"/>
      <c r="AD29" s="2738"/>
      <c r="AE29" s="1622"/>
      <c r="AF29" s="1622"/>
      <c r="AG29" s="1625"/>
      <c r="AH29" s="1625"/>
      <c r="AI29" s="1625"/>
      <c r="AJ29" s="1625"/>
    </row>
    <row r="30" spans="1:37" ht="24.75" thickBot="1">
      <c r="A30" s="1726"/>
      <c r="B30" s="1727" t="s">
        <v>1858</v>
      </c>
      <c r="C30" s="561" t="e">
        <f ca="1">ROUND(IF(E2="工业",C29*M39,C29*M38),0)</f>
        <v>#DIV/0!</v>
      </c>
      <c r="D30" s="1746"/>
      <c r="E30" s="1779" t="e">
        <f ca="1">ROUND(C30*D30/10000,0)</f>
        <v>#DIV/0!</v>
      </c>
      <c r="F30" s="1728" t="s">
        <v>1855</v>
      </c>
      <c r="G30" s="1729"/>
      <c r="H30" s="1729"/>
      <c r="I30" s="1729"/>
      <c r="J30" s="1730"/>
      <c r="K30" s="2380"/>
      <c r="L30" s="2380"/>
      <c r="M30" s="2380"/>
      <c r="N30" s="2380"/>
      <c r="O30" s="2735"/>
      <c r="P30" s="2735"/>
      <c r="Q30" s="2736"/>
      <c r="R30" s="2736"/>
      <c r="S30" s="2736"/>
      <c r="T30" s="2731"/>
      <c r="U30" s="2731"/>
      <c r="V30" s="2731"/>
      <c r="W30" s="2730"/>
      <c r="X30" s="2730"/>
      <c r="Y30" s="2730"/>
      <c r="Z30" s="2737"/>
      <c r="AA30" s="2738"/>
      <c r="AB30" s="2738"/>
      <c r="AC30" s="2738"/>
      <c r="AD30" s="2738"/>
      <c r="AE30" s="1622"/>
      <c r="AF30" s="1622"/>
      <c r="AG30" s="1625"/>
      <c r="AH30" s="1625"/>
      <c r="AI30" s="1625"/>
      <c r="AJ30" s="1625"/>
    </row>
    <row r="31" spans="1:37" ht="14.25">
      <c r="A31" s="1731"/>
      <c r="B31" s="1732" t="s">
        <v>1859</v>
      </c>
      <c r="C31" s="1733" t="s">
        <v>1860</v>
      </c>
      <c r="D31" s="1663"/>
      <c r="E31" s="1733"/>
      <c r="F31" s="1733"/>
      <c r="G31" s="1661" t="s">
        <v>1861</v>
      </c>
      <c r="H31" s="1663"/>
      <c r="I31" s="1734"/>
      <c r="J31" s="1664"/>
      <c r="K31" s="2380"/>
      <c r="L31" s="2380"/>
      <c r="M31" s="2380"/>
      <c r="N31" s="2380"/>
      <c r="O31" s="2735"/>
      <c r="P31" s="2735"/>
      <c r="Q31" s="2736"/>
      <c r="R31" s="2736"/>
      <c r="S31" s="2736"/>
      <c r="T31" s="2731"/>
      <c r="U31" s="2731"/>
      <c r="V31" s="2731"/>
      <c r="W31" s="2730"/>
      <c r="X31" s="2730"/>
      <c r="Y31" s="2730"/>
      <c r="Z31" s="2737"/>
      <c r="AA31" s="2738"/>
      <c r="AB31" s="2738"/>
      <c r="AC31" s="2738"/>
      <c r="AD31" s="2738"/>
      <c r="AE31" s="1622"/>
      <c r="AF31" s="1622"/>
      <c r="AG31" s="1625"/>
      <c r="AH31" s="1625"/>
      <c r="AI31" s="1625"/>
      <c r="AJ31" s="1625"/>
    </row>
    <row r="32" spans="1:37" ht="24">
      <c r="A32" s="1778"/>
      <c r="B32" s="1735"/>
      <c r="C32" s="171" t="s">
        <v>1837</v>
      </c>
      <c r="D32" s="168" t="s">
        <v>615</v>
      </c>
      <c r="E32" s="168" t="s">
        <v>1854</v>
      </c>
      <c r="F32" s="1736" t="s">
        <v>1841</v>
      </c>
      <c r="G32" s="1697" t="s">
        <v>1837</v>
      </c>
      <c r="H32" s="1697" t="s">
        <v>615</v>
      </c>
      <c r="I32" s="1697" t="s">
        <v>1854</v>
      </c>
      <c r="J32" s="1737"/>
      <c r="K32" s="2380"/>
      <c r="L32" s="2380"/>
      <c r="M32" s="2380"/>
      <c r="N32" s="2380"/>
      <c r="O32" s="2735"/>
      <c r="P32" s="2735"/>
      <c r="Q32" s="2736"/>
      <c r="R32" s="2736"/>
      <c r="S32" s="2736"/>
      <c r="T32" s="2731"/>
      <c r="U32" s="2731"/>
      <c r="V32" s="2731"/>
      <c r="W32" s="2730"/>
      <c r="X32" s="2730"/>
      <c r="Y32" s="2730"/>
      <c r="Z32" s="2737"/>
      <c r="AA32" s="2738"/>
      <c r="AB32" s="2738"/>
      <c r="AC32" s="2738"/>
      <c r="AD32" s="2738"/>
      <c r="AE32" s="1622"/>
      <c r="AF32" s="1622"/>
      <c r="AG32" s="1625"/>
      <c r="AH32" s="1625"/>
      <c r="AI32" s="1625"/>
      <c r="AJ32" s="1625"/>
    </row>
    <row r="33" spans="1:37" ht="36" customHeight="1">
      <c r="A33" s="3737" t="s">
        <v>3061</v>
      </c>
      <c r="B33" s="1739" t="s">
        <v>1161</v>
      </c>
      <c r="C33" s="538" t="e">
        <f ca="1">ROUND(D5*C19*C20*C24*F33,0)</f>
        <v>#DIV/0!</v>
      </c>
      <c r="D33" s="1745"/>
      <c r="E33" s="532" t="e">
        <f ca="1">ROUND(C33*D33/10000,0)</f>
        <v>#DIV/0!</v>
      </c>
      <c r="F33" s="532">
        <f>SUMIF(修正!A45:A56,G2,修正!B45:B56)</f>
        <v>0.7</v>
      </c>
      <c r="G33" s="532" t="e">
        <f t="shared" ref="G33:G39" ca="1" si="6">ROUND(IF(E2="工业",C33*$M$39,C33*$M$38),0)</f>
        <v>#DIV/0!</v>
      </c>
      <c r="H33" s="532">
        <f>D33</f>
        <v>0</v>
      </c>
      <c r="I33" s="532" t="e">
        <f ca="1">ROUND(G33*H33/10000,0)</f>
        <v>#DIV/0!</v>
      </c>
      <c r="J33" s="1740"/>
      <c r="K33" s="2380"/>
      <c r="L33" s="2380"/>
      <c r="M33" s="2380"/>
      <c r="N33" s="2380"/>
      <c r="O33" s="2735"/>
      <c r="P33" s="2735"/>
      <c r="Q33" s="2736"/>
      <c r="R33" s="2736"/>
      <c r="S33" s="2736"/>
      <c r="T33" s="2731"/>
      <c r="U33" s="2731"/>
      <c r="V33" s="2731"/>
      <c r="W33" s="2730"/>
      <c r="X33" s="2730"/>
      <c r="Y33" s="2730"/>
      <c r="Z33" s="2737"/>
      <c r="AA33" s="2738"/>
      <c r="AB33" s="2738"/>
      <c r="AC33" s="2738"/>
      <c r="AD33" s="2738"/>
    </row>
    <row r="34" spans="1:37" ht="14.25">
      <c r="A34" s="3738"/>
      <c r="B34" s="1666" t="s">
        <v>1162</v>
      </c>
      <c r="C34" s="538" t="e">
        <f ca="1">ROUND(D5*C19*C20*C24*F34,0)</f>
        <v>#DIV/0!</v>
      </c>
      <c r="D34" s="1745"/>
      <c r="E34" s="532" t="e">
        <f t="shared" ref="E34:E39" ca="1" si="7">ROUND(C34*D34/10000,0)</f>
        <v>#DIV/0!</v>
      </c>
      <c r="F34" s="532">
        <f>SUMIF(修正!A45:A56,G2,修正!C45:C56)</f>
        <v>0.4</v>
      </c>
      <c r="G34" s="532" t="e">
        <f t="shared" ca="1" si="6"/>
        <v>#DIV/0!</v>
      </c>
      <c r="H34" s="532">
        <f t="shared" ref="H34:H39" si="8">D34</f>
        <v>0</v>
      </c>
      <c r="I34" s="532" t="e">
        <f t="shared" ref="I34:I39" ca="1" si="9">ROUND(G34*H34/10000,0)</f>
        <v>#DIV/0!</v>
      </c>
      <c r="J34" s="1740"/>
      <c r="K34" s="2380"/>
      <c r="L34" s="2380"/>
      <c r="M34" s="2380"/>
      <c r="N34" s="2380"/>
      <c r="O34" s="2735"/>
      <c r="P34" s="2735"/>
      <c r="Q34" s="2736"/>
      <c r="R34" s="2736"/>
      <c r="S34" s="2736"/>
      <c r="T34" s="2731"/>
      <c r="U34" s="2731"/>
      <c r="V34" s="2731"/>
      <c r="W34" s="2730"/>
      <c r="X34" s="2730"/>
      <c r="Y34" s="2730"/>
      <c r="Z34" s="2737"/>
      <c r="AA34" s="2738"/>
      <c r="AB34" s="2738"/>
      <c r="AC34" s="2738"/>
      <c r="AD34" s="2738"/>
    </row>
    <row r="35" spans="1:37" ht="12.75">
      <c r="A35" s="3738"/>
      <c r="B35" s="1666" t="s">
        <v>1163</v>
      </c>
      <c r="C35" s="538" t="e">
        <f ca="1">ROUND(D5*C19*C20*C24*F35,0)</f>
        <v>#DIV/0!</v>
      </c>
      <c r="D35" s="1745"/>
      <c r="E35" s="532" t="e">
        <f t="shared" ca="1" si="7"/>
        <v>#DIV/0!</v>
      </c>
      <c r="F35" s="532">
        <f>SUMIF(修正!A45:A56,G2,修正!D45:D56)</f>
        <v>0.28000000000000003</v>
      </c>
      <c r="G35" s="532" t="e">
        <f t="shared" ca="1" si="6"/>
        <v>#DIV/0!</v>
      </c>
      <c r="H35" s="532">
        <f t="shared" si="8"/>
        <v>0</v>
      </c>
      <c r="I35" s="532" t="e">
        <f t="shared" ca="1"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39"/>
      <c r="B36" s="1666" t="s">
        <v>1164</v>
      </c>
      <c r="C36" s="538" t="e">
        <f ca="1">ROUND(D5*C19*C20*C24*F36,0)</f>
        <v>#DIV/0!</v>
      </c>
      <c r="D36" s="1745"/>
      <c r="E36" s="532" t="e">
        <f t="shared" ca="1" si="7"/>
        <v>#DIV/0!</v>
      </c>
      <c r="F36" s="532">
        <f>SUMIF(修正!A45:A56,G2,修正!E45:E56)</f>
        <v>0.25</v>
      </c>
      <c r="G36" s="532" t="e">
        <f t="shared" ca="1" si="6"/>
        <v>#DIV/0!</v>
      </c>
      <c r="H36" s="532">
        <f t="shared" si="8"/>
        <v>0</v>
      </c>
      <c r="I36" s="532" t="e">
        <f t="shared" ca="1"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1165</v>
      </c>
      <c r="C37" s="532" t="e">
        <f ca="1">ROUND(C5*C19*C20*C24*F37,0)</f>
        <v>#DIV/0!</v>
      </c>
      <c r="D37" s="1745"/>
      <c r="E37" s="532" t="e">
        <f t="shared" ca="1" si="7"/>
        <v>#DIV/0!</v>
      </c>
      <c r="F37" s="538">
        <f>SUMIF(修正!A45:A56,G2,修正!F45:F56)</f>
        <v>0.25</v>
      </c>
      <c r="G37" s="532" t="e">
        <f t="shared" ca="1" si="6"/>
        <v>#DIV/0!</v>
      </c>
      <c r="H37" s="532">
        <f t="shared" si="8"/>
        <v>0</v>
      </c>
      <c r="I37" s="532" t="e">
        <f t="shared" ca="1" si="9"/>
        <v>#DIV/0!</v>
      </c>
      <c r="J37" s="1740"/>
      <c r="K37" s="2380"/>
      <c r="L37" s="2388" t="s">
        <v>1856</v>
      </c>
      <c r="M37" s="2389"/>
      <c r="N37" s="2380"/>
      <c r="O37" s="2380"/>
      <c r="P37" s="2380"/>
      <c r="Q37" s="2380"/>
      <c r="R37" s="2380"/>
      <c r="S37" s="2380"/>
      <c r="T37" s="2380"/>
      <c r="U37" s="2380"/>
      <c r="V37" s="2380"/>
      <c r="W37" s="2380"/>
      <c r="X37" s="2380"/>
      <c r="Y37" s="2380"/>
      <c r="Z37" s="2381"/>
    </row>
    <row r="38" spans="1:37" ht="12.75">
      <c r="A38" s="1738"/>
      <c r="B38" s="1666" t="s">
        <v>1166</v>
      </c>
      <c r="C38" s="532" t="e">
        <f ca="1">ROUND(C5*C19*C20*C24*F38,0)</f>
        <v>#DIV/0!</v>
      </c>
      <c r="D38" s="1745"/>
      <c r="E38" s="532" t="e">
        <f t="shared" ca="1" si="7"/>
        <v>#DIV/0!</v>
      </c>
      <c r="F38" s="538">
        <f>SUMIF(修正!A45:A56,G2,修正!G45:G56)</f>
        <v>0.25</v>
      </c>
      <c r="G38" s="532" t="e">
        <f t="shared" ca="1" si="6"/>
        <v>#DIV/0!</v>
      </c>
      <c r="H38" s="532">
        <f t="shared" si="8"/>
        <v>0</v>
      </c>
      <c r="I38" s="532" t="e">
        <f t="shared" ca="1" si="9"/>
        <v>#DIV/0!</v>
      </c>
      <c r="J38" s="1740"/>
      <c r="K38" s="2380"/>
      <c r="L38" s="1760" t="s">
        <v>1840</v>
      </c>
      <c r="M38" s="1761">
        <v>0.25</v>
      </c>
      <c r="N38" s="2380"/>
      <c r="O38" s="2380"/>
      <c r="P38" s="2380"/>
      <c r="Q38" s="2380"/>
      <c r="R38" s="2380"/>
      <c r="S38" s="2380"/>
      <c r="T38" s="2380"/>
      <c r="U38" s="2380"/>
      <c r="V38" s="2380"/>
      <c r="W38" s="2380"/>
      <c r="X38" s="2380"/>
      <c r="Y38" s="2380"/>
      <c r="Z38" s="2381"/>
    </row>
    <row r="39" spans="1:37" ht="13.5" thickBot="1">
      <c r="A39" s="1726"/>
      <c r="B39" s="1741" t="s">
        <v>1167</v>
      </c>
      <c r="C39" s="561" t="e">
        <f ca="1">ROUND(C5*C19*C20*C24*F39,0)</f>
        <v>#DIV/0!</v>
      </c>
      <c r="D39" s="1746"/>
      <c r="E39" s="561" t="e">
        <f t="shared" ca="1" si="7"/>
        <v>#DIV/0!</v>
      </c>
      <c r="F39" s="1742">
        <f>SUMIF(修正!A45:A56,G2,修正!H45:H56)</f>
        <v>0.2</v>
      </c>
      <c r="G39" s="561" t="e">
        <f t="shared" si="6"/>
        <v>#DIV/0!</v>
      </c>
      <c r="H39" s="561">
        <f t="shared" si="8"/>
        <v>0</v>
      </c>
      <c r="I39" s="561" t="e">
        <f t="shared" si="9"/>
        <v>#DIV/0!</v>
      </c>
      <c r="J39" s="1743"/>
      <c r="K39" s="2380"/>
      <c r="L39" s="1762" t="s">
        <v>1102</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1776</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1.0355000000000001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1777</v>
      </c>
      <c r="B47" s="1496" t="s">
        <v>1778</v>
      </c>
      <c r="C47" s="3354" t="s">
        <v>1779</v>
      </c>
      <c r="D47" s="3355" t="s">
        <v>1850</v>
      </c>
      <c r="E47" s="1499" t="s">
        <v>1852</v>
      </c>
      <c r="F47" s="2601" t="s">
        <v>2494</v>
      </c>
      <c r="G47" s="3355" t="s">
        <v>1848</v>
      </c>
      <c r="H47" s="2602" t="s">
        <v>2495</v>
      </c>
      <c r="I47" s="3355" t="s">
        <v>1851</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1780</v>
      </c>
      <c r="B48" s="1500" t="str">
        <f>估价对象房地状况!C4</f>
        <v>估价对象位于XX商圈，周边商业氛围成熟，人流量大，商业繁华度好</v>
      </c>
      <c r="C48" s="1485" t="s">
        <v>3104</v>
      </c>
      <c r="D48" s="2600">
        <f t="shared" ref="D48:D56" si="10">SUMIF($J$47:$N$47,C48,J48:N48)</f>
        <v>1.4E-2</v>
      </c>
      <c r="E48" s="1502">
        <f>ROUND(SUM(D48:D56),4)</f>
        <v>3.5499999999999997E-2</v>
      </c>
      <c r="F48" s="1503">
        <f>IF(E2="商业",SUMIF(L1:L12,G2,N1:N12),"——")</f>
        <v>8.5999999999999993E-2</v>
      </c>
      <c r="G48" s="2598">
        <v>1.4E-2</v>
      </c>
      <c r="H48" s="2616">
        <f t="shared" ref="H48:H56" si="11">IFERROR(ROUNDDOWN($F$48*I48/2,4),"——")</f>
        <v>1.41E-2</v>
      </c>
      <c r="I48" s="1501">
        <v>0.33</v>
      </c>
      <c r="J48" s="2599">
        <f t="shared" ref="J48:J56" si="12">K48+$G48</f>
        <v>2.8000000000000001E-2</v>
      </c>
      <c r="K48" s="2599">
        <f t="shared" ref="K48:K56" si="13">$L48+$G48</f>
        <v>1.4E-2</v>
      </c>
      <c r="L48" s="2599">
        <v>0</v>
      </c>
      <c r="M48" s="2599">
        <f t="shared" ref="M48:N56" si="14">L48-$G48</f>
        <v>-1.4E-2</v>
      </c>
      <c r="N48" s="2599">
        <f t="shared" si="14"/>
        <v>-2.8000000000000001E-2</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t="s">
        <v>3104</v>
      </c>
      <c r="D49" s="2600">
        <f t="shared" si="10"/>
        <v>0.01</v>
      </c>
      <c r="E49" s="1505"/>
      <c r="F49" s="1503"/>
      <c r="G49" s="2598">
        <v>0.01</v>
      </c>
      <c r="H49" s="2616">
        <f t="shared" si="11"/>
        <v>1.0699999999999999E-2</v>
      </c>
      <c r="I49" s="1501">
        <v>0.25</v>
      </c>
      <c r="J49" s="2599">
        <f t="shared" si="12"/>
        <v>0.02</v>
      </c>
      <c r="K49" s="2599">
        <f t="shared" si="13"/>
        <v>0.01</v>
      </c>
      <c r="L49" s="2599">
        <v>0</v>
      </c>
      <c r="M49" s="2599">
        <f t="shared" si="14"/>
        <v>-0.01</v>
      </c>
      <c r="N49" s="2599">
        <f t="shared" si="14"/>
        <v>-0.02</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t="s">
        <v>3104</v>
      </c>
      <c r="D50" s="2600">
        <f t="shared" si="10"/>
        <v>2E-3</v>
      </c>
      <c r="E50" s="1505"/>
      <c r="F50" s="1503"/>
      <c r="G50" s="2598">
        <v>2E-3</v>
      </c>
      <c r="H50" s="2616">
        <f t="shared" si="11"/>
        <v>2.0999999999999999E-3</v>
      </c>
      <c r="I50" s="1501">
        <v>0.05</v>
      </c>
      <c r="J50" s="2599">
        <f t="shared" si="12"/>
        <v>4.0000000000000001E-3</v>
      </c>
      <c r="K50" s="2599">
        <f t="shared" si="13"/>
        <v>2E-3</v>
      </c>
      <c r="L50" s="2599">
        <v>0</v>
      </c>
      <c r="M50" s="2599">
        <f t="shared" si="14"/>
        <v>-2E-3</v>
      </c>
      <c r="N50" s="2599">
        <f t="shared" si="14"/>
        <v>-4.0000000000000001E-3</v>
      </c>
      <c r="AA50" s="2381"/>
      <c r="AB50" s="2381"/>
      <c r="AC50" s="2381"/>
      <c r="AD50" s="2381"/>
      <c r="AE50" s="2381"/>
      <c r="AF50" s="2381"/>
      <c r="AG50" s="2381"/>
      <c r="AH50" s="2381"/>
      <c r="AI50" s="2381"/>
      <c r="AJ50" s="2381"/>
      <c r="AK50" s="2381"/>
    </row>
    <row r="51" spans="1:37" s="2380" customFormat="1" ht="36">
      <c r="A51" s="1495" t="s">
        <v>1781</v>
      </c>
      <c r="B51" s="3300" t="s">
        <v>3026</v>
      </c>
      <c r="C51" s="1485" t="s">
        <v>3106</v>
      </c>
      <c r="D51" s="2600">
        <f t="shared" si="10"/>
        <v>-2E-3</v>
      </c>
      <c r="E51" s="1505"/>
      <c r="F51" s="1503"/>
      <c r="G51" s="2598">
        <v>2E-3</v>
      </c>
      <c r="H51" s="2616">
        <f t="shared" si="11"/>
        <v>2.0999999999999999E-3</v>
      </c>
      <c r="I51" s="1501">
        <v>0.05</v>
      </c>
      <c r="J51" s="2599">
        <f t="shared" si="12"/>
        <v>4.0000000000000001E-3</v>
      </c>
      <c r="K51" s="2599">
        <f t="shared" si="13"/>
        <v>2E-3</v>
      </c>
      <c r="L51" s="2599">
        <v>0</v>
      </c>
      <c r="M51" s="2599">
        <f t="shared" si="14"/>
        <v>-2E-3</v>
      </c>
      <c r="N51" s="2599">
        <f t="shared" si="14"/>
        <v>-4.0000000000000001E-3</v>
      </c>
      <c r="AA51" s="2381"/>
      <c r="AB51" s="2381"/>
      <c r="AC51" s="2381"/>
      <c r="AD51" s="2381"/>
      <c r="AE51" s="2381"/>
      <c r="AF51" s="2381"/>
      <c r="AG51" s="2381"/>
      <c r="AH51" s="2381"/>
      <c r="AI51" s="2381"/>
      <c r="AJ51" s="2381"/>
      <c r="AK51" s="2381"/>
    </row>
    <row r="52" spans="1:37" s="2380" customFormat="1" ht="24">
      <c r="A52" s="1495" t="s">
        <v>1782</v>
      </c>
      <c r="B52" s="1504">
        <f>估价对象房地状况!C24</f>
        <v>0</v>
      </c>
      <c r="C52" s="1485" t="s">
        <v>3104</v>
      </c>
      <c r="D52" s="2600">
        <f t="shared" si="10"/>
        <v>3.0000000000000001E-3</v>
      </c>
      <c r="E52" s="1505"/>
      <c r="F52" s="1503"/>
      <c r="G52" s="2598">
        <v>3.0000000000000001E-3</v>
      </c>
      <c r="H52" s="2616">
        <f t="shared" si="11"/>
        <v>3.3999999999999998E-3</v>
      </c>
      <c r="I52" s="1501">
        <v>0.08</v>
      </c>
      <c r="J52" s="2599">
        <f t="shared" si="12"/>
        <v>6.0000000000000001E-3</v>
      </c>
      <c r="K52" s="2599">
        <f t="shared" si="13"/>
        <v>3.0000000000000001E-3</v>
      </c>
      <c r="L52" s="2599">
        <v>0</v>
      </c>
      <c r="M52" s="2599">
        <f t="shared" si="14"/>
        <v>-3.0000000000000001E-3</v>
      </c>
      <c r="N52" s="2599">
        <f t="shared" si="14"/>
        <v>-6.0000000000000001E-3</v>
      </c>
      <c r="AA52" s="2381"/>
      <c r="AB52" s="2381"/>
      <c r="AC52" s="2381"/>
      <c r="AD52" s="2381"/>
      <c r="AE52" s="2381"/>
      <c r="AF52" s="2381"/>
      <c r="AG52" s="2381"/>
      <c r="AH52" s="2381"/>
      <c r="AI52" s="2381"/>
      <c r="AJ52" s="2381"/>
      <c r="AK52" s="2381"/>
    </row>
    <row r="53" spans="1:37" s="2380" customFormat="1" ht="24">
      <c r="A53" s="1495" t="s">
        <v>1783</v>
      </c>
      <c r="B53" s="3299" t="s">
        <v>3025</v>
      </c>
      <c r="C53" s="1485" t="s">
        <v>3105</v>
      </c>
      <c r="D53" s="2600">
        <f t="shared" si="10"/>
        <v>0</v>
      </c>
      <c r="E53" s="1505"/>
      <c r="F53" s="1503"/>
      <c r="G53" s="2598">
        <v>1.1999999999999999E-3</v>
      </c>
      <c r="H53" s="2616">
        <f t="shared" si="11"/>
        <v>1.1999999999999999E-3</v>
      </c>
      <c r="I53" s="1501">
        <v>0.03</v>
      </c>
      <c r="J53" s="2599">
        <f t="shared" si="12"/>
        <v>2.3999999999999998E-3</v>
      </c>
      <c r="K53" s="2599">
        <f t="shared" si="13"/>
        <v>1.1999999999999999E-3</v>
      </c>
      <c r="L53" s="2599">
        <v>0</v>
      </c>
      <c r="M53" s="2599">
        <f t="shared" si="14"/>
        <v>-1.1999999999999999E-3</v>
      </c>
      <c r="N53" s="2599">
        <f t="shared" si="14"/>
        <v>-2.3999999999999998E-3</v>
      </c>
      <c r="AA53" s="2381"/>
      <c r="AB53" s="2381"/>
      <c r="AC53" s="2381"/>
      <c r="AD53" s="2381"/>
      <c r="AE53" s="2381"/>
      <c r="AF53" s="2381"/>
      <c r="AG53" s="2381"/>
      <c r="AH53" s="2381"/>
      <c r="AI53" s="2381"/>
      <c r="AJ53" s="2381"/>
      <c r="AK53" s="2381"/>
    </row>
    <row r="54" spans="1:37" s="2380" customFormat="1" ht="24">
      <c r="A54" s="1506" t="s">
        <v>1784</v>
      </c>
      <c r="B54" s="2596" t="str">
        <f>估价对象房地状况!C21</f>
        <v>估价对象所在区域公共配套设施齐备情况</v>
      </c>
      <c r="C54" s="1485" t="s">
        <v>3104</v>
      </c>
      <c r="D54" s="2600">
        <f t="shared" si="10"/>
        <v>2E-3</v>
      </c>
      <c r="E54" s="1505"/>
      <c r="F54" s="1503"/>
      <c r="G54" s="2598">
        <v>2E-3</v>
      </c>
      <c r="H54" s="2616">
        <f t="shared" si="11"/>
        <v>2.0999999999999999E-3</v>
      </c>
      <c r="I54" s="1501">
        <v>0.05</v>
      </c>
      <c r="J54" s="2599">
        <f t="shared" si="12"/>
        <v>4.0000000000000001E-3</v>
      </c>
      <c r="K54" s="2599">
        <f t="shared" si="13"/>
        <v>2E-3</v>
      </c>
      <c r="L54" s="2599">
        <v>0</v>
      </c>
      <c r="M54" s="2599">
        <f t="shared" si="14"/>
        <v>-2E-3</v>
      </c>
      <c r="N54" s="2599">
        <f t="shared" si="14"/>
        <v>-4.0000000000000001E-3</v>
      </c>
      <c r="AA54" s="2381"/>
      <c r="AB54" s="2381"/>
      <c r="AC54" s="2381"/>
      <c r="AD54" s="2381"/>
      <c r="AE54" s="2381"/>
      <c r="AF54" s="2381"/>
      <c r="AG54" s="2381"/>
      <c r="AH54" s="2381"/>
      <c r="AI54" s="2381"/>
      <c r="AJ54" s="2381"/>
      <c r="AK54" s="2381"/>
    </row>
    <row r="55" spans="1:37" s="2380" customFormat="1" ht="24">
      <c r="A55" s="1506" t="s">
        <v>1785</v>
      </c>
      <c r="B55" s="1504" t="str">
        <f>估价对象房地状况!C22</f>
        <v>估价对象所在区域基础设施水平</v>
      </c>
      <c r="C55" s="1485" t="s">
        <v>3104</v>
      </c>
      <c r="D55" s="2600">
        <f t="shared" si="10"/>
        <v>4.0000000000000001E-3</v>
      </c>
      <c r="E55" s="1505"/>
      <c r="F55" s="1503"/>
      <c r="G55" s="2598">
        <v>4.0000000000000001E-3</v>
      </c>
      <c r="H55" s="2616">
        <f t="shared" si="11"/>
        <v>4.3E-3</v>
      </c>
      <c r="I55" s="1501">
        <v>0.1</v>
      </c>
      <c r="J55" s="2599">
        <f t="shared" si="12"/>
        <v>8.0000000000000002E-3</v>
      </c>
      <c r="K55" s="2599">
        <f t="shared" si="13"/>
        <v>4.0000000000000001E-3</v>
      </c>
      <c r="L55" s="2599">
        <v>0</v>
      </c>
      <c r="M55" s="2599">
        <f t="shared" si="14"/>
        <v>-4.0000000000000001E-3</v>
      </c>
      <c r="N55" s="2599">
        <f t="shared" si="14"/>
        <v>-8.0000000000000002E-3</v>
      </c>
      <c r="AA55" s="2381"/>
      <c r="AB55" s="2381"/>
      <c r="AC55" s="2381"/>
      <c r="AD55" s="2381"/>
      <c r="AE55" s="2381"/>
      <c r="AF55" s="2381"/>
      <c r="AG55" s="2381"/>
      <c r="AH55" s="2381"/>
      <c r="AI55" s="2381"/>
      <c r="AJ55" s="2381"/>
      <c r="AK55" s="2381"/>
    </row>
    <row r="56" spans="1:37" s="2380" customFormat="1" ht="36.75" thickBot="1">
      <c r="A56" s="1508" t="s">
        <v>1786</v>
      </c>
      <c r="B56" s="1509" t="str">
        <f>估价对象房地状况!C20</f>
        <v>区域自然环境：；人文环境；综合评价环境状况一般</v>
      </c>
      <c r="C56" s="1485" t="s">
        <v>3104</v>
      </c>
      <c r="D56" s="2600">
        <f t="shared" si="10"/>
        <v>2.5000000000000001E-3</v>
      </c>
      <c r="E56" s="1511"/>
      <c r="F56" s="1503"/>
      <c r="G56" s="2598">
        <v>2.5000000000000001E-3</v>
      </c>
      <c r="H56" s="2616">
        <f t="shared" si="11"/>
        <v>2.5000000000000001E-3</v>
      </c>
      <c r="I56" s="1510">
        <v>0.06</v>
      </c>
      <c r="J56" s="2599">
        <f t="shared" si="12"/>
        <v>5.0000000000000001E-3</v>
      </c>
      <c r="K56" s="2599">
        <f t="shared" si="13"/>
        <v>2.5000000000000001E-3</v>
      </c>
      <c r="L56" s="2599">
        <v>0</v>
      </c>
      <c r="M56" s="2599">
        <f t="shared" si="14"/>
        <v>-2.5000000000000001E-3</v>
      </c>
      <c r="N56" s="2599">
        <f t="shared" si="14"/>
        <v>-5.0000000000000001E-3</v>
      </c>
      <c r="AA56" s="2381"/>
      <c r="AB56" s="2381"/>
      <c r="AC56" s="2381"/>
      <c r="AD56" s="2381"/>
      <c r="AE56" s="2381"/>
      <c r="AF56" s="2381"/>
      <c r="AG56" s="2381"/>
      <c r="AH56" s="2381"/>
      <c r="AI56" s="2381"/>
      <c r="AJ56" s="2381"/>
      <c r="AK56" s="2381"/>
    </row>
    <row r="57" spans="1:37" s="2380" customFormat="1" ht="15">
      <c r="A57" s="1489" t="s">
        <v>1160</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1777</v>
      </c>
      <c r="B58" s="1496"/>
      <c r="C58" s="3354" t="s">
        <v>1779</v>
      </c>
      <c r="D58" s="3355" t="s">
        <v>1850</v>
      </c>
      <c r="E58" s="1499" t="s">
        <v>1852</v>
      </c>
      <c r="F58" s="2601" t="s">
        <v>2291</v>
      </c>
      <c r="G58" s="3355" t="s">
        <v>1848</v>
      </c>
      <c r="H58" s="2602" t="s">
        <v>2495</v>
      </c>
      <c r="I58" s="3355" t="s">
        <v>1851</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1091</v>
      </c>
      <c r="B59" s="1500" t="str">
        <f>估价对象房地状况!C17</f>
        <v>估价对象位于XX商圈，周边办公楼项目较多，入驻率高，办公集聚程度较好</v>
      </c>
      <c r="C59" s="1485"/>
      <c r="D59" s="2600">
        <f t="shared" ref="D59:D67" si="15">SUMIF($J$58:$N$58,C59,J59:N59)</f>
        <v>0</v>
      </c>
      <c r="E59" s="1502">
        <f>ROUND(SUM(D59:D67),4)</f>
        <v>0</v>
      </c>
      <c r="F59" s="1503" t="str">
        <f>IF(E2="办公",SUMIF(L1:L12,G2,N1:N12),"——")</f>
        <v>——</v>
      </c>
      <c r="G59" s="2598"/>
      <c r="H59" s="2616" t="str">
        <f t="shared" ref="H59:H67" si="16">IFERROR(ROUNDDOWN($F$59*I59/2,4),"——")</f>
        <v>——</v>
      </c>
      <c r="I59" s="1501">
        <v>0.24</v>
      </c>
      <c r="J59" s="2599">
        <f t="shared" ref="J59:J67" si="17">K59+$G59</f>
        <v>0</v>
      </c>
      <c r="K59" s="2599">
        <f t="shared" ref="K59:K67" si="18">$L59+$G59</f>
        <v>0</v>
      </c>
      <c r="L59" s="2599">
        <v>0</v>
      </c>
      <c r="M59" s="2599">
        <f t="shared" ref="M59:N67" si="19">L59-$G59</f>
        <v>0</v>
      </c>
      <c r="N59" s="2599">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0">
        <f t="shared" si="15"/>
        <v>0</v>
      </c>
      <c r="E60" s="1505"/>
      <c r="F60" s="1503"/>
      <c r="G60" s="2598"/>
      <c r="H60" s="2616" t="str">
        <f t="shared" si="16"/>
        <v>——</v>
      </c>
      <c r="I60" s="1501">
        <v>0.3</v>
      </c>
      <c r="J60" s="2599">
        <f t="shared" si="17"/>
        <v>0</v>
      </c>
      <c r="K60" s="2599">
        <f t="shared" si="18"/>
        <v>0</v>
      </c>
      <c r="L60" s="2599">
        <v>0</v>
      </c>
      <c r="M60" s="2599">
        <f t="shared" si="19"/>
        <v>0</v>
      </c>
      <c r="N60" s="2599">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0">
        <f t="shared" si="15"/>
        <v>0</v>
      </c>
      <c r="E61" s="1505"/>
      <c r="F61" s="1503"/>
      <c r="G61" s="2598"/>
      <c r="H61" s="2616" t="str">
        <f t="shared" si="16"/>
        <v>——</v>
      </c>
      <c r="I61" s="1501">
        <v>0.08</v>
      </c>
      <c r="J61" s="2599">
        <f t="shared" si="17"/>
        <v>0</v>
      </c>
      <c r="K61" s="2599">
        <f t="shared" si="18"/>
        <v>0</v>
      </c>
      <c r="L61" s="2599">
        <v>0</v>
      </c>
      <c r="M61" s="2599">
        <f t="shared" si="19"/>
        <v>0</v>
      </c>
      <c r="N61" s="2599">
        <f t="shared" si="19"/>
        <v>0</v>
      </c>
      <c r="AA61" s="2381"/>
      <c r="AB61" s="2381"/>
      <c r="AC61" s="2381"/>
      <c r="AD61" s="2381"/>
      <c r="AE61" s="2381"/>
      <c r="AF61" s="2381"/>
      <c r="AG61" s="2381"/>
      <c r="AH61" s="2381"/>
      <c r="AI61" s="2381"/>
      <c r="AJ61" s="2381"/>
      <c r="AK61" s="2381"/>
    </row>
    <row r="62" spans="1:37" s="2380" customFormat="1" ht="36">
      <c r="A62" s="1495" t="s">
        <v>1781</v>
      </c>
      <c r="B62" s="3300" t="s">
        <v>3026</v>
      </c>
      <c r="C62" s="1485"/>
      <c r="D62" s="2600">
        <f t="shared" si="15"/>
        <v>0</v>
      </c>
      <c r="E62" s="1505"/>
      <c r="F62" s="1503"/>
      <c r="G62" s="2598"/>
      <c r="H62" s="2616" t="str">
        <f t="shared" si="16"/>
        <v>——</v>
      </c>
      <c r="I62" s="1501">
        <v>0.04</v>
      </c>
      <c r="J62" s="2599">
        <f t="shared" si="17"/>
        <v>0</v>
      </c>
      <c r="K62" s="2599">
        <f t="shared" si="18"/>
        <v>0</v>
      </c>
      <c r="L62" s="2599">
        <v>0</v>
      </c>
      <c r="M62" s="2599">
        <f t="shared" si="19"/>
        <v>0</v>
      </c>
      <c r="N62" s="2599">
        <f t="shared" si="19"/>
        <v>0</v>
      </c>
      <c r="AA62" s="2381"/>
      <c r="AB62" s="2381"/>
      <c r="AC62" s="2381"/>
      <c r="AD62" s="2381"/>
      <c r="AE62" s="2381"/>
      <c r="AF62" s="2381"/>
      <c r="AG62" s="2381"/>
      <c r="AH62" s="2381"/>
      <c r="AI62" s="2381"/>
      <c r="AJ62" s="2381"/>
      <c r="AK62" s="2381"/>
    </row>
    <row r="63" spans="1:37" s="2380" customFormat="1" ht="24">
      <c r="A63" s="1495" t="s">
        <v>1782</v>
      </c>
      <c r="B63" s="1504">
        <f>估价对象房地状况!C24</f>
        <v>0</v>
      </c>
      <c r="C63" s="1485"/>
      <c r="D63" s="2600">
        <f t="shared" si="15"/>
        <v>0</v>
      </c>
      <c r="E63" s="1505"/>
      <c r="F63" s="1503"/>
      <c r="G63" s="2598"/>
      <c r="H63" s="2616" t="str">
        <f t="shared" si="16"/>
        <v>——</v>
      </c>
      <c r="I63" s="1501">
        <v>0.05</v>
      </c>
      <c r="J63" s="2599">
        <f t="shared" si="17"/>
        <v>0</v>
      </c>
      <c r="K63" s="2599">
        <f t="shared" si="18"/>
        <v>0</v>
      </c>
      <c r="L63" s="2599">
        <v>0</v>
      </c>
      <c r="M63" s="2599">
        <f t="shared" si="19"/>
        <v>0</v>
      </c>
      <c r="N63" s="2599">
        <f t="shared" si="19"/>
        <v>0</v>
      </c>
      <c r="AA63" s="2381"/>
      <c r="AB63" s="2381"/>
      <c r="AC63" s="2381"/>
      <c r="AD63" s="2381"/>
      <c r="AE63" s="2381"/>
      <c r="AF63" s="2381"/>
      <c r="AG63" s="2381"/>
      <c r="AH63" s="2381"/>
      <c r="AI63" s="2381"/>
      <c r="AJ63" s="2381"/>
      <c r="AK63" s="2381"/>
    </row>
    <row r="64" spans="1:37" s="2380" customFormat="1" ht="24">
      <c r="A64" s="1495" t="s">
        <v>1783</v>
      </c>
      <c r="B64" s="3299" t="s">
        <v>3025</v>
      </c>
      <c r="C64" s="1485"/>
      <c r="D64" s="2600">
        <f t="shared" si="15"/>
        <v>0</v>
      </c>
      <c r="E64" s="1505"/>
      <c r="F64" s="1503"/>
      <c r="G64" s="2598"/>
      <c r="H64" s="2616" t="str">
        <f t="shared" si="16"/>
        <v>——</v>
      </c>
      <c r="I64" s="1501">
        <v>0.05</v>
      </c>
      <c r="J64" s="2599">
        <f t="shared" si="17"/>
        <v>0</v>
      </c>
      <c r="K64" s="2599">
        <f t="shared" si="18"/>
        <v>0</v>
      </c>
      <c r="L64" s="2599">
        <v>0</v>
      </c>
      <c r="M64" s="2599">
        <f t="shared" si="19"/>
        <v>0</v>
      </c>
      <c r="N64" s="2599">
        <f t="shared" si="19"/>
        <v>0</v>
      </c>
      <c r="AA64" s="2381"/>
      <c r="AB64" s="2381"/>
      <c r="AC64" s="2381"/>
      <c r="AD64" s="2381"/>
      <c r="AE64" s="2381"/>
      <c r="AF64" s="2381"/>
      <c r="AG64" s="2381"/>
      <c r="AH64" s="2381"/>
      <c r="AI64" s="2381"/>
      <c r="AJ64" s="2381"/>
      <c r="AK64" s="2381"/>
    </row>
    <row r="65" spans="1:37" s="2380" customFormat="1" ht="24">
      <c r="A65" s="1495" t="s">
        <v>1784</v>
      </c>
      <c r="B65" s="2596" t="str">
        <f>估价对象房地状况!C21</f>
        <v>估价对象所在区域公共配套设施齐备情况</v>
      </c>
      <c r="C65" s="1485"/>
      <c r="D65" s="2600">
        <f t="shared" si="15"/>
        <v>0</v>
      </c>
      <c r="E65" s="1505"/>
      <c r="F65" s="1503"/>
      <c r="G65" s="2598"/>
      <c r="H65" s="2616" t="str">
        <f t="shared" si="16"/>
        <v>——</v>
      </c>
      <c r="I65" s="1501">
        <v>0.06</v>
      </c>
      <c r="J65" s="2599">
        <f t="shared" si="17"/>
        <v>0</v>
      </c>
      <c r="K65" s="2599">
        <f t="shared" si="18"/>
        <v>0</v>
      </c>
      <c r="L65" s="2599">
        <v>0</v>
      </c>
      <c r="M65" s="2599">
        <f t="shared" si="19"/>
        <v>0</v>
      </c>
      <c r="N65" s="2599">
        <f t="shared" si="19"/>
        <v>0</v>
      </c>
      <c r="AA65" s="2381"/>
      <c r="AB65" s="2381"/>
      <c r="AC65" s="2381"/>
      <c r="AD65" s="2381"/>
      <c r="AE65" s="2381"/>
      <c r="AF65" s="2381"/>
      <c r="AG65" s="2381"/>
      <c r="AH65" s="2381"/>
      <c r="AI65" s="2381"/>
      <c r="AJ65" s="2381"/>
      <c r="AK65" s="2381"/>
    </row>
    <row r="66" spans="1:37" s="2380" customFormat="1" ht="24">
      <c r="A66" s="1495" t="s">
        <v>1785</v>
      </c>
      <c r="B66" s="2596" t="str">
        <f>估价对象房地状况!C22</f>
        <v>估价对象所在区域基础设施水平</v>
      </c>
      <c r="C66" s="1485"/>
      <c r="D66" s="2600">
        <f t="shared" si="15"/>
        <v>0</v>
      </c>
      <c r="E66" s="1505"/>
      <c r="F66" s="1503"/>
      <c r="G66" s="2598"/>
      <c r="H66" s="2616" t="str">
        <f t="shared" si="16"/>
        <v>——</v>
      </c>
      <c r="I66" s="1501">
        <v>0.12</v>
      </c>
      <c r="J66" s="2599">
        <f t="shared" si="17"/>
        <v>0</v>
      </c>
      <c r="K66" s="2599">
        <f t="shared" si="18"/>
        <v>0</v>
      </c>
      <c r="L66" s="2599">
        <v>0</v>
      </c>
      <c r="M66" s="2599">
        <f t="shared" si="19"/>
        <v>0</v>
      </c>
      <c r="N66" s="2599">
        <f t="shared" si="19"/>
        <v>0</v>
      </c>
      <c r="AA66" s="2381"/>
      <c r="AB66" s="2381"/>
      <c r="AC66" s="2381"/>
      <c r="AD66" s="2381"/>
      <c r="AE66" s="2381"/>
      <c r="AF66" s="2381"/>
      <c r="AG66" s="2381"/>
      <c r="AH66" s="2381"/>
      <c r="AI66" s="2381"/>
      <c r="AJ66" s="2381"/>
      <c r="AK66" s="2381"/>
    </row>
    <row r="67" spans="1:37" s="2380" customFormat="1" ht="36.75" thickBot="1">
      <c r="A67" s="1508" t="s">
        <v>1786</v>
      </c>
      <c r="B67" s="1513" t="str">
        <f>估价对象房地状况!C20</f>
        <v>区域自然环境：；人文环境；综合评价环境状况一般</v>
      </c>
      <c r="C67" s="1485"/>
      <c r="D67" s="2600">
        <f t="shared" si="15"/>
        <v>0</v>
      </c>
      <c r="E67" s="1511"/>
      <c r="F67" s="1503"/>
      <c r="G67" s="2598"/>
      <c r="H67" s="2616" t="str">
        <f t="shared" si="16"/>
        <v>——</v>
      </c>
      <c r="I67" s="1510">
        <v>0.06</v>
      </c>
      <c r="J67" s="2599">
        <f t="shared" si="17"/>
        <v>0</v>
      </c>
      <c r="K67" s="2599">
        <f t="shared" si="18"/>
        <v>0</v>
      </c>
      <c r="L67" s="2599">
        <v>0</v>
      </c>
      <c r="M67" s="2599">
        <f t="shared" si="19"/>
        <v>0</v>
      </c>
      <c r="N67" s="2599">
        <f t="shared" si="19"/>
        <v>0</v>
      </c>
      <c r="AA67" s="2381"/>
      <c r="AB67" s="2381"/>
      <c r="AC67" s="2381"/>
      <c r="AD67" s="2381"/>
      <c r="AE67" s="2381"/>
      <c r="AF67" s="2381"/>
      <c r="AG67" s="2381"/>
      <c r="AH67" s="2381"/>
      <c r="AI67" s="2381"/>
      <c r="AJ67" s="2381"/>
      <c r="AK67" s="2381"/>
    </row>
    <row r="68" spans="1:37" s="2380" customFormat="1" ht="15">
      <c r="A68" s="1489" t="s">
        <v>981</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1777</v>
      </c>
      <c r="B69" s="1496"/>
      <c r="C69" s="3354" t="s">
        <v>1779</v>
      </c>
      <c r="D69" s="3355" t="s">
        <v>1850</v>
      </c>
      <c r="E69" s="1499" t="s">
        <v>1852</v>
      </c>
      <c r="F69" s="2601" t="s">
        <v>2291</v>
      </c>
      <c r="G69" s="3355" t="s">
        <v>1848</v>
      </c>
      <c r="H69" s="2602" t="s">
        <v>2495</v>
      </c>
      <c r="I69" s="3355" t="s">
        <v>1851</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0">
        <f t="shared" ref="D70:D78" si="20">SUMIF($J$69:$N$69,C70,J70:N70)</f>
        <v>0</v>
      </c>
      <c r="E70" s="1502">
        <f>ROUND(SUM(D70:D78),4)</f>
        <v>0</v>
      </c>
      <c r="F70" s="1503" t="str">
        <f>IF(E2="住宅",SUMIF(L1:L12,G2,N1:N12),"——")</f>
        <v>——</v>
      </c>
      <c r="G70" s="2598"/>
      <c r="H70" s="2616" t="str">
        <f t="shared" ref="H70:H78" si="21">IFERROR(ROUNDDOWN($F$70*I70/2,4),"——")</f>
        <v>——</v>
      </c>
      <c r="I70" s="1501">
        <v>0.14000000000000001</v>
      </c>
      <c r="J70" s="2599">
        <f t="shared" ref="J70:J78" si="22">K70+$G70</f>
        <v>0</v>
      </c>
      <c r="K70" s="2599">
        <f t="shared" ref="K70:K78" si="23">$L70+$G70</f>
        <v>0</v>
      </c>
      <c r="L70" s="2599">
        <v>0</v>
      </c>
      <c r="M70" s="2599">
        <f t="shared" ref="M70:N78" si="24">L70-$G70</f>
        <v>0</v>
      </c>
      <c r="N70" s="2599">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0">
        <f t="shared" si="20"/>
        <v>0</v>
      </c>
      <c r="E71" s="1514"/>
      <c r="F71" s="1503"/>
      <c r="G71" s="2598"/>
      <c r="H71" s="2616" t="str">
        <f t="shared" si="21"/>
        <v>——</v>
      </c>
      <c r="I71" s="1501">
        <v>0.3</v>
      </c>
      <c r="J71" s="2599">
        <f t="shared" si="22"/>
        <v>0</v>
      </c>
      <c r="K71" s="2599">
        <f t="shared" si="23"/>
        <v>0</v>
      </c>
      <c r="L71" s="2599">
        <v>0</v>
      </c>
      <c r="M71" s="2599">
        <f t="shared" si="24"/>
        <v>0</v>
      </c>
      <c r="N71" s="2599">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0">
        <f t="shared" si="20"/>
        <v>0</v>
      </c>
      <c r="E72" s="1514"/>
      <c r="F72" s="1503"/>
      <c r="G72" s="2598"/>
      <c r="H72" s="2616" t="str">
        <f t="shared" si="21"/>
        <v>——</v>
      </c>
      <c r="I72" s="1501">
        <v>0.08</v>
      </c>
      <c r="J72" s="2599">
        <f t="shared" si="22"/>
        <v>0</v>
      </c>
      <c r="K72" s="2599">
        <f t="shared" si="23"/>
        <v>0</v>
      </c>
      <c r="L72" s="2599">
        <v>0</v>
      </c>
      <c r="M72" s="2599">
        <f t="shared" si="24"/>
        <v>0</v>
      </c>
      <c r="N72" s="2599">
        <f t="shared" si="24"/>
        <v>0</v>
      </c>
      <c r="AA72" s="2381"/>
      <c r="AB72" s="2381"/>
      <c r="AC72" s="2381"/>
      <c r="AD72" s="2381"/>
      <c r="AE72" s="2381"/>
      <c r="AF72" s="2381"/>
      <c r="AG72" s="2381"/>
      <c r="AH72" s="2381"/>
      <c r="AI72" s="2381"/>
      <c r="AJ72" s="2381"/>
      <c r="AK72" s="2381"/>
    </row>
    <row r="73" spans="1:37" s="2380" customFormat="1" ht="14.25">
      <c r="A73" s="1495" t="s">
        <v>1787</v>
      </c>
      <c r="B73" s="1504">
        <f>估价对象房地状况!C24</f>
        <v>0</v>
      </c>
      <c r="C73" s="1485"/>
      <c r="D73" s="2600">
        <f t="shared" si="20"/>
        <v>0</v>
      </c>
      <c r="E73" s="1514"/>
      <c r="F73" s="1503"/>
      <c r="G73" s="2598"/>
      <c r="H73" s="2616" t="str">
        <f t="shared" si="21"/>
        <v>——</v>
      </c>
      <c r="I73" s="1501">
        <v>0.04</v>
      </c>
      <c r="J73" s="2599">
        <f t="shared" si="22"/>
        <v>0</v>
      </c>
      <c r="K73" s="2599">
        <f t="shared" si="23"/>
        <v>0</v>
      </c>
      <c r="L73" s="2599">
        <v>0</v>
      </c>
      <c r="M73" s="2599">
        <f t="shared" si="24"/>
        <v>0</v>
      </c>
      <c r="N73" s="2599">
        <f t="shared" si="24"/>
        <v>0</v>
      </c>
      <c r="AA73" s="2381"/>
      <c r="AB73" s="2381"/>
      <c r="AC73" s="2381"/>
      <c r="AD73" s="2381"/>
      <c r="AE73" s="2381"/>
      <c r="AF73" s="2381"/>
      <c r="AG73" s="2381"/>
      <c r="AH73" s="2381"/>
      <c r="AI73" s="2381"/>
      <c r="AJ73" s="2381"/>
      <c r="AK73" s="2381"/>
    </row>
    <row r="74" spans="1:37" s="2380" customFormat="1" ht="24">
      <c r="A74" s="1495" t="s">
        <v>1784</v>
      </c>
      <c r="B74" s="2596" t="str">
        <f>估价对象房地状况!C21</f>
        <v>估价对象所在区域公共配套设施齐备情况</v>
      </c>
      <c r="C74" s="1485"/>
      <c r="D74" s="2600">
        <f t="shared" si="20"/>
        <v>0</v>
      </c>
      <c r="E74" s="1514"/>
      <c r="F74" s="1503"/>
      <c r="G74" s="2598"/>
      <c r="H74" s="2616" t="str">
        <f t="shared" si="21"/>
        <v>——</v>
      </c>
      <c r="I74" s="1501">
        <v>0.08</v>
      </c>
      <c r="J74" s="2599">
        <f t="shared" si="22"/>
        <v>0</v>
      </c>
      <c r="K74" s="2599">
        <f t="shared" si="23"/>
        <v>0</v>
      </c>
      <c r="L74" s="2599">
        <v>0</v>
      </c>
      <c r="M74" s="2599">
        <f t="shared" si="24"/>
        <v>0</v>
      </c>
      <c r="N74" s="2599">
        <f t="shared" si="24"/>
        <v>0</v>
      </c>
      <c r="AA74" s="2381"/>
      <c r="AB74" s="2381"/>
      <c r="AC74" s="2381"/>
      <c r="AD74" s="2381"/>
      <c r="AE74" s="2381"/>
      <c r="AF74" s="2381"/>
      <c r="AG74" s="2381"/>
      <c r="AH74" s="2381"/>
      <c r="AI74" s="2381"/>
      <c r="AJ74" s="2381"/>
      <c r="AK74" s="2381"/>
    </row>
    <row r="75" spans="1:37" s="2380" customFormat="1" ht="24">
      <c r="A75" s="1495" t="s">
        <v>1785</v>
      </c>
      <c r="B75" s="2596" t="str">
        <f>估价对象房地状况!C22</f>
        <v>估价对象所在区域基础设施水平</v>
      </c>
      <c r="C75" s="1485"/>
      <c r="D75" s="2600">
        <f t="shared" si="20"/>
        <v>0</v>
      </c>
      <c r="E75" s="1514"/>
      <c r="F75" s="1503"/>
      <c r="G75" s="2598"/>
      <c r="H75" s="2616" t="str">
        <f t="shared" si="21"/>
        <v>——</v>
      </c>
      <c r="I75" s="1501">
        <v>0.12</v>
      </c>
      <c r="J75" s="2599">
        <f t="shared" si="22"/>
        <v>0</v>
      </c>
      <c r="K75" s="2599">
        <f t="shared" si="23"/>
        <v>0</v>
      </c>
      <c r="L75" s="2599">
        <v>0</v>
      </c>
      <c r="M75" s="2599">
        <f t="shared" si="24"/>
        <v>0</v>
      </c>
      <c r="N75" s="2599">
        <f t="shared" si="24"/>
        <v>0</v>
      </c>
      <c r="AA75" s="2381"/>
      <c r="AB75" s="2381"/>
      <c r="AC75" s="2381"/>
      <c r="AD75" s="2381"/>
      <c r="AE75" s="2381"/>
      <c r="AF75" s="2381"/>
      <c r="AG75" s="2381"/>
      <c r="AH75" s="2381"/>
      <c r="AI75" s="2381"/>
      <c r="AJ75" s="2381"/>
      <c r="AK75" s="2381"/>
    </row>
    <row r="76" spans="1:37" s="2384" customFormat="1" ht="24">
      <c r="A76" s="1495" t="s">
        <v>1783</v>
      </c>
      <c r="B76" s="3299" t="s">
        <v>3025</v>
      </c>
      <c r="C76" s="1485"/>
      <c r="D76" s="2600">
        <f t="shared" si="20"/>
        <v>0</v>
      </c>
      <c r="E76" s="1514"/>
      <c r="F76" s="1503"/>
      <c r="G76" s="2598"/>
      <c r="H76" s="2616" t="str">
        <f t="shared" si="21"/>
        <v>——</v>
      </c>
      <c r="I76" s="1501">
        <v>0.05</v>
      </c>
      <c r="J76" s="2599">
        <f t="shared" si="22"/>
        <v>0</v>
      </c>
      <c r="K76" s="2599">
        <f t="shared" si="23"/>
        <v>0</v>
      </c>
      <c r="L76" s="2599">
        <v>0</v>
      </c>
      <c r="M76" s="2599">
        <f t="shared" si="24"/>
        <v>0</v>
      </c>
      <c r="N76" s="2599">
        <f t="shared" si="24"/>
        <v>0</v>
      </c>
      <c r="AA76" s="2383"/>
      <c r="AB76" s="2381"/>
      <c r="AC76" s="2381"/>
      <c r="AD76" s="2381"/>
      <c r="AE76" s="2381"/>
      <c r="AF76" s="2381"/>
      <c r="AG76" s="2381"/>
      <c r="AH76" s="2383"/>
      <c r="AI76" s="2383"/>
      <c r="AJ76" s="2383"/>
      <c r="AK76" s="2383"/>
    </row>
    <row r="77" spans="1:37" ht="36">
      <c r="A77" s="1495" t="s">
        <v>1786</v>
      </c>
      <c r="B77" s="1500" t="str">
        <f>估价对象房地状况!C20</f>
        <v>区域自然环境：；人文环境；综合评价环境状况一般</v>
      </c>
      <c r="C77" s="1485"/>
      <c r="D77" s="2600">
        <f t="shared" si="20"/>
        <v>0</v>
      </c>
      <c r="E77" s="1514"/>
      <c r="F77" s="1503"/>
      <c r="G77" s="2598"/>
      <c r="H77" s="2616" t="str">
        <f t="shared" si="21"/>
        <v>——</v>
      </c>
      <c r="I77" s="1501">
        <v>0.15</v>
      </c>
      <c r="J77" s="2599">
        <f t="shared" si="22"/>
        <v>0</v>
      </c>
      <c r="K77" s="2599">
        <f t="shared" si="23"/>
        <v>0</v>
      </c>
      <c r="L77" s="2599">
        <v>0</v>
      </c>
      <c r="M77" s="2599">
        <f t="shared" si="24"/>
        <v>0</v>
      </c>
      <c r="N77" s="2599">
        <f t="shared" si="24"/>
        <v>0</v>
      </c>
      <c r="Z77" s="1625"/>
      <c r="AA77" s="1624"/>
      <c r="AG77" s="1623"/>
      <c r="AK77" s="1624"/>
    </row>
    <row r="78" spans="1:37" ht="24.75" thickBot="1">
      <c r="A78" s="1508" t="s">
        <v>1788</v>
      </c>
      <c r="B78" s="3298"/>
      <c r="C78" s="1485"/>
      <c r="D78" s="2600">
        <f t="shared" si="20"/>
        <v>0</v>
      </c>
      <c r="E78" s="1515"/>
      <c r="F78" s="1503"/>
      <c r="G78" s="2598"/>
      <c r="H78" s="2616" t="str">
        <f t="shared" si="21"/>
        <v>——</v>
      </c>
      <c r="I78" s="1510">
        <v>0.04</v>
      </c>
      <c r="J78" s="2599">
        <f t="shared" si="22"/>
        <v>0</v>
      </c>
      <c r="K78" s="2599">
        <f t="shared" si="23"/>
        <v>0</v>
      </c>
      <c r="L78" s="2599">
        <v>0</v>
      </c>
      <c r="M78" s="2599">
        <f t="shared" si="24"/>
        <v>0</v>
      </c>
      <c r="N78" s="2599">
        <f t="shared" si="24"/>
        <v>0</v>
      </c>
      <c r="Z78" s="1625"/>
      <c r="AA78" s="1624"/>
      <c r="AG78" s="1623"/>
      <c r="AK78" s="1624"/>
    </row>
    <row r="79" spans="1:37" ht="15">
      <c r="A79" s="1489" t="s">
        <v>1102</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1777</v>
      </c>
      <c r="B80" s="1496"/>
      <c r="C80" s="3354" t="s">
        <v>1779</v>
      </c>
      <c r="D80" s="3355" t="s">
        <v>1850</v>
      </c>
      <c r="E80" s="1499" t="s">
        <v>1852</v>
      </c>
      <c r="F80" s="2601" t="s">
        <v>2291</v>
      </c>
      <c r="G80" s="3355" t="s">
        <v>1848</v>
      </c>
      <c r="H80" s="2602" t="s">
        <v>2495</v>
      </c>
      <c r="I80" s="3355" t="s">
        <v>1851</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0">
        <f t="shared" ref="D81:D88" si="25">SUMIF($J$80:$N$80,C81,J81:N81)</f>
        <v>0</v>
      </c>
      <c r="E81" s="1502">
        <f>ROUND(SUM(D81:D88),4)</f>
        <v>0</v>
      </c>
      <c r="F81" s="1503" t="str">
        <f>IF(E2="工业",SUMIF(L1:L12,G2,N1:N12),"——")</f>
        <v>——</v>
      </c>
      <c r="G81" s="2598"/>
      <c r="H81" s="2616" t="str">
        <f t="shared" ref="H81:H88" si="26">IFERROR(ROUNDDOWN($F$81*I81/2,4),"——")</f>
        <v>——</v>
      </c>
      <c r="I81" s="1501">
        <v>0.26</v>
      </c>
      <c r="J81" s="2599">
        <f t="shared" ref="J81:J88" si="27">K81+$G81</f>
        <v>0</v>
      </c>
      <c r="K81" s="2599">
        <f t="shared" ref="K81:K88" si="28">$L81+$G81</f>
        <v>0</v>
      </c>
      <c r="L81" s="2599">
        <v>0</v>
      </c>
      <c r="M81" s="2599">
        <f t="shared" ref="M81:N88" si="29">L81-$G81</f>
        <v>0</v>
      </c>
      <c r="N81" s="2599">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0">
        <f t="shared" si="25"/>
        <v>0</v>
      </c>
      <c r="E82" s="1514"/>
      <c r="F82" s="1503"/>
      <c r="G82" s="2598"/>
      <c r="H82" s="2616" t="str">
        <f t="shared" si="26"/>
        <v>——</v>
      </c>
      <c r="I82" s="1501">
        <v>0.33</v>
      </c>
      <c r="J82" s="2599">
        <f t="shared" si="27"/>
        <v>0</v>
      </c>
      <c r="K82" s="2599">
        <f t="shared" si="28"/>
        <v>0</v>
      </c>
      <c r="L82" s="2599">
        <v>0</v>
      </c>
      <c r="M82" s="2599">
        <f t="shared" si="29"/>
        <v>0</v>
      </c>
      <c r="N82" s="2599">
        <f t="shared" si="29"/>
        <v>0</v>
      </c>
      <c r="Z82" s="1625"/>
      <c r="AA82" s="1624"/>
      <c r="AG82" s="1623"/>
      <c r="AK82" s="1624"/>
    </row>
    <row r="83" spans="1:37" ht="24">
      <c r="A83" s="1495" t="s">
        <v>109</v>
      </c>
      <c r="B83" s="1504">
        <f>估价对象房地状况!G17</f>
        <v>0</v>
      </c>
      <c r="C83" s="1485"/>
      <c r="D83" s="2600">
        <f t="shared" si="25"/>
        <v>0</v>
      </c>
      <c r="E83" s="1514"/>
      <c r="F83" s="1503"/>
      <c r="G83" s="2598"/>
      <c r="H83" s="2616" t="str">
        <f t="shared" si="26"/>
        <v>——</v>
      </c>
      <c r="I83" s="1501">
        <v>0.05</v>
      </c>
      <c r="J83" s="2599">
        <f t="shared" si="27"/>
        <v>0</v>
      </c>
      <c r="K83" s="2599">
        <f t="shared" si="28"/>
        <v>0</v>
      </c>
      <c r="L83" s="2599">
        <v>0</v>
      </c>
      <c r="M83" s="2599">
        <f t="shared" si="29"/>
        <v>0</v>
      </c>
      <c r="N83" s="2599">
        <f t="shared" si="29"/>
        <v>0</v>
      </c>
      <c r="Z83" s="1625"/>
      <c r="AA83" s="1624"/>
      <c r="AG83" s="1623"/>
      <c r="AK83" s="1624"/>
    </row>
    <row r="84" spans="1:37" ht="14.25">
      <c r="A84" s="1495" t="s">
        <v>1787</v>
      </c>
      <c r="B84" s="1504">
        <f>估价对象房地状况!G22</f>
        <v>0</v>
      </c>
      <c r="C84" s="1485"/>
      <c r="D84" s="2600">
        <f t="shared" si="25"/>
        <v>0</v>
      </c>
      <c r="E84" s="1514"/>
      <c r="F84" s="1503"/>
      <c r="G84" s="2598"/>
      <c r="H84" s="2616" t="str">
        <f t="shared" si="26"/>
        <v>——</v>
      </c>
      <c r="I84" s="1501">
        <v>0.04</v>
      </c>
      <c r="J84" s="2599">
        <f t="shared" si="27"/>
        <v>0</v>
      </c>
      <c r="K84" s="2599">
        <f t="shared" si="28"/>
        <v>0</v>
      </c>
      <c r="L84" s="2599">
        <v>0</v>
      </c>
      <c r="M84" s="2599">
        <f t="shared" si="29"/>
        <v>0</v>
      </c>
      <c r="N84" s="2599">
        <f t="shared" si="29"/>
        <v>0</v>
      </c>
      <c r="Z84" s="1625"/>
      <c r="AA84" s="1624"/>
      <c r="AG84" s="1623"/>
      <c r="AK84" s="1624"/>
    </row>
    <row r="85" spans="1:37" ht="24">
      <c r="A85" s="1495" t="s">
        <v>1784</v>
      </c>
      <c r="B85" s="2596" t="str">
        <f>估价对象房地状况!G19</f>
        <v>估价对象所在区域公共配套设施齐备情况</v>
      </c>
      <c r="C85" s="1485"/>
      <c r="D85" s="2600">
        <f t="shared" si="25"/>
        <v>0</v>
      </c>
      <c r="E85" s="1514"/>
      <c r="F85" s="1503"/>
      <c r="G85" s="2598"/>
      <c r="H85" s="2616" t="str">
        <f t="shared" si="26"/>
        <v>——</v>
      </c>
      <c r="I85" s="1501">
        <v>0.06</v>
      </c>
      <c r="J85" s="2599">
        <f t="shared" si="27"/>
        <v>0</v>
      </c>
      <c r="K85" s="2599">
        <f t="shared" si="28"/>
        <v>0</v>
      </c>
      <c r="L85" s="2599">
        <v>0</v>
      </c>
      <c r="M85" s="2599">
        <f t="shared" si="29"/>
        <v>0</v>
      </c>
      <c r="N85" s="2599">
        <f t="shared" si="29"/>
        <v>0</v>
      </c>
      <c r="Z85" s="1625"/>
      <c r="AA85" s="1624"/>
      <c r="AG85" s="1623"/>
      <c r="AK85" s="1624"/>
    </row>
    <row r="86" spans="1:37" ht="24">
      <c r="A86" s="1495" t="s">
        <v>1785</v>
      </c>
      <c r="B86" s="2596" t="str">
        <f>估价对象房地状况!G20</f>
        <v>估价对象所在区域基础设施水平</v>
      </c>
      <c r="C86" s="1485"/>
      <c r="D86" s="2600">
        <f t="shared" si="25"/>
        <v>0</v>
      </c>
      <c r="E86" s="1514"/>
      <c r="F86" s="1503"/>
      <c r="G86" s="2598"/>
      <c r="H86" s="2616" t="str">
        <f t="shared" si="26"/>
        <v>——</v>
      </c>
      <c r="I86" s="1501">
        <v>0.15</v>
      </c>
      <c r="J86" s="2599">
        <f t="shared" si="27"/>
        <v>0</v>
      </c>
      <c r="K86" s="2599">
        <f t="shared" si="28"/>
        <v>0</v>
      </c>
      <c r="L86" s="2599">
        <v>0</v>
      </c>
      <c r="M86" s="2599">
        <f t="shared" si="29"/>
        <v>0</v>
      </c>
      <c r="N86" s="2599">
        <f t="shared" si="29"/>
        <v>0</v>
      </c>
      <c r="Z86" s="1625"/>
      <c r="AA86" s="1624"/>
      <c r="AG86" s="1623"/>
      <c r="AK86" s="1624"/>
    </row>
    <row r="87" spans="1:37" ht="24">
      <c r="A87" s="1495" t="s">
        <v>1783</v>
      </c>
      <c r="B87" s="3299" t="s">
        <v>2493</v>
      </c>
      <c r="C87" s="1485"/>
      <c r="D87" s="2600">
        <f t="shared" si="25"/>
        <v>0</v>
      </c>
      <c r="E87" s="1514"/>
      <c r="F87" s="1503"/>
      <c r="G87" s="2598"/>
      <c r="H87" s="2616" t="str">
        <f t="shared" si="26"/>
        <v>——</v>
      </c>
      <c r="I87" s="1501">
        <v>0.05</v>
      </c>
      <c r="J87" s="2599">
        <f t="shared" si="27"/>
        <v>0</v>
      </c>
      <c r="K87" s="2599">
        <f t="shared" si="28"/>
        <v>0</v>
      </c>
      <c r="L87" s="2599">
        <v>0</v>
      </c>
      <c r="M87" s="2599">
        <f t="shared" si="29"/>
        <v>0</v>
      </c>
      <c r="N87" s="2599">
        <f t="shared" si="29"/>
        <v>0</v>
      </c>
      <c r="Z87" s="1625"/>
      <c r="AA87" s="1624"/>
      <c r="AG87" s="1623"/>
      <c r="AK87" s="1624"/>
    </row>
    <row r="88" spans="1:37" ht="36.75" thickBot="1">
      <c r="A88" s="1508" t="s">
        <v>1789</v>
      </c>
      <c r="B88" s="2597" t="str">
        <f>估价对象房地状况!G18</f>
        <v>该园区内是否有污染型企业，绿化情况，卫生条件，整体环境状况判断</v>
      </c>
      <c r="C88" s="1485"/>
      <c r="D88" s="2600">
        <f t="shared" si="25"/>
        <v>0</v>
      </c>
      <c r="E88" s="1515"/>
      <c r="F88" s="1503"/>
      <c r="G88" s="2598"/>
      <c r="H88" s="2616" t="str">
        <f t="shared" si="26"/>
        <v>——</v>
      </c>
      <c r="I88" s="1510">
        <v>0.06</v>
      </c>
      <c r="J88" s="2599">
        <f t="shared" si="27"/>
        <v>0</v>
      </c>
      <c r="K88" s="2599">
        <f t="shared" si="28"/>
        <v>0</v>
      </c>
      <c r="L88" s="2599">
        <v>0</v>
      </c>
      <c r="M88" s="2599">
        <f t="shared" si="29"/>
        <v>0</v>
      </c>
      <c r="N88" s="2599">
        <f t="shared" si="29"/>
        <v>0</v>
      </c>
      <c r="Z88" s="1625"/>
      <c r="AA88" s="1624"/>
      <c r="AG88" s="1623"/>
      <c r="AK88" s="1624"/>
    </row>
    <row r="90" spans="1:37">
      <c r="A90" s="3740" t="s">
        <v>1758</v>
      </c>
      <c r="B90" s="3740"/>
      <c r="C90" s="3740"/>
      <c r="D90" s="3740"/>
      <c r="E90" s="3740"/>
      <c r="F90" s="3740"/>
      <c r="G90" s="3740"/>
      <c r="H90" s="3740"/>
      <c r="I90" s="3740"/>
      <c r="J90" s="3740"/>
      <c r="K90" s="3361"/>
      <c r="L90" s="3361"/>
      <c r="M90" s="3361"/>
      <c r="N90" s="3361"/>
    </row>
    <row r="91" spans="1:37">
      <c r="A91" s="3741" t="s">
        <v>68</v>
      </c>
      <c r="B91" s="3741" t="s">
        <v>1759</v>
      </c>
      <c r="C91" s="1584" t="s">
        <v>1760</v>
      </c>
      <c r="D91" s="1585"/>
      <c r="E91" s="1585"/>
      <c r="F91" s="1585"/>
      <c r="G91" s="1585"/>
      <c r="H91" s="1585"/>
      <c r="I91" s="1585"/>
      <c r="J91" s="1586"/>
      <c r="K91" s="1574"/>
      <c r="L91" s="1574"/>
      <c r="M91" s="1574"/>
      <c r="N91" s="1574"/>
    </row>
    <row r="92" spans="1:37">
      <c r="A92" s="3741"/>
      <c r="B92" s="3741"/>
      <c r="C92" s="3363" t="s">
        <v>165</v>
      </c>
      <c r="D92" s="3363" t="s">
        <v>166</v>
      </c>
      <c r="E92" s="3363" t="s">
        <v>161</v>
      </c>
      <c r="F92" s="3363" t="s">
        <v>162</v>
      </c>
      <c r="G92" s="3363" t="s">
        <v>163</v>
      </c>
      <c r="H92" s="3363" t="s">
        <v>164</v>
      </c>
      <c r="I92" s="3363" t="s">
        <v>1175</v>
      </c>
      <c r="J92" s="3363" t="s">
        <v>1176</v>
      </c>
      <c r="K92" s="3363" t="s">
        <v>1177</v>
      </c>
      <c r="L92" s="3363" t="s">
        <v>1178</v>
      </c>
      <c r="M92" s="3363" t="s">
        <v>1179</v>
      </c>
      <c r="N92" s="3363" t="s">
        <v>1180</v>
      </c>
    </row>
    <row r="93" spans="1:37">
      <c r="A93" s="3729" t="s">
        <v>1761</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30"/>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30"/>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30"/>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30"/>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30"/>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30"/>
      <c r="B99" s="1587" t="s">
        <v>1762</v>
      </c>
      <c r="C99" s="1589">
        <f>$I$3</f>
        <v>1</v>
      </c>
      <c r="D99" s="1589">
        <f t="shared" ref="D99:M99" si="30">$I$3</f>
        <v>1</v>
      </c>
      <c r="E99" s="1589">
        <f t="shared" si="30"/>
        <v>1</v>
      </c>
      <c r="F99" s="1589">
        <f t="shared" si="30"/>
        <v>1</v>
      </c>
      <c r="G99" s="1589">
        <f t="shared" si="30"/>
        <v>1</v>
      </c>
      <c r="H99" s="1589">
        <f t="shared" si="30"/>
        <v>1</v>
      </c>
      <c r="I99" s="1589">
        <f t="shared" si="30"/>
        <v>1</v>
      </c>
      <c r="J99" s="1589">
        <f t="shared" si="30"/>
        <v>1</v>
      </c>
      <c r="K99" s="1589">
        <f t="shared" si="30"/>
        <v>1</v>
      </c>
      <c r="L99" s="1589">
        <f t="shared" si="30"/>
        <v>1</v>
      </c>
      <c r="M99" s="1589">
        <f t="shared" si="30"/>
        <v>1</v>
      </c>
      <c r="N99" s="1589">
        <f>$I$3</f>
        <v>1</v>
      </c>
    </row>
    <row r="100" spans="1:14">
      <c r="A100" s="3731"/>
      <c r="B100" s="1587">
        <v>7</v>
      </c>
      <c r="C100" s="1590">
        <f>(-0.163*(C99^2)-0.59*C99+7617)*(10^(-4))</f>
        <v>0.76162470000000004</v>
      </c>
      <c r="D100" s="1590">
        <f>(-0.163*(D99^2)-0.59*D99+7617)*(10^(-4))</f>
        <v>0.76162470000000004</v>
      </c>
      <c r="E100" s="1590">
        <f>(-0.161*(E99^2)-7.509*E99+6533)*(10^(-4))</f>
        <v>0.65253300000000003</v>
      </c>
      <c r="F100" s="1590">
        <f>(-0.161*(F99^2)-7.509*F99+6533)*(10^(-4))</f>
        <v>0.65253300000000003</v>
      </c>
      <c r="G100" s="1590">
        <f>(-0.161*(G99^2)-7.509*G99+6533)*(10^(-4))</f>
        <v>0.65253300000000003</v>
      </c>
      <c r="H100" s="1590">
        <f>(-0.161*(H99^2)-7.509*H99+6533)*(10^(-4))</f>
        <v>0.65253300000000003</v>
      </c>
      <c r="I100" s="1590">
        <f>(-0.161*(I99^2)-7.509*I99+6533)*(10^(-4))</f>
        <v>0.65253300000000003</v>
      </c>
      <c r="J100" s="1590">
        <f>(-0.214*(J99^2)-21.991*J99+4665)*(10^(-4))</f>
        <v>0.46427950000000001</v>
      </c>
      <c r="K100" s="1590">
        <f>(-0.214*(K99^2)-21.991*K99+4665)*(10^(-4))</f>
        <v>0.46427950000000001</v>
      </c>
      <c r="L100" s="1590">
        <f>(-0.214*(L99^2)-21.991*L99+4665)*(10^(-4))</f>
        <v>0.46427950000000001</v>
      </c>
      <c r="M100" s="1590">
        <f>(-0.214*(M99^2)-21.991*M99+4665)*(10^(-4))</f>
        <v>0.46427950000000001</v>
      </c>
      <c r="N100" s="1590">
        <f>(-0.214*(N99^2)-21.991*N99+4665)*(10^(-4))</f>
        <v>0.46427950000000001</v>
      </c>
    </row>
    <row r="101" spans="1:14">
      <c r="A101" s="3729" t="s">
        <v>1763</v>
      </c>
      <c r="B101" s="1591" t="s">
        <v>93</v>
      </c>
      <c r="C101" s="1592">
        <f>$G$3</f>
        <v>9.75</v>
      </c>
      <c r="D101" s="1592">
        <f t="shared" ref="D101:N101" si="31">$G$3</f>
        <v>9.75</v>
      </c>
      <c r="E101" s="1592">
        <f t="shared" si="31"/>
        <v>9.75</v>
      </c>
      <c r="F101" s="1592">
        <f t="shared" si="31"/>
        <v>9.75</v>
      </c>
      <c r="G101" s="1592">
        <f t="shared" si="31"/>
        <v>9.75</v>
      </c>
      <c r="H101" s="1592">
        <f t="shared" si="31"/>
        <v>9.75</v>
      </c>
      <c r="I101" s="1592">
        <f t="shared" si="31"/>
        <v>9.75</v>
      </c>
      <c r="J101" s="1592">
        <f t="shared" si="31"/>
        <v>9.75</v>
      </c>
      <c r="K101" s="1592">
        <f t="shared" si="31"/>
        <v>9.75</v>
      </c>
      <c r="L101" s="1592">
        <f t="shared" si="31"/>
        <v>9.75</v>
      </c>
      <c r="M101" s="1592">
        <f t="shared" si="31"/>
        <v>9.75</v>
      </c>
      <c r="N101" s="1592">
        <f t="shared" si="31"/>
        <v>9.75</v>
      </c>
    </row>
    <row r="102" spans="1:14">
      <c r="A102" s="3730"/>
      <c r="B102" s="1587">
        <v>1</v>
      </c>
      <c r="C102" s="1588">
        <f>1.9362/C101</f>
        <v>0.19858461538461539</v>
      </c>
      <c r="D102" s="1588">
        <f>1.9362/D101</f>
        <v>0.19858461538461539</v>
      </c>
      <c r="E102" s="1588">
        <f>1.8629/E101</f>
        <v>0.19106666666666666</v>
      </c>
      <c r="F102" s="1588">
        <f>1.8629/F101</f>
        <v>0.19106666666666666</v>
      </c>
      <c r="G102" s="1588">
        <f>1.8629/G101</f>
        <v>0.19106666666666666</v>
      </c>
      <c r="H102" s="1588">
        <f>1.8629/H101</f>
        <v>0.19106666666666666</v>
      </c>
      <c r="I102" s="1588">
        <f>1.8629/I101</f>
        <v>0.19106666666666666</v>
      </c>
      <c r="J102" s="1588">
        <f>1.942/J101</f>
        <v>0.19917948717948716</v>
      </c>
      <c r="K102" s="1588">
        <f>1.942/K101</f>
        <v>0.19917948717948716</v>
      </c>
      <c r="L102" s="1588">
        <f>1.942/L101</f>
        <v>0.19917948717948716</v>
      </c>
      <c r="M102" s="1588">
        <f>1.942/M101</f>
        <v>0.19917948717948716</v>
      </c>
      <c r="N102" s="1588">
        <f>1.942/N101</f>
        <v>0.19917948717948716</v>
      </c>
    </row>
    <row r="103" spans="1:14">
      <c r="A103" s="3730"/>
      <c r="B103" s="1587">
        <v>2</v>
      </c>
      <c r="C103" s="1588">
        <f>1.4198/C101</f>
        <v>0.1456205128205128</v>
      </c>
      <c r="D103" s="1588">
        <f>1.4198/D101</f>
        <v>0.1456205128205128</v>
      </c>
      <c r="E103" s="1588">
        <f>1.3372/E101</f>
        <v>0.13714871794871794</v>
      </c>
      <c r="F103" s="1588">
        <f>1.3372/F101</f>
        <v>0.13714871794871794</v>
      </c>
      <c r="G103" s="1588">
        <f>1.3372/G101</f>
        <v>0.13714871794871794</v>
      </c>
      <c r="H103" s="1588">
        <f>1.3372/H101</f>
        <v>0.13714871794871794</v>
      </c>
      <c r="I103" s="1588">
        <f>1.3372/I101</f>
        <v>0.13714871794871794</v>
      </c>
      <c r="J103" s="1588">
        <f>1.2799/J101</f>
        <v>0.13127179487179488</v>
      </c>
      <c r="K103" s="1588">
        <f>1.2799/K101</f>
        <v>0.13127179487179488</v>
      </c>
      <c r="L103" s="1588">
        <f>1.2799/L101</f>
        <v>0.13127179487179488</v>
      </c>
      <c r="M103" s="1588">
        <f>1.2799/M101</f>
        <v>0.13127179487179488</v>
      </c>
      <c r="N103" s="1588">
        <f>1.2799/N101</f>
        <v>0.13127179487179488</v>
      </c>
    </row>
    <row r="104" spans="1:14">
      <c r="A104" s="3730"/>
      <c r="B104" s="1587">
        <v>3</v>
      </c>
      <c r="C104" s="1588">
        <f>1.1594/C101</f>
        <v>0.11891282051282051</v>
      </c>
      <c r="D104" s="1588">
        <f>1.1594/D101</f>
        <v>0.11891282051282051</v>
      </c>
      <c r="E104" s="1588">
        <f>1.0788/E101</f>
        <v>0.11064615384615384</v>
      </c>
      <c r="F104" s="1588">
        <f>1.0788/F101</f>
        <v>0.11064615384615384</v>
      </c>
      <c r="G104" s="1588">
        <f>1.0788/G101</f>
        <v>0.11064615384615384</v>
      </c>
      <c r="H104" s="1588">
        <f>1.0788/H101</f>
        <v>0.11064615384615384</v>
      </c>
      <c r="I104" s="1588">
        <f>1.0788/I101</f>
        <v>0.11064615384615384</v>
      </c>
      <c r="J104" s="1588">
        <f>1.0072/J101</f>
        <v>0.10330256410256411</v>
      </c>
      <c r="K104" s="1588">
        <f>1.0072/K101</f>
        <v>0.10330256410256411</v>
      </c>
      <c r="L104" s="1588">
        <f>1.0072/L101</f>
        <v>0.10330256410256411</v>
      </c>
      <c r="M104" s="1588">
        <f>1.0072/M101</f>
        <v>0.10330256410256411</v>
      </c>
      <c r="N104" s="1588">
        <f>1.0072/N101</f>
        <v>0.10330256410256411</v>
      </c>
    </row>
    <row r="105" spans="1:14">
      <c r="A105" s="3730"/>
      <c r="B105" s="1587">
        <v>4</v>
      </c>
      <c r="C105" s="1588">
        <f>0.9622/C101</f>
        <v>9.8687179487179491E-2</v>
      </c>
      <c r="D105" s="1588">
        <f>0.9622/D101</f>
        <v>9.8687179487179491E-2</v>
      </c>
      <c r="E105" s="1588">
        <f>0.8656/E101</f>
        <v>8.8779487179487179E-2</v>
      </c>
      <c r="F105" s="1588">
        <f>0.8656/F101</f>
        <v>8.8779487179487179E-2</v>
      </c>
      <c r="G105" s="1588">
        <f>0.8656/G101</f>
        <v>8.8779487179487179E-2</v>
      </c>
      <c r="H105" s="1588">
        <f>0.8656/H101</f>
        <v>8.8779487179487179E-2</v>
      </c>
      <c r="I105" s="1588">
        <f>0.8656/I101</f>
        <v>8.8779487179487179E-2</v>
      </c>
      <c r="J105" s="1588">
        <f>0.7525/J101</f>
        <v>7.717948717948718E-2</v>
      </c>
      <c r="K105" s="1588">
        <f>0.7525/K101</f>
        <v>7.717948717948718E-2</v>
      </c>
      <c r="L105" s="1588">
        <f>0.7525/L101</f>
        <v>7.717948717948718E-2</v>
      </c>
      <c r="M105" s="1588">
        <f>0.7525/M101</f>
        <v>7.717948717948718E-2</v>
      </c>
      <c r="N105" s="1588">
        <f>0.7525/N101</f>
        <v>7.717948717948718E-2</v>
      </c>
    </row>
    <row r="106" spans="1:14">
      <c r="A106" s="3730"/>
      <c r="B106" s="1587">
        <v>5</v>
      </c>
      <c r="C106" s="1588">
        <f>0.8417/C101</f>
        <v>8.6328205128205132E-2</v>
      </c>
      <c r="D106" s="1588">
        <f>0.8417/D101</f>
        <v>8.6328205128205132E-2</v>
      </c>
      <c r="E106" s="1588">
        <f>0.7371/E101</f>
        <v>7.5600000000000001E-2</v>
      </c>
      <c r="F106" s="1588">
        <f>0.7371/F101</f>
        <v>7.5600000000000001E-2</v>
      </c>
      <c r="G106" s="1588">
        <f>0.7371/G101</f>
        <v>7.5600000000000001E-2</v>
      </c>
      <c r="H106" s="1588">
        <f>0.7371/H101</f>
        <v>7.5600000000000001E-2</v>
      </c>
      <c r="I106" s="1588">
        <f>0.7371/I101</f>
        <v>7.5600000000000001E-2</v>
      </c>
      <c r="J106" s="1588">
        <f>0.5659/J101</f>
        <v>5.8041025641025638E-2</v>
      </c>
      <c r="K106" s="1588">
        <f>0.5659/K101</f>
        <v>5.8041025641025638E-2</v>
      </c>
      <c r="L106" s="1588">
        <f>0.5659/L101</f>
        <v>5.8041025641025638E-2</v>
      </c>
      <c r="M106" s="1588">
        <f>0.5659/M101</f>
        <v>5.8041025641025638E-2</v>
      </c>
      <c r="N106" s="1588">
        <f>0.5659/N101</f>
        <v>5.8041025641025638E-2</v>
      </c>
    </row>
    <row r="107" spans="1:14">
      <c r="A107" s="3730"/>
      <c r="B107" s="1587">
        <v>6</v>
      </c>
      <c r="C107" s="1588">
        <f>0.7608/C101</f>
        <v>7.8030769230769237E-2</v>
      </c>
      <c r="D107" s="1588">
        <f>0.7608/D101</f>
        <v>7.8030769230769237E-2</v>
      </c>
      <c r="E107" s="1588">
        <f>0.6482/E101</f>
        <v>6.6482051282051285E-2</v>
      </c>
      <c r="F107" s="1588">
        <f>0.6482/F101</f>
        <v>6.6482051282051285E-2</v>
      </c>
      <c r="G107" s="1588">
        <f>0.6482/G101</f>
        <v>6.6482051282051285E-2</v>
      </c>
      <c r="H107" s="1588">
        <f>0.6482/H101</f>
        <v>6.6482051282051285E-2</v>
      </c>
      <c r="I107" s="1588">
        <f>0.6482/I101</f>
        <v>6.6482051282051285E-2</v>
      </c>
      <c r="J107" s="1588">
        <f>0.4525/J101</f>
        <v>4.6410256410256409E-2</v>
      </c>
      <c r="K107" s="1588">
        <f>0.4525/K101</f>
        <v>4.6410256410256409E-2</v>
      </c>
      <c r="L107" s="1588">
        <f>0.4525/L101</f>
        <v>4.6410256410256409E-2</v>
      </c>
      <c r="M107" s="1588">
        <f>0.4525/M101</f>
        <v>4.6410256410256409E-2</v>
      </c>
      <c r="N107" s="1588">
        <f>0.4525/N101</f>
        <v>4.6410256410256409E-2</v>
      </c>
    </row>
    <row r="108" spans="1:14">
      <c r="A108" s="3730"/>
      <c r="B108" s="3732" t="s">
        <v>1765</v>
      </c>
      <c r="C108" s="1589">
        <f>C99</f>
        <v>1</v>
      </c>
      <c r="D108" s="1589">
        <f t="shared" ref="D108:N108" si="32">D99</f>
        <v>1</v>
      </c>
      <c r="E108" s="1589">
        <f t="shared" si="32"/>
        <v>1</v>
      </c>
      <c r="F108" s="1589">
        <f t="shared" si="32"/>
        <v>1</v>
      </c>
      <c r="G108" s="1589">
        <f t="shared" si="32"/>
        <v>1</v>
      </c>
      <c r="H108" s="1589">
        <f t="shared" si="32"/>
        <v>1</v>
      </c>
      <c r="I108" s="1589">
        <f t="shared" si="32"/>
        <v>1</v>
      </c>
      <c r="J108" s="1589">
        <f t="shared" si="32"/>
        <v>1</v>
      </c>
      <c r="K108" s="1589">
        <f t="shared" si="32"/>
        <v>1</v>
      </c>
      <c r="L108" s="1589">
        <f t="shared" si="32"/>
        <v>1</v>
      </c>
      <c r="M108" s="1589">
        <f t="shared" si="32"/>
        <v>1</v>
      </c>
      <c r="N108" s="1589">
        <f t="shared" si="32"/>
        <v>1</v>
      </c>
    </row>
    <row r="109" spans="1:14">
      <c r="A109" s="3731"/>
      <c r="B109" s="3733"/>
      <c r="C109" s="1590">
        <f>(-0.163*(C108^2)-0.59*C108+7617)*(10^(-4))/C101</f>
        <v>7.8115353846153854E-2</v>
      </c>
      <c r="D109" s="1590">
        <f>(-0.163*(D108^2)-0.59*D108+7617)*(10^(-4))/D101</f>
        <v>7.8115353846153854E-2</v>
      </c>
      <c r="E109" s="1590">
        <f>(-0.161*(E108^2)-7.509*E108+6533)*(10^(-4))/E101</f>
        <v>6.6926461538461546E-2</v>
      </c>
      <c r="F109" s="1590">
        <f>(-0.161*(F108^2)-7.509*F108+6533)*(10^(-4))/F101</f>
        <v>6.6926461538461546E-2</v>
      </c>
      <c r="G109" s="1590">
        <f>(-0.161*(G108^2)-7.509*G108+6533)*(10^(-4))/G101</f>
        <v>6.6926461538461546E-2</v>
      </c>
      <c r="H109" s="1590">
        <f>(-0.161*(H108^2)-7.509*H108+6533)*(10^(-4))/H101</f>
        <v>6.6926461538461546E-2</v>
      </c>
      <c r="I109" s="1590">
        <f>(-0.161*(I108^2)-7.509*I108+6533)*(10^(-4))/I101</f>
        <v>6.6926461538461546E-2</v>
      </c>
      <c r="J109" s="1590">
        <f>(-0.214*(J108^2)-21.991*J108+4665)*(10^(-4))/J101</f>
        <v>4.7618410256410261E-2</v>
      </c>
      <c r="K109" s="1590">
        <f>(-0.214*(K108^2)-21.991*K108+4665)*(10^(-4))/K101</f>
        <v>4.7618410256410261E-2</v>
      </c>
      <c r="L109" s="1590">
        <f>(-0.214*(L108^2)-21.991*L108+4665)*(10^(-4))/L101</f>
        <v>4.7618410256410261E-2</v>
      </c>
      <c r="M109" s="1590">
        <f>(-0.214*(M108^2)-21.991*M108+4665)*(10^(-4))/M101</f>
        <v>4.7618410256410261E-2</v>
      </c>
      <c r="N109" s="1590">
        <f>(-0.214*(N108^2)-21.991*N108+4665)*(10^(-4))/N101</f>
        <v>4.7618410256410261E-2</v>
      </c>
    </row>
    <row r="110" spans="1:14">
      <c r="A110" s="3734" t="s">
        <v>1766</v>
      </c>
      <c r="B110" s="3734"/>
      <c r="C110" s="3734"/>
      <c r="D110" s="3734"/>
      <c r="E110" s="3734"/>
      <c r="F110" s="3734"/>
      <c r="G110" s="3734"/>
      <c r="H110" s="3734"/>
      <c r="I110" s="3734"/>
      <c r="J110" s="3734"/>
      <c r="K110" s="3362"/>
      <c r="L110" s="3362"/>
      <c r="M110" s="3362"/>
      <c r="N110" s="3362"/>
    </row>
    <row r="112" spans="1:14" ht="12.75" thickBot="1"/>
    <row r="113" spans="1:13" ht="25.5" thickBot="1">
      <c r="A113" s="1600" t="s">
        <v>1768</v>
      </c>
      <c r="B113" s="2606">
        <f>G3</f>
        <v>9.75</v>
      </c>
      <c r="C113" s="1601" t="s">
        <v>1769</v>
      </c>
      <c r="D113" s="1602">
        <f>SUMPRODUCT((A115:A118=F113)*(B114:M114=H113)*B115:M118)</f>
        <v>0.7268</v>
      </c>
      <c r="E113" s="1603" t="s">
        <v>68</v>
      </c>
      <c r="F113" s="1604" t="str">
        <f>E2</f>
        <v>商业</v>
      </c>
      <c r="G113" s="1603" t="s">
        <v>1558</v>
      </c>
      <c r="H113" s="1604" t="str">
        <f>G2</f>
        <v>三级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1175</v>
      </c>
      <c r="I114" s="1610" t="s">
        <v>1176</v>
      </c>
      <c r="J114" s="1611" t="s">
        <v>1177</v>
      </c>
      <c r="K114" s="1611" t="s">
        <v>1178</v>
      </c>
      <c r="L114" s="1611" t="s">
        <v>1179</v>
      </c>
      <c r="M114" s="1612" t="s">
        <v>1180</v>
      </c>
    </row>
    <row r="115" spans="1:13" ht="12.75">
      <c r="A115" s="1613" t="s">
        <v>1770</v>
      </c>
      <c r="B115" s="1614">
        <f>ROUND(0.9335-0.0094*B113,4)</f>
        <v>0.84189999999999998</v>
      </c>
      <c r="C115" s="1614">
        <f>B115</f>
        <v>0.84189999999999998</v>
      </c>
      <c r="D115" s="1614">
        <f>ROUND(0.8331-0.0109*B113,4)</f>
        <v>0.7268</v>
      </c>
      <c r="E115" s="1614">
        <f>D115</f>
        <v>0.7268</v>
      </c>
      <c r="F115" s="1614">
        <f>E115</f>
        <v>0.7268</v>
      </c>
      <c r="G115" s="1614">
        <f>F115</f>
        <v>0.7268</v>
      </c>
      <c r="H115" s="1614">
        <f>G115</f>
        <v>0.7268</v>
      </c>
      <c r="I115" s="1614">
        <f>ROUND(0.689-0.0155*B113,4)</f>
        <v>0.53790000000000004</v>
      </c>
      <c r="J115" s="1614">
        <f t="shared" ref="J115:M118" si="33">I115</f>
        <v>0.53790000000000004</v>
      </c>
      <c r="K115" s="1614">
        <f t="shared" si="33"/>
        <v>0.53790000000000004</v>
      </c>
      <c r="L115" s="1614">
        <f t="shared" si="33"/>
        <v>0.53790000000000004</v>
      </c>
      <c r="M115" s="1615">
        <f t="shared" si="33"/>
        <v>0.53790000000000004</v>
      </c>
    </row>
    <row r="116" spans="1:13" ht="12.75">
      <c r="A116" s="1613" t="s">
        <v>1771</v>
      </c>
      <c r="B116" s="1614">
        <f>ROUND(0.949-0.012*B113,4)</f>
        <v>0.83199999999999996</v>
      </c>
      <c r="C116" s="1614">
        <f>B116</f>
        <v>0.83199999999999996</v>
      </c>
      <c r="D116" s="1614">
        <f>ROUND(0.8567-0.013*B113,4)</f>
        <v>0.73</v>
      </c>
      <c r="E116" s="1614">
        <f t="shared" ref="E116:H117" si="34">D116</f>
        <v>0.73</v>
      </c>
      <c r="F116" s="1614">
        <f t="shared" si="34"/>
        <v>0.73</v>
      </c>
      <c r="G116" s="1614">
        <f t="shared" si="34"/>
        <v>0.73</v>
      </c>
      <c r="H116" s="1614">
        <f t="shared" si="34"/>
        <v>0.73</v>
      </c>
      <c r="I116" s="1614">
        <f>ROUND(0.7694-0.014*B113,4)</f>
        <v>0.63290000000000002</v>
      </c>
      <c r="J116" s="1614">
        <f t="shared" si="33"/>
        <v>0.63290000000000002</v>
      </c>
      <c r="K116" s="1614">
        <f t="shared" si="33"/>
        <v>0.63290000000000002</v>
      </c>
      <c r="L116" s="1614">
        <f t="shared" si="33"/>
        <v>0.63290000000000002</v>
      </c>
      <c r="M116" s="1615">
        <f t="shared" si="33"/>
        <v>0.63290000000000002</v>
      </c>
    </row>
    <row r="117" spans="1:13" ht="12.75">
      <c r="A117" s="1616" t="s">
        <v>981</v>
      </c>
      <c r="B117" s="1614">
        <f>ROUND(0.8808-0.006*B113,4)</f>
        <v>0.82230000000000003</v>
      </c>
      <c r="C117" s="1614">
        <f>B117</f>
        <v>0.82230000000000003</v>
      </c>
      <c r="D117" s="1614">
        <f>ROUND(0.8748-0.008*B113,4)</f>
        <v>0.79679999999999995</v>
      </c>
      <c r="E117" s="1614">
        <f t="shared" si="34"/>
        <v>0.79679999999999995</v>
      </c>
      <c r="F117" s="1614">
        <f t="shared" si="34"/>
        <v>0.79679999999999995</v>
      </c>
      <c r="G117" s="1614">
        <f t="shared" si="34"/>
        <v>0.79679999999999995</v>
      </c>
      <c r="H117" s="1614">
        <f t="shared" si="34"/>
        <v>0.79679999999999995</v>
      </c>
      <c r="I117" s="1614">
        <f>ROUND(0.7412-0.0095*B113,4)</f>
        <v>0.64859999999999995</v>
      </c>
      <c r="J117" s="1614">
        <f t="shared" si="33"/>
        <v>0.64859999999999995</v>
      </c>
      <c r="K117" s="1614">
        <f t="shared" si="33"/>
        <v>0.64859999999999995</v>
      </c>
      <c r="L117" s="1614">
        <f t="shared" si="33"/>
        <v>0.64859999999999995</v>
      </c>
      <c r="M117" s="1615">
        <f t="shared" si="33"/>
        <v>0.64859999999999995</v>
      </c>
    </row>
    <row r="118" spans="1:13" ht="13.5" thickBot="1">
      <c r="A118" s="1123" t="s">
        <v>1772</v>
      </c>
      <c r="B118" s="1617">
        <f>ROUND(0.7275-0.01*B113,4)</f>
        <v>0.63</v>
      </c>
      <c r="C118" s="1617">
        <f>B118</f>
        <v>0.63</v>
      </c>
      <c r="D118" s="1617">
        <f>ROUND(0.7043-0.012*B113,4)</f>
        <v>0.58730000000000004</v>
      </c>
      <c r="E118" s="1617">
        <f>D118</f>
        <v>0.58730000000000004</v>
      </c>
      <c r="F118" s="1617">
        <f>E118</f>
        <v>0.58730000000000004</v>
      </c>
      <c r="G118" s="1617">
        <f>ROUND(0.6299-0.0122*B113,4)</f>
        <v>0.51100000000000001</v>
      </c>
      <c r="H118" s="1617">
        <f>G118</f>
        <v>0.51100000000000001</v>
      </c>
      <c r="I118" s="1617">
        <f>ROUND(0.5667-0.0136*B113,4)</f>
        <v>0.43409999999999999</v>
      </c>
      <c r="J118" s="1617">
        <f t="shared" si="33"/>
        <v>0.43409999999999999</v>
      </c>
      <c r="K118" s="1617">
        <f t="shared" si="33"/>
        <v>0.43409999999999999</v>
      </c>
      <c r="L118" s="1617">
        <f t="shared" si="33"/>
        <v>0.43409999999999999</v>
      </c>
      <c r="M118" s="1618">
        <f t="shared" si="33"/>
        <v>0.43409999999999999</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G48" sqref="G48:G5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1792</v>
      </c>
      <c r="B1" s="1474"/>
      <c r="C1" s="86" t="s">
        <v>2502</v>
      </c>
      <c r="D1" s="1736">
        <f>SUM(D29:D30,D33:D39)</f>
        <v>0</v>
      </c>
      <c r="E1" s="1621"/>
      <c r="F1" s="1621"/>
      <c r="G1" s="1621"/>
      <c r="H1" s="1621"/>
      <c r="I1" s="1621"/>
      <c r="J1" s="1621"/>
      <c r="K1" s="2380"/>
      <c r="L1" s="1882" t="s">
        <v>1224</v>
      </c>
      <c r="M1" s="2135">
        <f>SUMPRODUCT((区片价!B5:B9=I2)*(区片价!C3:F3=E2)*(区片价!C5:F9))</f>
        <v>0</v>
      </c>
      <c r="N1" s="2138">
        <f>SUMPRODUCT((因素修正幅度!B5:B9=I2)*(因素修正幅度!C3:F3=E2)*(因素修正幅度!C5:F9))</f>
        <v>0</v>
      </c>
      <c r="O1" s="2384"/>
      <c r="P1" s="2384"/>
      <c r="Q1" s="2380"/>
      <c r="R1" s="3069" t="s">
        <v>2889</v>
      </c>
      <c r="S1" s="3069" t="s">
        <v>2890</v>
      </c>
      <c r="T1" s="3069" t="s">
        <v>2891</v>
      </c>
      <c r="U1" s="3069" t="s">
        <v>2892</v>
      </c>
      <c r="V1" s="3069" t="s">
        <v>2893</v>
      </c>
      <c r="W1" s="3070"/>
      <c r="X1" s="3070"/>
      <c r="Y1" s="3070"/>
      <c r="Z1" s="3070"/>
      <c r="AA1" s="3070"/>
      <c r="AB1" s="3070"/>
      <c r="AC1" s="3071"/>
      <c r="AD1" s="3072"/>
      <c r="AE1" s="3072"/>
      <c r="AF1" s="3072"/>
      <c r="AG1" s="3072"/>
      <c r="AH1" s="3072"/>
      <c r="AI1" s="3072"/>
      <c r="AJ1" s="3073"/>
    </row>
    <row r="2" spans="1:36" ht="15.75">
      <c r="A2" s="86" t="s">
        <v>1793</v>
      </c>
      <c r="B2" s="580" t="e">
        <f ca="1">C26</f>
        <v>#DIV/0!</v>
      </c>
      <c r="C2" s="1472" t="s">
        <v>1134</v>
      </c>
      <c r="D2" s="1626" t="s">
        <v>1794</v>
      </c>
      <c r="E2" s="1780" t="s">
        <v>3042</v>
      </c>
      <c r="F2" s="1626" t="s">
        <v>1795</v>
      </c>
      <c r="G2" s="1603" t="str">
        <f>IF(E2="商业",项目基本情况!B37,IF(E2="办公",项目基本情况!C37,IF(E2="住宅",项目基本情况!D37,项目基本情况!E37)))</f>
        <v>三级</v>
      </c>
      <c r="H2" s="1626" t="s">
        <v>1796</v>
      </c>
      <c r="I2" s="1603" t="str">
        <f>IF(E2="商业",项目基本情况!B38,IF(E2="办公",项目基本情况!C38,IF(E2="住宅",项目基本情况!D38,项目基本情况!E38)))</f>
        <v>Ⅲ—16</v>
      </c>
      <c r="J2" s="1627"/>
      <c r="K2" s="2380"/>
      <c r="L2" s="1883" t="s">
        <v>1281</v>
      </c>
      <c r="M2" s="2136">
        <f>SUMPRODUCT((区片价!B10:B28=I2)*(区片价!C3:F3=E2)*(区片价!C10:F28))</f>
        <v>0</v>
      </c>
      <c r="N2" s="2138">
        <f>SUMPRODUCT((因素修正幅度!B10:B28=I2)*(因素修正幅度!C3:F3=E2)*(因素修正幅度!C10:F28))</f>
        <v>0</v>
      </c>
      <c r="O2" s="2380"/>
      <c r="P2" s="2380"/>
      <c r="Q2" s="2380"/>
      <c r="R2" s="3074">
        <v>1</v>
      </c>
      <c r="S2" s="3074">
        <f>ROUND(IF(G3&gt;1,IF(R2&lt;7,SUMPRODUCT((B93:B98=R2)*(C92:N92=G2)*(C93:N98)),SUMIF(C92:N92,G2,C100:N100)),IF(R2&lt;7,SUMPRODUCT((B102:B107=R2)*(C92:N92=G2)*(C102:N107)),SUMIF(C92:N92,G2,C109:N109))),4)</f>
        <v>1.8629</v>
      </c>
      <c r="T2" s="3074" t="e">
        <f ca="1">ROUND($C$5*$C$18*$C$19*$C$20*S2*$C$24,0)</f>
        <v>#DIV/0!</v>
      </c>
      <c r="U2" s="3075"/>
      <c r="V2" s="3074" t="e">
        <f ca="1">ROUND(T2*U2/10000,0)</f>
        <v>#DIV/0!</v>
      </c>
      <c r="W2" s="3070"/>
      <c r="X2" s="3070"/>
      <c r="Y2" s="3070"/>
      <c r="Z2" s="3070"/>
      <c r="AA2" s="3070"/>
      <c r="AB2" s="3070"/>
      <c r="AC2" s="3071"/>
      <c r="AD2" s="3072"/>
      <c r="AE2" s="3072"/>
      <c r="AF2" s="3072"/>
      <c r="AG2" s="3072"/>
      <c r="AH2" s="3072"/>
      <c r="AI2" s="3072"/>
      <c r="AJ2" s="3073"/>
    </row>
    <row r="3" spans="1:36" ht="15.75">
      <c r="A3" s="87" t="s">
        <v>1797</v>
      </c>
      <c r="B3" s="580" t="e">
        <f ca="1">ROUND(B2*10000/D1,0)</f>
        <v>#DIV/0!</v>
      </c>
      <c r="C3" s="1472" t="s">
        <v>1798</v>
      </c>
      <c r="D3" s="1626" t="s">
        <v>1137</v>
      </c>
      <c r="E3" s="1781" t="s">
        <v>3099</v>
      </c>
      <c r="F3" s="1782" t="s">
        <v>3024</v>
      </c>
      <c r="G3" s="1628">
        <f>IF(F3="宗地容积率",'数据-汇总表'!I4,IF(F3="估价对象容积率",'数据-汇总表'!I6,'数据-汇总表'!I7))</f>
        <v>9.75</v>
      </c>
      <c r="H3" s="1629" t="s">
        <v>1138</v>
      </c>
      <c r="I3" s="1783">
        <v>2</v>
      </c>
      <c r="J3" s="1627" t="s">
        <v>1139</v>
      </c>
      <c r="K3" s="2380"/>
      <c r="L3" s="1883" t="s">
        <v>1454</v>
      </c>
      <c r="M3" s="2136">
        <f>SUMPRODUCT((区片价!B29:B48=I2)*(区片价!C3:F3=E2)*(区片价!C29:F48))</f>
        <v>23260</v>
      </c>
      <c r="N3" s="2138">
        <f>SUMPRODUCT((因素修正幅度!B29:B48=I2)*(因素修正幅度!C3:F3=E2)*(因素修正幅度!C29:F48))</f>
        <v>8.5999999999999993E-2</v>
      </c>
      <c r="O3" s="2380"/>
      <c r="P3" s="2380"/>
      <c r="Q3" s="2380"/>
      <c r="R3" s="3074">
        <v>2</v>
      </c>
      <c r="S3" s="3074">
        <f>ROUND(IF(G3&gt;1,IF(R3&lt;7,SUMPRODUCT((B93:B98=R3)*(C92:N92=G2)*(C93:N98)),SUMIF(C92:N92,G2,C100:N100)),IF(R3&lt;7,SUMPRODUCT((B102:B107=R3)*(C92:N92=G2)*(C102:N107)),SUMIF(C92:N92,G2,C109:N109))),4)</f>
        <v>1.3371999999999999</v>
      </c>
      <c r="T3" s="3074" t="e">
        <f t="shared" ref="T3:T16" ca="1" si="0">ROUND($C$5*$C$18*$C$19*$C$20*S3*$C$24,0)</f>
        <v>#DIV/0!</v>
      </c>
      <c r="U3" s="3075"/>
      <c r="V3" s="3074" t="e">
        <f t="shared" ref="V3:V16" ca="1" si="1">ROUND(T3*U3/10000,0)</f>
        <v>#DIV/0!</v>
      </c>
      <c r="W3" s="3070"/>
      <c r="X3" s="3070"/>
      <c r="Y3" s="3070"/>
      <c r="Z3" s="3070"/>
      <c r="AA3" s="3070"/>
      <c r="AB3" s="3070"/>
      <c r="AC3" s="3071"/>
      <c r="AD3" s="3072"/>
      <c r="AE3" s="3072"/>
      <c r="AF3" s="3072"/>
      <c r="AG3" s="3072"/>
      <c r="AH3" s="3072"/>
      <c r="AI3" s="3072"/>
      <c r="AJ3" s="3073"/>
    </row>
    <row r="4" spans="1:36" ht="15">
      <c r="A4" s="3742"/>
      <c r="B4" s="3743"/>
      <c r="C4" s="3743"/>
      <c r="D4" s="3744"/>
      <c r="E4" s="3744"/>
      <c r="F4" s="3744"/>
      <c r="G4" s="3744"/>
      <c r="H4" s="3744"/>
      <c r="I4" s="3744"/>
      <c r="J4" s="3745"/>
      <c r="K4" s="2380"/>
      <c r="L4" s="1883" t="s">
        <v>1135</v>
      </c>
      <c r="M4" s="2136">
        <f>SUMPRODUCT((区片价!B49:B75=I2)*(区片价!C3:F3=E2)*(区片价!C49:F75))</f>
        <v>0</v>
      </c>
      <c r="N4" s="2138">
        <f>SUMPRODUCT((因素修正幅度!B49:B75=I2)*(因素修正幅度!C3:F3=E2)*(因素修正幅度!C49:F75))</f>
        <v>0</v>
      </c>
      <c r="O4" s="2380"/>
      <c r="P4" s="2380"/>
      <c r="Q4" s="2380"/>
      <c r="R4" s="3074">
        <v>3</v>
      </c>
      <c r="S4" s="3074">
        <f>ROUND(IF(G3&gt;1,IF(R4&lt;7,SUMPRODUCT((B93:B98=R4)*(C92:N92=G2)*(C93:N98)),SUMIF(C92:N92,G2,C100:N100)),IF(R4&lt;7,SUMPRODUCT((B102:B107=R4)*(C92:N92=G2)*(C102:N107)),SUMIF(C92:N92,G2,C109:N109))),4)</f>
        <v>1.0788</v>
      </c>
      <c r="T4" s="3074" t="e">
        <f t="shared" ca="1" si="0"/>
        <v>#DIV/0!</v>
      </c>
      <c r="U4" s="3075"/>
      <c r="V4" s="3074" t="e">
        <f t="shared" ca="1" si="1"/>
        <v>#DIV/0!</v>
      </c>
      <c r="W4" s="3070"/>
      <c r="X4" s="3070"/>
      <c r="Y4" s="3070"/>
      <c r="Z4" s="3070"/>
      <c r="AA4" s="3070"/>
      <c r="AB4" s="3070"/>
      <c r="AC4" s="3071"/>
      <c r="AD4" s="3072"/>
      <c r="AE4" s="3072"/>
      <c r="AF4" s="3072"/>
      <c r="AG4" s="3072"/>
      <c r="AH4" s="3072"/>
      <c r="AI4" s="3072"/>
      <c r="AJ4" s="3073"/>
    </row>
    <row r="5" spans="1:36" s="1636" customFormat="1" ht="15.75" thickBot="1">
      <c r="A5" s="1876" t="s">
        <v>1934</v>
      </c>
      <c r="B5" s="1630" t="s">
        <v>1799</v>
      </c>
      <c r="C5" s="1631">
        <f>ROUND(IF(E2="商业",IF(F16="增加",C6*C7+C16,C6*C7-C16),IF(E2="住宅",IF(F16="增加",C6*C12+C16,C6*C12-C16),IF(F16="增加",C6+C16,C6-C16))),0)</f>
        <v>23240</v>
      </c>
      <c r="D5" s="3342">
        <f>ROUND(IF(E2="商业",IF(F16="增加",C6+C16,C6-C16)),0)</f>
        <v>23240</v>
      </c>
      <c r="E5" s="1632"/>
      <c r="F5" s="1632"/>
      <c r="G5" s="1633"/>
      <c r="H5" s="1633"/>
      <c r="I5" s="1633"/>
      <c r="J5" s="1634"/>
      <c r="K5" s="2385"/>
      <c r="L5" s="1883" t="s">
        <v>1535</v>
      </c>
      <c r="M5" s="2136">
        <f>SUMPRODUCT((区片价!B76:B109=I2)*(区片价!C3:F3=E2)*(区片价!C76:F109))</f>
        <v>0</v>
      </c>
      <c r="N5" s="2138">
        <f>SUMPRODUCT((因素修正幅度!B76:B109=I2)*(因素修正幅度!C3:F3=E2)*(因素修正幅度!C76:F109))</f>
        <v>0</v>
      </c>
      <c r="O5" s="2380"/>
      <c r="P5" s="2380"/>
      <c r="Q5" s="2380"/>
      <c r="R5" s="3074">
        <v>4</v>
      </c>
      <c r="S5" s="3074">
        <f>ROUND(IF(G3&gt;1,IF(R5&lt;7,SUMPRODUCT((B93:B98=R5)*(C92:N92=G2)*(C93:N98)),SUMIF(C92:N92,G2,C100:N100)),IF(R5&lt;7,SUMPRODUCT((B102:B107=R5)*(C92:N92=G2)*(C102:N107)),SUMIF(C92:N92,G2,C109:N109))),4)</f>
        <v>0.86560000000000004</v>
      </c>
      <c r="T5" s="3074" t="e">
        <f t="shared" ca="1" si="0"/>
        <v>#DIV/0!</v>
      </c>
      <c r="U5" s="3075"/>
      <c r="V5" s="3074" t="e">
        <f t="shared" ca="1" si="1"/>
        <v>#DIV/0!</v>
      </c>
      <c r="W5" s="3070"/>
      <c r="X5" s="3070"/>
      <c r="Y5" s="3070"/>
      <c r="Z5" s="3070"/>
      <c r="AA5" s="3070"/>
      <c r="AB5" s="3070"/>
      <c r="AC5" s="3076"/>
      <c r="AD5" s="3077"/>
      <c r="AE5" s="3077"/>
      <c r="AF5" s="3077"/>
      <c r="AG5" s="3077"/>
      <c r="AH5" s="3077"/>
      <c r="AI5" s="3077"/>
      <c r="AJ5" s="3078"/>
    </row>
    <row r="6" spans="1:36" ht="15.75" thickBot="1">
      <c r="A6" s="1880" t="s">
        <v>1941</v>
      </c>
      <c r="B6" s="1637" t="s">
        <v>1799</v>
      </c>
      <c r="C6" s="1638">
        <f>SUMIF(L1:L12,G2,M1:M12)</f>
        <v>23260</v>
      </c>
      <c r="D6" s="1639" t="s">
        <v>1800</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4">
        <v>5</v>
      </c>
      <c r="S6" s="3074">
        <f>ROUND(IF(G3&gt;1,IF(R6&lt;7,SUMPRODUCT((B93:B98=R6)*(C92:N92=G2)*(C93:N98)),SUMIF(C92:N92,G2,C100:N100)),IF(R6&lt;7,SUMPRODUCT((B102:B107=R6)*(C92:N92=G2)*(C102:N107)),SUMIF(C92:N92,G2,C109:N109))),4)</f>
        <v>0.73709999999999998</v>
      </c>
      <c r="T6" s="3074" t="e">
        <f t="shared" ca="1" si="0"/>
        <v>#DIV/0!</v>
      </c>
      <c r="U6" s="3075"/>
      <c r="V6" s="3074" t="e">
        <f t="shared" ca="1" si="1"/>
        <v>#DIV/0!</v>
      </c>
      <c r="W6" s="3070"/>
      <c r="X6" s="3070"/>
      <c r="Y6" s="3070"/>
      <c r="Z6" s="3070"/>
      <c r="AA6" s="3070"/>
      <c r="AB6" s="3070"/>
      <c r="AC6" s="3076"/>
      <c r="AD6" s="3077"/>
      <c r="AE6" s="3077"/>
      <c r="AF6" s="3077"/>
      <c r="AG6" s="3077"/>
      <c r="AH6" s="3077"/>
      <c r="AI6" s="3077"/>
      <c r="AJ6" s="3078"/>
    </row>
    <row r="7" spans="1:36" ht="24">
      <c r="A7" s="3735" t="str">
        <f>IF(E2="商业",IF(C8="不临58条商业街","",2),"")</f>
        <v/>
      </c>
      <c r="B7" s="1643" t="s">
        <v>1801</v>
      </c>
      <c r="C7" s="1644">
        <f>IF(C8="不临58条商业街",1,ROUND(1+(1.6*E8+1.2*E9+0.8*E10+0.4*E11)*C9,4))</f>
        <v>1</v>
      </c>
      <c r="D7" s="1645" t="s">
        <v>1802</v>
      </c>
      <c r="E7" s="1784"/>
      <c r="F7" s="1646"/>
      <c r="G7" s="1647"/>
      <c r="H7" s="1647"/>
      <c r="I7" s="1647"/>
      <c r="J7" s="1648"/>
      <c r="K7" s="2386"/>
      <c r="L7" s="1883" t="s">
        <v>1538</v>
      </c>
      <c r="M7" s="2136">
        <f>SUMPRODUCT((区片价!B158:B205=I2)*(区片价!C3:F3=E2)*(区片价!C158:F205))</f>
        <v>0</v>
      </c>
      <c r="N7" s="2138">
        <f>SUMPRODUCT((因素修正幅度!B158:B205=I2)*(因素修正幅度!C3:F3=E2)*(因素修正幅度!C158:F205))</f>
        <v>0</v>
      </c>
      <c r="O7" s="2380"/>
      <c r="P7" s="2380"/>
      <c r="Q7" s="2380"/>
      <c r="R7" s="3074">
        <v>6</v>
      </c>
      <c r="S7" s="3074">
        <f>ROUND(IF(G3&gt;1,IF(R7&lt;7,SUMPRODUCT((B93:B98=R7)*(C92:N92=G2)*(C93:N98)),SUMIF(C92:N92,G2,C100:N100)),IF(R7&lt;7,SUMPRODUCT((B102:B107=R7)*(C92:N92=G2)*(C102:N107)),SUMIF(C92:N92,G2,C109:N109))),4)</f>
        <v>0.6482</v>
      </c>
      <c r="T7" s="3074" t="e">
        <f t="shared" ca="1" si="0"/>
        <v>#DIV/0!</v>
      </c>
      <c r="U7" s="3075"/>
      <c r="V7" s="3074" t="e">
        <f t="shared" ca="1" si="1"/>
        <v>#DIV/0!</v>
      </c>
      <c r="W7" s="3079" t="s">
        <v>2894</v>
      </c>
      <c r="X7" s="3080" t="str">
        <f>G2</f>
        <v>三级</v>
      </c>
      <c r="Y7" s="3080" t="s">
        <v>2895</v>
      </c>
      <c r="Z7" s="3081">
        <f>G3</f>
        <v>9.75</v>
      </c>
      <c r="AA7" s="3082"/>
      <c r="AB7" s="3082"/>
      <c r="AC7" s="3083"/>
      <c r="AD7" s="3084"/>
      <c r="AE7" s="3084"/>
      <c r="AF7" s="3084"/>
      <c r="AG7" s="3084"/>
      <c r="AH7" s="3084"/>
      <c r="AI7" s="3084"/>
      <c r="AJ7" s="3085"/>
    </row>
    <row r="8" spans="1:36" ht="24">
      <c r="A8" s="3736"/>
      <c r="B8" s="1629" t="s">
        <v>1803</v>
      </c>
      <c r="C8" s="1785" t="s">
        <v>3100</v>
      </c>
      <c r="D8" s="1649" t="s">
        <v>1140</v>
      </c>
      <c r="E8" s="1650" t="e">
        <f>ROUND(C11/E7,4)</f>
        <v>#DIV/0!</v>
      </c>
      <c r="F8" s="1651" t="s">
        <v>1804</v>
      </c>
      <c r="G8" s="1652"/>
      <c r="H8" s="1652"/>
      <c r="I8" s="1652"/>
      <c r="J8" s="1653"/>
      <c r="K8" s="2380"/>
      <c r="L8" s="1883" t="s">
        <v>1540</v>
      </c>
      <c r="M8" s="2136">
        <f>SUMPRODUCT((区片价!B206:B244=I2)*(区片价!C3:F3=E2)*(区片价!C206:F244))</f>
        <v>0</v>
      </c>
      <c r="N8" s="2138">
        <f>SUMPRODUCT((因素修正幅度!B206:B244=I2)*(因素修正幅度!C3:F3=E2)*(因素修正幅度!C206:F244))</f>
        <v>0</v>
      </c>
      <c r="O8" s="2380"/>
      <c r="P8" s="2380"/>
      <c r="Q8" s="2380"/>
      <c r="R8" s="3074">
        <v>7</v>
      </c>
      <c r="S8" s="3075"/>
      <c r="T8" s="3074" t="e">
        <f t="shared" ca="1" si="0"/>
        <v>#DIV/0!</v>
      </c>
      <c r="U8" s="3075"/>
      <c r="V8" s="3074" t="e">
        <f t="shared" ca="1" si="1"/>
        <v>#DIV/0!</v>
      </c>
      <c r="W8" s="3746" t="s">
        <v>2896</v>
      </c>
      <c r="X8" s="3747"/>
      <c r="Y8" s="3086" t="s">
        <v>165</v>
      </c>
      <c r="Z8" s="3086" t="s">
        <v>166</v>
      </c>
      <c r="AA8" s="3086" t="s">
        <v>161</v>
      </c>
      <c r="AB8" s="3086" t="s">
        <v>162</v>
      </c>
      <c r="AC8" s="3086" t="s">
        <v>163</v>
      </c>
      <c r="AD8" s="3086" t="s">
        <v>164</v>
      </c>
      <c r="AE8" s="3086" t="s">
        <v>1175</v>
      </c>
      <c r="AF8" s="3086" t="s">
        <v>1176</v>
      </c>
      <c r="AG8" s="3086" t="s">
        <v>1177</v>
      </c>
      <c r="AH8" s="3086" t="s">
        <v>1178</v>
      </c>
      <c r="AI8" s="3086" t="s">
        <v>1179</v>
      </c>
      <c r="AJ8" s="3086" t="s">
        <v>1180</v>
      </c>
    </row>
    <row r="9" spans="1:36" ht="15">
      <c r="A9" s="3736"/>
      <c r="B9" s="1629" t="s">
        <v>1805</v>
      </c>
      <c r="C9" s="1654">
        <f>SUMIF(修正!C59:C119,C8,修正!E59:E119)</f>
        <v>0</v>
      </c>
      <c r="D9" s="532" t="s">
        <v>1141</v>
      </c>
      <c r="E9" s="532" t="e">
        <f>ROUND(C11/E7,4)</f>
        <v>#DIV/0!</v>
      </c>
      <c r="F9" s="1651" t="s">
        <v>1806</v>
      </c>
      <c r="G9" s="1652"/>
      <c r="H9" s="1652"/>
      <c r="I9" s="1652"/>
      <c r="J9" s="1653"/>
      <c r="K9" s="2380"/>
      <c r="L9" s="1883" t="s">
        <v>1542</v>
      </c>
      <c r="M9" s="2136">
        <f>SUMPRODUCT((区片价!B245:B289=I2)*(区片价!C3:F3=E2)*(区片价!C245:F289))</f>
        <v>0</v>
      </c>
      <c r="N9" s="2138">
        <f>SUMPRODUCT((因素修正幅度!B245:B289=I2)*(因素修正幅度!C3:F3=E2)*(因素修正幅度!C245:F289))</f>
        <v>0</v>
      </c>
      <c r="O9" s="2380"/>
      <c r="P9" s="2380"/>
      <c r="Q9" s="2380"/>
      <c r="R9" s="3074">
        <v>8</v>
      </c>
      <c r="S9" s="3075"/>
      <c r="T9" s="3074" t="e">
        <f t="shared" ca="1" si="0"/>
        <v>#DIV/0!</v>
      </c>
      <c r="U9" s="3075"/>
      <c r="V9" s="3074" t="e">
        <f t="shared" ca="1" si="1"/>
        <v>#DIV/0!</v>
      </c>
      <c r="W9" s="3748" t="s">
        <v>2897</v>
      </c>
      <c r="X9" s="3087" t="s">
        <v>1762</v>
      </c>
      <c r="Y9" s="3309"/>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36"/>
      <c r="B10" s="1629" t="s">
        <v>1807</v>
      </c>
      <c r="C10" s="532">
        <f>SUMIF(修正!C59:C119,C8,修正!F59:F119)</f>
        <v>0</v>
      </c>
      <c r="D10" s="532" t="s">
        <v>1142</v>
      </c>
      <c r="E10" s="532" t="e">
        <f>ROUND(C11/E7,4)</f>
        <v>#DIV/0!</v>
      </c>
      <c r="F10" s="1651" t="s">
        <v>1808</v>
      </c>
      <c r="G10" s="1652"/>
      <c r="H10" s="1652"/>
      <c r="I10" s="1652"/>
      <c r="J10" s="1653"/>
      <c r="K10" s="2380"/>
      <c r="L10" s="1883" t="s">
        <v>1546</v>
      </c>
      <c r="M10" s="2136">
        <f>SUMPRODUCT((区片价!B290:B316=I2)*(区片价!C3:F3=E2)*(区片价!C290:F316))</f>
        <v>0</v>
      </c>
      <c r="N10" s="2138">
        <f>SUMPRODUCT((因素修正幅度!B290:B316=I2)*(因素修正幅度!C3:F3=E2)*(因素修正幅度!C290:F316))</f>
        <v>0</v>
      </c>
      <c r="O10" s="2380"/>
      <c r="P10" s="2380"/>
      <c r="Q10" s="2380"/>
      <c r="R10" s="3074">
        <v>9</v>
      </c>
      <c r="S10" s="3075"/>
      <c r="T10" s="3074" t="e">
        <f t="shared" ca="1" si="0"/>
        <v>#DIV/0!</v>
      </c>
      <c r="U10" s="3075"/>
      <c r="V10" s="3074" t="e">
        <f t="shared" ca="1" si="1"/>
        <v>#DIV/0!</v>
      </c>
      <c r="W10" s="3748"/>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36"/>
      <c r="B11" s="1655" t="s">
        <v>1809</v>
      </c>
      <c r="C11" s="1656">
        <f>C10/4</f>
        <v>0</v>
      </c>
      <c r="D11" s="1656" t="s">
        <v>1143</v>
      </c>
      <c r="E11" s="1656" t="e">
        <f>ROUND(C11/E7,4)</f>
        <v>#DIV/0!</v>
      </c>
      <c r="F11" s="1657" t="s">
        <v>1810</v>
      </c>
      <c r="G11" s="1658"/>
      <c r="H11" s="1658"/>
      <c r="I11" s="1658"/>
      <c r="J11" s="1659"/>
      <c r="K11" s="2380"/>
      <c r="L11" s="1883" t="s">
        <v>1944</v>
      </c>
      <c r="M11" s="2136">
        <f>SUMPRODUCT((区片价!B317:B337=I2)*(区片价!C3:F3=E2)*(区片价!C317:F337))</f>
        <v>0</v>
      </c>
      <c r="N11" s="2138">
        <f>SUMPRODUCT((因素修正幅度!B317:B337=I2)*(因素修正幅度!C3:F3=E2)*(因素修正幅度!C317:F337))</f>
        <v>0</v>
      </c>
      <c r="O11" s="2380"/>
      <c r="P11" s="2380"/>
      <c r="Q11" s="2380"/>
      <c r="R11" s="3074">
        <v>10</v>
      </c>
      <c r="S11" s="3075"/>
      <c r="T11" s="3074" t="e">
        <f t="shared" ca="1" si="0"/>
        <v>#DIV/0!</v>
      </c>
      <c r="U11" s="3075"/>
      <c r="V11" s="3074" t="e">
        <f t="shared" ca="1" si="1"/>
        <v>#DIV/0!</v>
      </c>
      <c r="W11" s="3748" t="s">
        <v>2898</v>
      </c>
      <c r="X11" s="3090" t="s">
        <v>2895</v>
      </c>
      <c r="Y11" s="3091">
        <f>$G$3</f>
        <v>9.75</v>
      </c>
      <c r="Z11" s="3091">
        <f t="shared" ref="Z11:AJ11" si="3">$G$3</f>
        <v>9.75</v>
      </c>
      <c r="AA11" s="3091">
        <f t="shared" si="3"/>
        <v>9.75</v>
      </c>
      <c r="AB11" s="3091">
        <f t="shared" si="3"/>
        <v>9.75</v>
      </c>
      <c r="AC11" s="3091">
        <f t="shared" si="3"/>
        <v>9.75</v>
      </c>
      <c r="AD11" s="3091">
        <f t="shared" si="3"/>
        <v>9.75</v>
      </c>
      <c r="AE11" s="3091">
        <f t="shared" si="3"/>
        <v>9.75</v>
      </c>
      <c r="AF11" s="3091">
        <f t="shared" si="3"/>
        <v>9.75</v>
      </c>
      <c r="AG11" s="3091">
        <f t="shared" si="3"/>
        <v>9.75</v>
      </c>
      <c r="AH11" s="3091">
        <f t="shared" si="3"/>
        <v>9.75</v>
      </c>
      <c r="AI11" s="3091">
        <f t="shared" si="3"/>
        <v>9.75</v>
      </c>
      <c r="AJ11" s="3091">
        <f t="shared" si="3"/>
        <v>9.75</v>
      </c>
    </row>
    <row r="12" spans="1:36" ht="26.25" thickBot="1">
      <c r="A12" s="3735" t="s">
        <v>1942</v>
      </c>
      <c r="B12" s="1660" t="s">
        <v>1811</v>
      </c>
      <c r="C12" s="1644">
        <f>ROUND(C15*D15*E15*F15*G15*H15*I15*J15,4)</f>
        <v>1</v>
      </c>
      <c r="D12" s="1661" t="s">
        <v>1812</v>
      </c>
      <c r="E12" s="1662"/>
      <c r="F12" s="1662"/>
      <c r="G12" s="1663"/>
      <c r="H12" s="1663"/>
      <c r="I12" s="1663"/>
      <c r="J12" s="1664"/>
      <c r="K12" s="2380"/>
      <c r="L12" s="1884" t="s">
        <v>1945</v>
      </c>
      <c r="M12" s="2137">
        <f>SUMPRODUCT((区片价!B338:B344=I2)*(区片价!C3:F3=E2)*(区片价!C338:F344))</f>
        <v>0</v>
      </c>
      <c r="N12" s="2138">
        <f>SUMPRODUCT((因素修正幅度!B338:B344=I2)*(因素修正幅度!C3:F3=E2)*(因素修正幅度!C338:F344))</f>
        <v>0</v>
      </c>
      <c r="O12" s="2380"/>
      <c r="P12" s="2380"/>
      <c r="Q12" s="2380"/>
      <c r="R12" s="3074">
        <v>11</v>
      </c>
      <c r="S12" s="3075"/>
      <c r="T12" s="3074" t="e">
        <f t="shared" ca="1" si="0"/>
        <v>#DIV/0!</v>
      </c>
      <c r="U12" s="3075"/>
      <c r="V12" s="3074" t="e">
        <f t="shared" ca="1" si="1"/>
        <v>#DIV/0!</v>
      </c>
      <c r="W12" s="3748"/>
      <c r="X12" s="3092" t="s">
        <v>1765</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49"/>
      <c r="B13" s="1665" t="s">
        <v>1813</v>
      </c>
      <c r="C13" s="1666" t="s">
        <v>1814</v>
      </c>
      <c r="D13" s="1667" t="s">
        <v>1815</v>
      </c>
      <c r="E13" s="1667" t="s">
        <v>1816</v>
      </c>
      <c r="F13" s="81" t="s">
        <v>1144</v>
      </c>
      <c r="G13" s="1786" t="s">
        <v>1866</v>
      </c>
      <c r="H13" s="1786" t="s">
        <v>1866</v>
      </c>
      <c r="I13" s="1786" t="s">
        <v>1866</v>
      </c>
      <c r="J13" s="1787" t="s">
        <v>1866</v>
      </c>
      <c r="K13" s="2380"/>
      <c r="L13" s="2380"/>
      <c r="M13" s="2380"/>
      <c r="N13" s="2380"/>
      <c r="O13" s="2380"/>
      <c r="P13" s="2380"/>
      <c r="Q13" s="2380"/>
      <c r="R13" s="3074">
        <v>12</v>
      </c>
      <c r="S13" s="3075"/>
      <c r="T13" s="3074" t="e">
        <f t="shared" ca="1" si="0"/>
        <v>#DIV/0!</v>
      </c>
      <c r="U13" s="3075"/>
      <c r="V13" s="3074" t="e">
        <f t="shared" ca="1" si="1"/>
        <v>#DIV/0!</v>
      </c>
      <c r="W13" s="3748"/>
      <c r="X13" s="3092"/>
      <c r="Y13" s="3089">
        <f>(-0.163*(Y12^2)-0.59*Y12+7617)*(10^(-4))/Y11</f>
        <v>7.8123076923076934E-2</v>
      </c>
      <c r="Z13" s="3089">
        <f t="shared" ref="Z13:AJ13" si="5">(-0.163*(Z12^2)-0.59*Z12+7617)*(10^(-4))/Z11</f>
        <v>7.8123076923076934E-2</v>
      </c>
      <c r="AA13" s="3089">
        <f t="shared" si="5"/>
        <v>7.8123076923076934E-2</v>
      </c>
      <c r="AB13" s="3089">
        <f t="shared" si="5"/>
        <v>7.8123076923076934E-2</v>
      </c>
      <c r="AC13" s="3089">
        <f t="shared" si="5"/>
        <v>7.8123076923076934E-2</v>
      </c>
      <c r="AD13" s="3089">
        <f t="shared" si="5"/>
        <v>7.8123076923076934E-2</v>
      </c>
      <c r="AE13" s="3089">
        <f t="shared" si="5"/>
        <v>7.8123076923076934E-2</v>
      </c>
      <c r="AF13" s="3089">
        <f t="shared" si="5"/>
        <v>7.8123076923076934E-2</v>
      </c>
      <c r="AG13" s="3089">
        <f t="shared" si="5"/>
        <v>7.8123076923076934E-2</v>
      </c>
      <c r="AH13" s="3089">
        <f t="shared" si="5"/>
        <v>7.8123076923076934E-2</v>
      </c>
      <c r="AI13" s="3089">
        <f t="shared" si="5"/>
        <v>7.8123076923076934E-2</v>
      </c>
      <c r="AJ13" s="3089">
        <f t="shared" si="5"/>
        <v>7.8123076923076934E-2</v>
      </c>
    </row>
    <row r="14" spans="1:36" ht="15">
      <c r="A14" s="3749"/>
      <c r="B14" s="1668"/>
      <c r="C14" s="1788"/>
      <c r="D14" s="1485"/>
      <c r="E14" s="1485"/>
      <c r="F14" s="1789"/>
      <c r="G14" s="1669" t="s">
        <v>1844</v>
      </c>
      <c r="H14" s="1670"/>
      <c r="I14" s="1671"/>
      <c r="J14" s="1672"/>
      <c r="K14" s="2380"/>
      <c r="L14" s="2380"/>
      <c r="M14" s="2380"/>
      <c r="N14" s="2380"/>
      <c r="O14" s="2380"/>
      <c r="P14" s="2380"/>
      <c r="Q14" s="2380"/>
      <c r="R14" s="3074">
        <v>13</v>
      </c>
      <c r="S14" s="3075"/>
      <c r="T14" s="3074" t="e">
        <f t="shared" ca="1" si="0"/>
        <v>#DIV/0!</v>
      </c>
      <c r="U14" s="3075"/>
      <c r="V14" s="3074" t="e">
        <f t="shared" ca="1" si="1"/>
        <v>#DIV/0!</v>
      </c>
      <c r="W14" s="3070"/>
      <c r="X14" s="3070"/>
      <c r="Y14" s="3070"/>
      <c r="Z14" s="3070"/>
      <c r="AA14" s="3070"/>
      <c r="AB14" s="3070"/>
      <c r="AC14" s="3071"/>
      <c r="AD14" s="3072"/>
      <c r="AE14" s="3072"/>
      <c r="AF14" s="3072"/>
      <c r="AG14" s="3072"/>
      <c r="AH14" s="3072"/>
      <c r="AI14" s="3072"/>
      <c r="AJ14" s="3073"/>
    </row>
    <row r="15" spans="1:36" ht="15.75" thickBot="1">
      <c r="A15" s="3750"/>
      <c r="B15" s="1673" t="s">
        <v>1817</v>
      </c>
      <c r="C15" s="561">
        <f>IF(C14="有",1.1,1)</f>
        <v>1</v>
      </c>
      <c r="D15" s="561">
        <f>IF(D14="有",1.1,1)</f>
        <v>1</v>
      </c>
      <c r="E15" s="561">
        <f>IF(E14="有",1.1,1)</f>
        <v>1</v>
      </c>
      <c r="F15" s="561">
        <f>IF(F14="500米范围内",1.2,IF(F14="500-1000米",1.1,1))</f>
        <v>1</v>
      </c>
      <c r="G15" s="1790">
        <v>1</v>
      </c>
      <c r="H15" s="1790">
        <v>1</v>
      </c>
      <c r="I15" s="1790">
        <v>1</v>
      </c>
      <c r="J15" s="1791">
        <v>1</v>
      </c>
      <c r="K15" s="2380"/>
      <c r="L15" s="1704" t="s">
        <v>1833</v>
      </c>
      <c r="M15" s="1705" t="s">
        <v>1834</v>
      </c>
      <c r="N15" s="1705" t="s">
        <v>1835</v>
      </c>
      <c r="O15" s="1705" t="s">
        <v>981</v>
      </c>
      <c r="P15" s="1706" t="s">
        <v>1836</v>
      </c>
      <c r="Q15" s="2380"/>
      <c r="R15" s="3074">
        <v>14</v>
      </c>
      <c r="S15" s="3075"/>
      <c r="T15" s="3074" t="e">
        <f t="shared" ca="1" si="0"/>
        <v>#DIV/0!</v>
      </c>
      <c r="U15" s="3075"/>
      <c r="V15" s="3074" t="e">
        <f t="shared" ca="1" si="1"/>
        <v>#DIV/0!</v>
      </c>
      <c r="W15" s="3070"/>
      <c r="X15" s="3070"/>
      <c r="Y15" s="3070"/>
      <c r="Z15" s="3070"/>
      <c r="AA15" s="3070"/>
      <c r="AB15" s="3070"/>
      <c r="AC15" s="3071"/>
      <c r="AD15" s="3072"/>
      <c r="AE15" s="3072"/>
      <c r="AF15" s="3072"/>
      <c r="AG15" s="3072"/>
      <c r="AH15" s="3072"/>
      <c r="AI15" s="3072"/>
      <c r="AJ15" s="3073"/>
    </row>
    <row r="16" spans="1:36" ht="24">
      <c r="A16" s="3735" t="s">
        <v>1943</v>
      </c>
      <c r="B16" s="1643" t="s">
        <v>1818</v>
      </c>
      <c r="C16" s="1776">
        <f>ROUND(SUM(G17:J17)/C17,0)</f>
        <v>20</v>
      </c>
      <c r="D16" s="1674" t="s">
        <v>1819</v>
      </c>
      <c r="E16" s="1792" t="s">
        <v>3101</v>
      </c>
      <c r="F16" s="1793" t="s">
        <v>3102</v>
      </c>
      <c r="G16" s="1794" t="s">
        <v>3103</v>
      </c>
      <c r="H16" s="1794"/>
      <c r="I16" s="1794"/>
      <c r="J16" s="1795"/>
      <c r="K16" s="2380"/>
      <c r="L16" s="1710" t="s">
        <v>1838</v>
      </c>
      <c r="M16" s="1654">
        <v>0.25</v>
      </c>
      <c r="N16" s="1654">
        <v>0.2</v>
      </c>
      <c r="O16" s="1654">
        <v>0.15</v>
      </c>
      <c r="P16" s="2729">
        <v>0.1</v>
      </c>
      <c r="Q16" s="2730"/>
      <c r="R16" s="3074">
        <v>15</v>
      </c>
      <c r="S16" s="3075"/>
      <c r="T16" s="3074" t="e">
        <f t="shared" ca="1" si="0"/>
        <v>#DIV/0!</v>
      </c>
      <c r="U16" s="3075"/>
      <c r="V16" s="3074" t="e">
        <f t="shared" ca="1" si="1"/>
        <v>#DIV/0!</v>
      </c>
      <c r="W16" s="3082"/>
      <c r="X16" s="3082"/>
      <c r="Y16" s="3082"/>
      <c r="Z16" s="3082"/>
      <c r="AA16" s="3082"/>
      <c r="AB16" s="3082"/>
      <c r="AC16" s="3083"/>
      <c r="AD16" s="3072"/>
      <c r="AE16" s="3072"/>
      <c r="AF16" s="3072"/>
      <c r="AG16" s="3072"/>
      <c r="AH16" s="3072"/>
      <c r="AI16" s="3072"/>
      <c r="AJ16" s="3073"/>
    </row>
    <row r="17" spans="1:37" ht="13.5" thickBot="1">
      <c r="A17" s="3736"/>
      <c r="B17" s="1675" t="s">
        <v>1820</v>
      </c>
      <c r="C17" s="1676">
        <f>SUMPRODUCT((修正!A2:A5=E2)*(修正!B1:M1=G2)*(修正!B2:M5))</f>
        <v>2.5</v>
      </c>
      <c r="D17" s="1677" t="s">
        <v>1821</v>
      </c>
      <c r="E17" s="1747" t="str">
        <f>IF(OR(G2="八级",G2="九级",G2="十级",G2="十一级",G2="十二级"),"五通一平","七通一平")</f>
        <v>七通一平</v>
      </c>
      <c r="F17" s="1678" t="s">
        <v>1822</v>
      </c>
      <c r="G17" s="1676">
        <f>SUMPRODUCT((七通一平=G16)*(修正!B1:M1=G2)*(修正!B6:M14))</f>
        <v>50</v>
      </c>
      <c r="H17" s="1676">
        <f>SUMPRODUCT((七通一平=H16)*(修正!B1:M1=G2)*(修正!B6:M14))</f>
        <v>0</v>
      </c>
      <c r="I17" s="1676">
        <f>SUMPRODUCT((七通一平=I16)*(修正!B1:M1=G2)*(修正!B6:M14))</f>
        <v>0</v>
      </c>
      <c r="J17" s="1679">
        <f>SUMPRODUCT((七通一平=J16)*(修正!B1:M1=G2)*(修正!B6:M14))</f>
        <v>0</v>
      </c>
      <c r="K17" s="2380"/>
      <c r="L17" s="1717" t="s">
        <v>1827</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2"/>
      <c r="AF17" s="1622"/>
      <c r="AG17" s="1625"/>
      <c r="AH17" s="1625"/>
      <c r="AI17" s="1625"/>
      <c r="AJ17" s="1625"/>
    </row>
    <row r="18" spans="1:37" s="1636" customFormat="1" ht="15.75" thickBot="1">
      <c r="A18" s="1877" t="s">
        <v>1935</v>
      </c>
      <c r="B18" s="1680" t="s">
        <v>1823</v>
      </c>
      <c r="C18" s="1681">
        <f>SUMIF(修正!C18:C39,E3,修正!E18:E39)</f>
        <v>1</v>
      </c>
      <c r="D18" s="1682"/>
      <c r="E18" s="1683"/>
      <c r="F18" s="1684"/>
      <c r="G18" s="1685"/>
      <c r="H18" s="1685"/>
      <c r="I18" s="1685"/>
      <c r="J18" s="1686"/>
      <c r="K18" s="2387"/>
      <c r="O18" s="2735"/>
      <c r="P18" s="2735"/>
      <c r="Q18" s="2736"/>
      <c r="R18" s="2736"/>
      <c r="S18" s="2736"/>
      <c r="T18" s="2731"/>
      <c r="U18" s="2731"/>
      <c r="V18" s="2731"/>
      <c r="W18" s="2730"/>
      <c r="X18" s="2730"/>
      <c r="Y18" s="2730"/>
      <c r="Z18" s="2737"/>
      <c r="AA18" s="2738"/>
      <c r="AB18" s="2738"/>
      <c r="AC18" s="2738"/>
      <c r="AD18" s="2738"/>
      <c r="AE18" s="1623"/>
      <c r="AF18" s="1623"/>
      <c r="AG18" s="1624"/>
      <c r="AH18" s="1624"/>
      <c r="AI18" s="1624"/>
    </row>
    <row r="19" spans="1:37" s="1636" customFormat="1" ht="27.75" thickBot="1">
      <c r="A19" s="1877" t="s">
        <v>1936</v>
      </c>
      <c r="B19" s="1680" t="s">
        <v>1824</v>
      </c>
      <c r="C19" s="1689">
        <f>ROUND(IF(H19="按公示增长率计算",SUMPRODUCT((地价!A3:A19=YEAR(G19)&amp;"-"&amp;ROUNDUP(MONTH(G19)/3,0))*(地价!X2:AB2=E2)*(地价!X3:AB19)),IF(H19="地价指数",M20/M19,(1+I19)^O19)),4)</f>
        <v>1.2363999999999999</v>
      </c>
      <c r="D19" s="1690" t="s">
        <v>1145</v>
      </c>
      <c r="E19" s="1691">
        <v>41640</v>
      </c>
      <c r="F19" s="1690" t="s">
        <v>1146</v>
      </c>
      <c r="G19" s="1692">
        <f>'数据-取费表'!B2</f>
        <v>42963</v>
      </c>
      <c r="H19" s="3016" t="s">
        <v>2957</v>
      </c>
      <c r="I19" s="1693" t="str">
        <f>IF(H19="季度增幅（自定义）",SUMIF(N21:N24,E2,O21:O24),"")</f>
        <v/>
      </c>
      <c r="J19" s="1686"/>
      <c r="K19" s="2387"/>
      <c r="L19" s="3241" t="s">
        <v>2955</v>
      </c>
      <c r="M19" s="3243">
        <f>ROUND(SUMIF(地价!B2:F2,E2,地价!B19:F19),0)</f>
        <v>258</v>
      </c>
      <c r="N19" s="3239" t="s">
        <v>1868</v>
      </c>
      <c r="O19" s="1694">
        <f>ROUNDDOWN(DATEDIF(E19,G19,"M")/3,0)</f>
        <v>14</v>
      </c>
      <c r="P19" s="2734"/>
      <c r="Q19" s="2736"/>
      <c r="R19" s="2736"/>
      <c r="S19" s="2736"/>
      <c r="T19" s="2731"/>
      <c r="U19" s="2731"/>
      <c r="V19" s="2731"/>
      <c r="W19" s="2730"/>
      <c r="X19" s="2730"/>
      <c r="Y19" s="2730"/>
      <c r="Z19" s="2737"/>
      <c r="AA19" s="2738"/>
      <c r="AB19" s="2738"/>
      <c r="AC19" s="2738"/>
      <c r="AD19" s="2738"/>
      <c r="AE19" s="1687"/>
      <c r="AF19" s="1688"/>
      <c r="AG19" s="1695"/>
      <c r="AH19" s="1624"/>
      <c r="AI19" s="1635"/>
      <c r="AJ19" s="1635"/>
      <c r="AK19" s="1635"/>
    </row>
    <row r="20" spans="1:37" s="1636" customFormat="1" ht="27.75" thickBot="1">
      <c r="A20" s="1878" t="s">
        <v>1937</v>
      </c>
      <c r="B20" s="1749" t="s">
        <v>1825</v>
      </c>
      <c r="C20" s="1696" t="e">
        <f ca="1">ROUND(POWER(1+G20,J20-I20)*(POWER(1+G20,I20)-1)/(POWER(1+G20,J20)-1),4)</f>
        <v>#DIV/0!</v>
      </c>
      <c r="D20" s="1750" t="s">
        <v>1826</v>
      </c>
      <c r="E20" s="3297">
        <f ca="1">存贷款利率!D4/100</f>
        <v>4.3499999999999997E-2</v>
      </c>
      <c r="F20" s="1750" t="s">
        <v>1827</v>
      </c>
      <c r="G20" s="1751">
        <f ca="1">SUMIF(M15:P15,E2,M17:P17)</f>
        <v>5.3999999999999999E-2</v>
      </c>
      <c r="H20" s="1750" t="s">
        <v>1828</v>
      </c>
      <c r="I20" s="1752" t="e">
        <f>SUMIF('数据-取费表'!C6:C15,E2,'数据-取费表'!F6:F15)/COUNTIF('数据-取费表'!C6:C15,E2)</f>
        <v>#DIV/0!</v>
      </c>
      <c r="J20" s="1753">
        <f>IF(E2="住宅",70,IF(E2="商业",40,50))</f>
        <v>40</v>
      </c>
      <c r="K20" s="2387"/>
      <c r="L20" s="3242" t="s">
        <v>2956</v>
      </c>
      <c r="M20" s="3244">
        <f>ROUND(SUMPRODUCT((地价!A4:A19=YEAR(G19)&amp;"-"&amp;ROUNDUP(MONTH(G19)/3,0))*(地价!B2:F2=E2)*(地价!B4:F19)),0)</f>
        <v>319</v>
      </c>
      <c r="N20" s="3240" t="s">
        <v>2784</v>
      </c>
      <c r="O20" s="3017" t="s">
        <v>2785</v>
      </c>
      <c r="P20" s="3018" t="s">
        <v>2794</v>
      </c>
      <c r="R20" s="2736"/>
      <c r="S20" s="2736"/>
      <c r="T20" s="2731"/>
      <c r="U20" s="2731"/>
      <c r="V20" s="2731"/>
      <c r="W20" s="2730"/>
      <c r="X20" s="2730"/>
      <c r="Y20" s="2730"/>
      <c r="Z20" s="2737"/>
      <c r="AA20" s="2738"/>
      <c r="AB20" s="2738"/>
      <c r="AC20" s="2738"/>
      <c r="AD20" s="2738"/>
      <c r="AE20" s="1687"/>
      <c r="AF20" s="1687"/>
    </row>
    <row r="21" spans="1:37" s="1636" customFormat="1" ht="14.25">
      <c r="A21" s="1879" t="s">
        <v>1938</v>
      </c>
      <c r="B21" s="1796" t="s">
        <v>2496</v>
      </c>
      <c r="C21" s="1754">
        <f>IF(B21="容积率修正",IF(G3&lt;=10,D22,J22),C23)</f>
        <v>1.3371999999999999</v>
      </c>
      <c r="D21" s="1755"/>
      <c r="E21" s="1755"/>
      <c r="F21" s="1755"/>
      <c r="G21" s="1755"/>
      <c r="H21" s="1755"/>
      <c r="I21" s="1755"/>
      <c r="J21" s="1756"/>
      <c r="K21" s="2387"/>
      <c r="N21" s="3019" t="s">
        <v>2786</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7"/>
      <c r="AF21" s="1687"/>
    </row>
    <row r="22" spans="1:37" s="1636" customFormat="1" ht="14.25">
      <c r="A22" s="190" t="s">
        <v>1941</v>
      </c>
      <c r="B22" s="1698" t="s">
        <v>1829</v>
      </c>
      <c r="C22" s="1777" t="s">
        <v>1842</v>
      </c>
      <c r="D22" s="1777">
        <f>IF(E22=G22,F22,IF(G3&lt;=10,ROUND(F22+(H22-F22)*(G3-E22)/(G22-E22),4),"——"))</f>
        <v>0.72689999999999999</v>
      </c>
      <c r="E22" s="1628">
        <f>ROUNDDOWN(G3,1)</f>
        <v>9.6999999999999993</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8">
        <f>ROUNDUP(G3,1)</f>
        <v>9.7999999999999989</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1777" t="s">
        <v>1159</v>
      </c>
      <c r="J22" s="1757" t="str">
        <f>IF(G3&gt;10,D113,"——")</f>
        <v>——</v>
      </c>
      <c r="K22" s="2387"/>
      <c r="N22" s="3019" t="s">
        <v>2787</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7"/>
      <c r="AF22" s="1687"/>
    </row>
    <row r="23" spans="1:37" ht="27.75" thickBot="1">
      <c r="A23" s="190" t="s">
        <v>1942</v>
      </c>
      <c r="B23" s="1869" t="s">
        <v>1830</v>
      </c>
      <c r="C23" s="1870">
        <f>ROUND(IF(G3&gt;1,IF(I3&lt;7,SUMPRODUCT((B93:B98=I3)*(C92:N92=G2)*(C93:N98)),SUMIF(C92:N92,G2,C100:N100)),IF(I3&lt;7,SUMPRODUCT((B102:B107=I3)*(C92:N92=G2)*(C102:N107)),SUMIF(C92:N92,G2,C109:N109))),4)</f>
        <v>1.3371999999999999</v>
      </c>
      <c r="D23" s="1670"/>
      <c r="E23" s="1670"/>
      <c r="F23" s="1699"/>
      <c r="G23" s="1700"/>
      <c r="H23" s="1871"/>
      <c r="I23" s="1872"/>
      <c r="J23" s="1873"/>
      <c r="K23" s="2380"/>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4"/>
    </row>
    <row r="24" spans="1:37" s="1636" customFormat="1" ht="15.75" thickBot="1">
      <c r="A24" s="1878" t="s">
        <v>1939</v>
      </c>
      <c r="B24" s="1680" t="s">
        <v>1831</v>
      </c>
      <c r="C24" s="1689">
        <f>SUMIF(A45:A88,E2,B45:B88)</f>
        <v>1.0355000000000001</v>
      </c>
      <c r="D24" s="1684"/>
      <c r="E24" s="1874"/>
      <c r="F24" s="1874"/>
      <c r="G24" s="1874"/>
      <c r="H24" s="1874"/>
      <c r="I24" s="1874"/>
      <c r="J24" s="1875"/>
      <c r="K24" s="2387"/>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7"/>
      <c r="AF24" s="1687"/>
    </row>
    <row r="25" spans="1:37" ht="15" thickBot="1">
      <c r="A25" s="1878" t="s">
        <v>1940</v>
      </c>
      <c r="B25" s="1701" t="s">
        <v>1832</v>
      </c>
      <c r="C25" s="1702"/>
      <c r="D25" s="1647"/>
      <c r="E25" s="1647"/>
      <c r="F25" s="1703"/>
      <c r="G25" s="1647"/>
      <c r="H25" s="1647"/>
      <c r="I25" s="1647"/>
      <c r="J25" s="1648"/>
      <c r="K25" s="2380"/>
      <c r="N25" s="3026" t="s">
        <v>2788</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1"/>
      <c r="B26" s="1698" t="s">
        <v>1863</v>
      </c>
      <c r="C26" s="538" t="e">
        <f ca="1">E29+SUM(E33:E39)</f>
        <v>#DIV/0!</v>
      </c>
      <c r="D26" s="1707"/>
      <c r="E26" s="1670"/>
      <c r="F26" s="1708"/>
      <c r="G26" s="1670"/>
      <c r="H26" s="1670"/>
      <c r="I26" s="1670"/>
      <c r="J26" s="1709"/>
      <c r="K26" s="2380"/>
      <c r="R26" s="2736"/>
      <c r="S26" s="2736"/>
      <c r="T26" s="2731"/>
      <c r="U26" s="2731"/>
      <c r="V26" s="2731"/>
      <c r="W26" s="2730"/>
      <c r="X26" s="2730"/>
      <c r="Y26" s="2730"/>
      <c r="Z26" s="2737"/>
      <c r="AA26" s="2738"/>
      <c r="AB26" s="2738"/>
      <c r="AC26" s="2738"/>
      <c r="AD26" s="2738"/>
    </row>
    <row r="27" spans="1:37" ht="15" thickBot="1">
      <c r="A27" s="1881"/>
      <c r="B27" s="1711" t="s">
        <v>1864</v>
      </c>
      <c r="C27" s="1712" t="e">
        <f ca="1">E30+SUM(I33:I39)</f>
        <v>#DIV/0!</v>
      </c>
      <c r="D27" s="1713"/>
      <c r="E27" s="1714"/>
      <c r="F27" s="1715"/>
      <c r="G27" s="1714"/>
      <c r="H27" s="1714"/>
      <c r="I27" s="1714"/>
      <c r="J27" s="1716"/>
      <c r="K27" s="2380"/>
      <c r="L27" s="2380"/>
      <c r="M27" s="2380"/>
      <c r="N27" s="2380"/>
      <c r="O27" s="2735"/>
      <c r="P27" s="2735"/>
      <c r="Q27" s="2736"/>
      <c r="R27" s="2736"/>
      <c r="S27" s="2736"/>
      <c r="T27" s="2731"/>
      <c r="U27" s="2731"/>
      <c r="V27" s="2731"/>
      <c r="W27" s="2730"/>
      <c r="X27" s="2730"/>
      <c r="Y27" s="2730"/>
      <c r="Z27" s="2737"/>
      <c r="AA27" s="2738"/>
      <c r="AB27" s="2738"/>
      <c r="AC27" s="2738"/>
      <c r="AD27" s="2738"/>
    </row>
    <row r="28" spans="1:37" ht="14.25">
      <c r="A28" s="1868"/>
      <c r="B28" s="1718" t="s">
        <v>1862</v>
      </c>
      <c r="C28" s="1719" t="s">
        <v>1837</v>
      </c>
      <c r="D28" s="1719" t="s">
        <v>1853</v>
      </c>
      <c r="E28" s="1720" t="s">
        <v>1854</v>
      </c>
      <c r="F28" s="1721"/>
      <c r="G28" s="1663"/>
      <c r="H28" s="1663"/>
      <c r="I28" s="1663"/>
      <c r="J28" s="1664"/>
      <c r="K28" s="2380"/>
      <c r="L28" s="2380"/>
      <c r="M28" s="2380"/>
      <c r="N28" s="2380"/>
      <c r="O28" s="2735"/>
      <c r="P28" s="2735"/>
      <c r="Q28" s="2736"/>
      <c r="R28" s="2736"/>
      <c r="S28" s="2736"/>
      <c r="T28" s="2731"/>
      <c r="U28" s="2731"/>
      <c r="V28" s="2731"/>
      <c r="W28" s="2730"/>
      <c r="X28" s="2730"/>
      <c r="Y28" s="2730"/>
      <c r="Z28" s="2737"/>
      <c r="AA28" s="2738"/>
      <c r="AB28" s="2738"/>
      <c r="AC28" s="2738"/>
      <c r="AD28" s="2738"/>
    </row>
    <row r="29" spans="1:37" ht="14.25">
      <c r="A29" s="1778"/>
      <c r="B29" s="1722" t="s">
        <v>1857</v>
      </c>
      <c r="C29" s="538" t="e">
        <f ca="1">ROUND(C5*C18*C19*C20*C21*C24,0)</f>
        <v>#DIV/0!</v>
      </c>
      <c r="D29" s="1745">
        <f>'数据-汇总表'!F20+'数据-汇总表'!F21</f>
        <v>0</v>
      </c>
      <c r="E29" s="1779" t="e">
        <f ca="1">ROUND(C29*D29/10000,0)</f>
        <v>#DIV/0!</v>
      </c>
      <c r="F29" s="1723" t="s">
        <v>1839</v>
      </c>
      <c r="G29" s="1724"/>
      <c r="H29" s="1724"/>
      <c r="I29" s="1724"/>
      <c r="J29" s="1725"/>
      <c r="K29" s="2380"/>
      <c r="L29" s="2380"/>
      <c r="M29" s="2380"/>
      <c r="N29" s="2380"/>
      <c r="O29" s="2735"/>
      <c r="P29" s="2735"/>
      <c r="Q29" s="2736"/>
      <c r="R29" s="2736"/>
      <c r="S29" s="2736"/>
      <c r="T29" s="2731"/>
      <c r="U29" s="2731"/>
      <c r="V29" s="2731"/>
      <c r="W29" s="2730"/>
      <c r="X29" s="2730"/>
      <c r="Y29" s="2730"/>
      <c r="Z29" s="2737"/>
      <c r="AA29" s="2738"/>
      <c r="AB29" s="2738"/>
      <c r="AC29" s="2738"/>
      <c r="AD29" s="2738"/>
      <c r="AE29" s="1622"/>
      <c r="AF29" s="1622"/>
      <c r="AG29" s="1625"/>
      <c r="AH29" s="1625"/>
      <c r="AI29" s="1625"/>
      <c r="AJ29" s="1625"/>
    </row>
    <row r="30" spans="1:37" ht="24.75" thickBot="1">
      <c r="A30" s="1726"/>
      <c r="B30" s="1727" t="s">
        <v>1858</v>
      </c>
      <c r="C30" s="561" t="e">
        <f ca="1">ROUND(IF(E2="工业",C29*M39,C29*M38),0)</f>
        <v>#DIV/0!</v>
      </c>
      <c r="D30" s="1746"/>
      <c r="E30" s="1779" t="e">
        <f ca="1">ROUND(C30*D30/10000,0)</f>
        <v>#DIV/0!</v>
      </c>
      <c r="F30" s="1728" t="s">
        <v>1855</v>
      </c>
      <c r="G30" s="1729"/>
      <c r="H30" s="1729"/>
      <c r="I30" s="1729"/>
      <c r="J30" s="1730"/>
      <c r="K30" s="2380"/>
      <c r="L30" s="2380"/>
      <c r="M30" s="2380"/>
      <c r="N30" s="2380"/>
      <c r="O30" s="2735"/>
      <c r="P30" s="2735"/>
      <c r="Q30" s="2736"/>
      <c r="R30" s="2736"/>
      <c r="S30" s="2736"/>
      <c r="T30" s="2731"/>
      <c r="U30" s="2731"/>
      <c r="V30" s="2731"/>
      <c r="W30" s="2730"/>
      <c r="X30" s="2730"/>
      <c r="Y30" s="2730"/>
      <c r="Z30" s="2737"/>
      <c r="AA30" s="2738"/>
      <c r="AB30" s="2738"/>
      <c r="AC30" s="2738"/>
      <c r="AD30" s="2738"/>
      <c r="AE30" s="1622"/>
      <c r="AF30" s="1622"/>
      <c r="AG30" s="1625"/>
      <c r="AH30" s="1625"/>
      <c r="AI30" s="1625"/>
      <c r="AJ30" s="1625"/>
    </row>
    <row r="31" spans="1:37" ht="14.25">
      <c r="A31" s="1731"/>
      <c r="B31" s="1732" t="s">
        <v>1859</v>
      </c>
      <c r="C31" s="1733" t="s">
        <v>1860</v>
      </c>
      <c r="D31" s="1663"/>
      <c r="E31" s="1733"/>
      <c r="F31" s="1733"/>
      <c r="G31" s="1661" t="s">
        <v>1861</v>
      </c>
      <c r="H31" s="1663"/>
      <c r="I31" s="1734"/>
      <c r="J31" s="1664"/>
      <c r="K31" s="2380"/>
      <c r="L31" s="2380"/>
      <c r="M31" s="2380"/>
      <c r="N31" s="2380"/>
      <c r="O31" s="2735"/>
      <c r="P31" s="2735"/>
      <c r="Q31" s="2736"/>
      <c r="R31" s="2736"/>
      <c r="S31" s="2736"/>
      <c r="T31" s="2731"/>
      <c r="U31" s="2731"/>
      <c r="V31" s="2731"/>
      <c r="W31" s="2730"/>
      <c r="X31" s="2730"/>
      <c r="Y31" s="2730"/>
      <c r="Z31" s="2737"/>
      <c r="AA31" s="2738"/>
      <c r="AB31" s="2738"/>
      <c r="AC31" s="2738"/>
      <c r="AD31" s="2738"/>
      <c r="AE31" s="1622"/>
      <c r="AF31" s="1622"/>
      <c r="AG31" s="1625"/>
      <c r="AH31" s="1625"/>
      <c r="AI31" s="1625"/>
      <c r="AJ31" s="1625"/>
    </row>
    <row r="32" spans="1:37" ht="24">
      <c r="A32" s="1778"/>
      <c r="B32" s="1735"/>
      <c r="C32" s="171" t="s">
        <v>1837</v>
      </c>
      <c r="D32" s="168" t="s">
        <v>1853</v>
      </c>
      <c r="E32" s="168" t="s">
        <v>1854</v>
      </c>
      <c r="F32" s="1736" t="s">
        <v>1841</v>
      </c>
      <c r="G32" s="1697" t="s">
        <v>1837</v>
      </c>
      <c r="H32" s="1697" t="s">
        <v>1853</v>
      </c>
      <c r="I32" s="1697" t="s">
        <v>1854</v>
      </c>
      <c r="J32" s="1737"/>
      <c r="K32" s="2380"/>
      <c r="L32" s="2380"/>
      <c r="M32" s="2380"/>
      <c r="N32" s="2380"/>
      <c r="O32" s="2735"/>
      <c r="P32" s="2735"/>
      <c r="Q32" s="2736"/>
      <c r="R32" s="2736"/>
      <c r="S32" s="2736"/>
      <c r="T32" s="2731"/>
      <c r="U32" s="2731"/>
      <c r="V32" s="2731"/>
      <c r="W32" s="2730"/>
      <c r="X32" s="2730"/>
      <c r="Y32" s="2730"/>
      <c r="Z32" s="2737"/>
      <c r="AA32" s="2738"/>
      <c r="AB32" s="2738"/>
      <c r="AC32" s="2738"/>
      <c r="AD32" s="2738"/>
      <c r="AE32" s="1622"/>
      <c r="AF32" s="1622"/>
      <c r="AG32" s="1625"/>
      <c r="AH32" s="1625"/>
      <c r="AI32" s="1625"/>
      <c r="AJ32" s="1625"/>
    </row>
    <row r="33" spans="1:37" ht="36" customHeight="1">
      <c r="A33" s="3737" t="s">
        <v>3061</v>
      </c>
      <c r="B33" s="1739" t="s">
        <v>1161</v>
      </c>
      <c r="C33" s="538" t="e">
        <f ca="1">ROUND(D5*C19*C20*C24*F33,0)</f>
        <v>#DIV/0!</v>
      </c>
      <c r="D33" s="1745"/>
      <c r="E33" s="532" t="e">
        <f ca="1">ROUND(C33*D33/10000,0)</f>
        <v>#DIV/0!</v>
      </c>
      <c r="F33" s="532">
        <f>SUMIF(修正!A45:A56,G2,修正!B45:B56)</f>
        <v>0.7</v>
      </c>
      <c r="G33" s="532" t="e">
        <f t="shared" ref="G33:G39" ca="1" si="6">ROUND(IF(E2="工业",C33*$M$39,C33*$M$38),0)</f>
        <v>#DIV/0!</v>
      </c>
      <c r="H33" s="532">
        <f>D33</f>
        <v>0</v>
      </c>
      <c r="I33" s="532" t="e">
        <f ca="1">ROUND(G33*H33/10000,0)</f>
        <v>#DIV/0!</v>
      </c>
      <c r="J33" s="1740"/>
      <c r="K33" s="2380"/>
      <c r="L33" s="2380"/>
      <c r="M33" s="2380"/>
      <c r="N33" s="2380"/>
      <c r="O33" s="2735"/>
      <c r="P33" s="2735"/>
      <c r="Q33" s="2736"/>
      <c r="R33" s="2736"/>
      <c r="S33" s="2736"/>
      <c r="T33" s="2731"/>
      <c r="U33" s="2731"/>
      <c r="V33" s="2731"/>
      <c r="W33" s="2730"/>
      <c r="X33" s="2730"/>
      <c r="Y33" s="2730"/>
      <c r="Z33" s="2737"/>
      <c r="AA33" s="2738"/>
      <c r="AB33" s="2738"/>
      <c r="AC33" s="2738"/>
      <c r="AD33" s="2738"/>
    </row>
    <row r="34" spans="1:37" ht="14.25">
      <c r="A34" s="3738"/>
      <c r="B34" s="1666" t="s">
        <v>1162</v>
      </c>
      <c r="C34" s="538" t="e">
        <f ca="1">ROUND(D5*C19*C20*C24*F34,0)</f>
        <v>#DIV/0!</v>
      </c>
      <c r="D34" s="1745"/>
      <c r="E34" s="532" t="e">
        <f t="shared" ref="E34:E39" ca="1" si="7">ROUND(C34*D34/10000,0)</f>
        <v>#DIV/0!</v>
      </c>
      <c r="F34" s="532">
        <f>SUMIF(修正!A45:A56,G2,修正!C45:C56)</f>
        <v>0.4</v>
      </c>
      <c r="G34" s="532" t="e">
        <f t="shared" ca="1" si="6"/>
        <v>#DIV/0!</v>
      </c>
      <c r="H34" s="532">
        <f t="shared" ref="H34:H39" si="8">D34</f>
        <v>0</v>
      </c>
      <c r="I34" s="532" t="e">
        <f t="shared" ref="I34:I39" ca="1" si="9">ROUND(G34*H34/10000,0)</f>
        <v>#DIV/0!</v>
      </c>
      <c r="J34" s="1740"/>
      <c r="K34" s="2380"/>
      <c r="L34" s="2380"/>
      <c r="M34" s="2380"/>
      <c r="N34" s="2380"/>
      <c r="O34" s="2735"/>
      <c r="P34" s="2735"/>
      <c r="Q34" s="2736"/>
      <c r="R34" s="2736"/>
      <c r="S34" s="2736"/>
      <c r="T34" s="2731"/>
      <c r="U34" s="2731"/>
      <c r="V34" s="2731"/>
      <c r="W34" s="2730"/>
      <c r="X34" s="2730"/>
      <c r="Y34" s="2730"/>
      <c r="Z34" s="2737"/>
      <c r="AA34" s="2738"/>
      <c r="AB34" s="2738"/>
      <c r="AC34" s="2738"/>
      <c r="AD34" s="2738"/>
    </row>
    <row r="35" spans="1:37" ht="12.75">
      <c r="A35" s="3738"/>
      <c r="B35" s="1666" t="s">
        <v>1163</v>
      </c>
      <c r="C35" s="538" t="e">
        <f ca="1">ROUND(D5*C19*C20*C24*F35,0)</f>
        <v>#DIV/0!</v>
      </c>
      <c r="D35" s="1745"/>
      <c r="E35" s="532" t="e">
        <f t="shared" ca="1" si="7"/>
        <v>#DIV/0!</v>
      </c>
      <c r="F35" s="532">
        <f>SUMIF(修正!A45:A56,G2,修正!D45:D56)</f>
        <v>0.28000000000000003</v>
      </c>
      <c r="G35" s="532" t="e">
        <f t="shared" ca="1" si="6"/>
        <v>#DIV/0!</v>
      </c>
      <c r="H35" s="532">
        <f t="shared" si="8"/>
        <v>0</v>
      </c>
      <c r="I35" s="532" t="e">
        <f t="shared" ca="1"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39"/>
      <c r="B36" s="1666" t="s">
        <v>1164</v>
      </c>
      <c r="C36" s="538" t="e">
        <f ca="1">ROUND(D5*C19*C20*C24*F36,0)</f>
        <v>#DIV/0!</v>
      </c>
      <c r="D36" s="1745"/>
      <c r="E36" s="532" t="e">
        <f t="shared" ca="1" si="7"/>
        <v>#DIV/0!</v>
      </c>
      <c r="F36" s="532">
        <f>SUMIF(修正!A45:A56,G2,修正!E45:E56)</f>
        <v>0.25</v>
      </c>
      <c r="G36" s="532" t="e">
        <f t="shared" ca="1" si="6"/>
        <v>#DIV/0!</v>
      </c>
      <c r="H36" s="532">
        <f t="shared" si="8"/>
        <v>0</v>
      </c>
      <c r="I36" s="532" t="e">
        <f t="shared" ca="1"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1165</v>
      </c>
      <c r="C37" s="532" t="e">
        <f ca="1">ROUND(C5*C19*C20*C24*F37,0)</f>
        <v>#DIV/0!</v>
      </c>
      <c r="D37" s="1745"/>
      <c r="E37" s="532" t="e">
        <f t="shared" ca="1" si="7"/>
        <v>#DIV/0!</v>
      </c>
      <c r="F37" s="538">
        <f>SUMIF(修正!A45:A56,G2,修正!F45:F56)</f>
        <v>0.25</v>
      </c>
      <c r="G37" s="532" t="e">
        <f t="shared" ca="1" si="6"/>
        <v>#DIV/0!</v>
      </c>
      <c r="H37" s="532">
        <f t="shared" si="8"/>
        <v>0</v>
      </c>
      <c r="I37" s="532" t="e">
        <f t="shared" ca="1" si="9"/>
        <v>#DIV/0!</v>
      </c>
      <c r="J37" s="1740"/>
      <c r="K37" s="2380"/>
      <c r="L37" s="2388" t="s">
        <v>1856</v>
      </c>
      <c r="M37" s="2389"/>
      <c r="N37" s="2380"/>
      <c r="O37" s="2380"/>
      <c r="P37" s="2380"/>
      <c r="Q37" s="2380"/>
      <c r="R37" s="2380"/>
      <c r="S37" s="2380"/>
      <c r="T37" s="2380"/>
      <c r="U37" s="2380"/>
      <c r="V37" s="2380"/>
      <c r="W37" s="2380"/>
      <c r="X37" s="2380"/>
      <c r="Y37" s="2380"/>
      <c r="Z37" s="2381"/>
    </row>
    <row r="38" spans="1:37" ht="12.75">
      <c r="A38" s="1738"/>
      <c r="B38" s="1666" t="s">
        <v>1166</v>
      </c>
      <c r="C38" s="532" t="e">
        <f ca="1">ROUND(C5*C19*C20*C24*F38,0)</f>
        <v>#DIV/0!</v>
      </c>
      <c r="D38" s="1745"/>
      <c r="E38" s="532" t="e">
        <f t="shared" ca="1" si="7"/>
        <v>#DIV/0!</v>
      </c>
      <c r="F38" s="538">
        <f>SUMIF(修正!A45:A56,G2,修正!G45:G56)</f>
        <v>0.25</v>
      </c>
      <c r="G38" s="532" t="e">
        <f t="shared" ca="1" si="6"/>
        <v>#DIV/0!</v>
      </c>
      <c r="H38" s="532">
        <f t="shared" si="8"/>
        <v>0</v>
      </c>
      <c r="I38" s="532" t="e">
        <f t="shared" ca="1" si="9"/>
        <v>#DIV/0!</v>
      </c>
      <c r="J38" s="1740"/>
      <c r="K38" s="2380"/>
      <c r="L38" s="1760" t="s">
        <v>1840</v>
      </c>
      <c r="M38" s="1761">
        <v>0.25</v>
      </c>
      <c r="N38" s="2380"/>
      <c r="O38" s="2380"/>
      <c r="P38" s="2380"/>
      <c r="Q38" s="2380"/>
      <c r="R38" s="2380"/>
      <c r="S38" s="2380"/>
      <c r="T38" s="2380"/>
      <c r="U38" s="2380"/>
      <c r="V38" s="2380"/>
      <c r="W38" s="2380"/>
      <c r="X38" s="2380"/>
      <c r="Y38" s="2380"/>
      <c r="Z38" s="2381"/>
    </row>
    <row r="39" spans="1:37" ht="13.5" thickBot="1">
      <c r="A39" s="1726"/>
      <c r="B39" s="1741" t="s">
        <v>1167</v>
      </c>
      <c r="C39" s="561" t="e">
        <f ca="1">ROUND(C5*C19*C20*C24*F39,0)</f>
        <v>#DIV/0!</v>
      </c>
      <c r="D39" s="1746"/>
      <c r="E39" s="561" t="e">
        <f t="shared" ca="1" si="7"/>
        <v>#DIV/0!</v>
      </c>
      <c r="F39" s="1742">
        <f>SUMIF(修正!A45:A56,G2,修正!H45:H56)</f>
        <v>0.2</v>
      </c>
      <c r="G39" s="561" t="e">
        <f t="shared" si="6"/>
        <v>#DIV/0!</v>
      </c>
      <c r="H39" s="561">
        <f t="shared" si="8"/>
        <v>0</v>
      </c>
      <c r="I39" s="561" t="e">
        <f t="shared" si="9"/>
        <v>#DIV/0!</v>
      </c>
      <c r="J39" s="1743"/>
      <c r="K39" s="2380"/>
      <c r="L39" s="1762" t="s">
        <v>1836</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1776</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1.0355000000000001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1777</v>
      </c>
      <c r="B47" s="1496" t="s">
        <v>1778</v>
      </c>
      <c r="C47" s="1497" t="s">
        <v>1779</v>
      </c>
      <c r="D47" s="1498" t="s">
        <v>1850</v>
      </c>
      <c r="E47" s="1499" t="s">
        <v>1852</v>
      </c>
      <c r="F47" s="2601" t="s">
        <v>2494</v>
      </c>
      <c r="G47" s="1498" t="s">
        <v>1848</v>
      </c>
      <c r="H47" s="2602" t="s">
        <v>2495</v>
      </c>
      <c r="I47" s="1498" t="s">
        <v>1851</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1780</v>
      </c>
      <c r="B48" s="1500" t="str">
        <f>估价对象房地状况!C4</f>
        <v>估价对象位于XX商圈，周边商业氛围成熟，人流量大，商业繁华度好</v>
      </c>
      <c r="C48" s="1485" t="s">
        <v>3104</v>
      </c>
      <c r="D48" s="2600">
        <f t="shared" ref="D48:D56" si="10">SUMIF($J$47:$N$47,C48,J48:N48)</f>
        <v>1.4E-2</v>
      </c>
      <c r="E48" s="1502">
        <f>ROUND(SUM(D48:D56),4)</f>
        <v>3.5499999999999997E-2</v>
      </c>
      <c r="F48" s="1503">
        <f>IF(E2="商业",SUMIF(L1:L12,G2,N1:N12),"——")</f>
        <v>8.5999999999999993E-2</v>
      </c>
      <c r="G48" s="2598">
        <v>1.4E-2</v>
      </c>
      <c r="H48" s="2616">
        <f t="shared" ref="H48:H56" si="11">IFERROR(ROUNDDOWN($F$48*I48/2,4),"——")</f>
        <v>1.41E-2</v>
      </c>
      <c r="I48" s="1501">
        <v>0.33</v>
      </c>
      <c r="J48" s="2599">
        <f t="shared" ref="J48:J56" si="12">K48+$G48</f>
        <v>2.8000000000000001E-2</v>
      </c>
      <c r="K48" s="2599">
        <f t="shared" ref="K48:K56" si="13">$L48+$G48</f>
        <v>1.4E-2</v>
      </c>
      <c r="L48" s="2599">
        <v>0</v>
      </c>
      <c r="M48" s="2599">
        <f t="shared" ref="M48:N56" si="14">L48-$G48</f>
        <v>-1.4E-2</v>
      </c>
      <c r="N48" s="2599">
        <f t="shared" si="14"/>
        <v>-2.8000000000000001E-2</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t="s">
        <v>3104</v>
      </c>
      <c r="D49" s="2600">
        <f t="shared" si="10"/>
        <v>0.01</v>
      </c>
      <c r="E49" s="1505"/>
      <c r="F49" s="1503"/>
      <c r="G49" s="2598">
        <v>0.01</v>
      </c>
      <c r="H49" s="2616">
        <f t="shared" si="11"/>
        <v>1.0699999999999999E-2</v>
      </c>
      <c r="I49" s="1501">
        <v>0.25</v>
      </c>
      <c r="J49" s="2599">
        <f t="shared" si="12"/>
        <v>0.02</v>
      </c>
      <c r="K49" s="2599">
        <f t="shared" si="13"/>
        <v>0.01</v>
      </c>
      <c r="L49" s="2599">
        <v>0</v>
      </c>
      <c r="M49" s="2599">
        <f t="shared" si="14"/>
        <v>-0.01</v>
      </c>
      <c r="N49" s="2599">
        <f t="shared" si="14"/>
        <v>-0.02</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t="s">
        <v>3104</v>
      </c>
      <c r="D50" s="2600">
        <f t="shared" si="10"/>
        <v>2E-3</v>
      </c>
      <c r="E50" s="1505"/>
      <c r="F50" s="1503"/>
      <c r="G50" s="2598">
        <v>2E-3</v>
      </c>
      <c r="H50" s="2616">
        <f t="shared" si="11"/>
        <v>2.0999999999999999E-3</v>
      </c>
      <c r="I50" s="1501">
        <v>0.05</v>
      </c>
      <c r="J50" s="2599">
        <f t="shared" si="12"/>
        <v>4.0000000000000001E-3</v>
      </c>
      <c r="K50" s="2599">
        <f t="shared" si="13"/>
        <v>2E-3</v>
      </c>
      <c r="L50" s="2599">
        <v>0</v>
      </c>
      <c r="M50" s="2599">
        <f t="shared" si="14"/>
        <v>-2E-3</v>
      </c>
      <c r="N50" s="2599">
        <f t="shared" si="14"/>
        <v>-4.0000000000000001E-3</v>
      </c>
      <c r="AA50" s="2381"/>
      <c r="AB50" s="2381"/>
      <c r="AC50" s="2381"/>
      <c r="AD50" s="2381"/>
      <c r="AE50" s="2381"/>
      <c r="AF50" s="2381"/>
      <c r="AG50" s="2381"/>
      <c r="AH50" s="2381"/>
      <c r="AI50" s="2381"/>
      <c r="AJ50" s="2381"/>
      <c r="AK50" s="2381"/>
    </row>
    <row r="51" spans="1:37" s="2380" customFormat="1" ht="36">
      <c r="A51" s="1495" t="s">
        <v>1781</v>
      </c>
      <c r="B51" s="3300" t="s">
        <v>3026</v>
      </c>
      <c r="C51" s="1485" t="s">
        <v>3106</v>
      </c>
      <c r="D51" s="2600">
        <f t="shared" si="10"/>
        <v>-2E-3</v>
      </c>
      <c r="E51" s="1505"/>
      <c r="F51" s="1503"/>
      <c r="G51" s="2598">
        <v>2E-3</v>
      </c>
      <c r="H51" s="2616">
        <f t="shared" si="11"/>
        <v>2.0999999999999999E-3</v>
      </c>
      <c r="I51" s="1501">
        <v>0.05</v>
      </c>
      <c r="J51" s="2599">
        <f t="shared" si="12"/>
        <v>4.0000000000000001E-3</v>
      </c>
      <c r="K51" s="2599">
        <f t="shared" si="13"/>
        <v>2E-3</v>
      </c>
      <c r="L51" s="2599">
        <v>0</v>
      </c>
      <c r="M51" s="2599">
        <f t="shared" si="14"/>
        <v>-2E-3</v>
      </c>
      <c r="N51" s="2599">
        <f t="shared" si="14"/>
        <v>-4.0000000000000001E-3</v>
      </c>
      <c r="AA51" s="2381"/>
      <c r="AB51" s="2381"/>
      <c r="AC51" s="2381"/>
      <c r="AD51" s="2381"/>
      <c r="AE51" s="2381"/>
      <c r="AF51" s="2381"/>
      <c r="AG51" s="2381"/>
      <c r="AH51" s="2381"/>
      <c r="AI51" s="2381"/>
      <c r="AJ51" s="2381"/>
      <c r="AK51" s="2381"/>
    </row>
    <row r="52" spans="1:37" s="2380" customFormat="1" ht="24">
      <c r="A52" s="1495" t="s">
        <v>1782</v>
      </c>
      <c r="B52" s="1504">
        <f>估价对象房地状况!C24</f>
        <v>0</v>
      </c>
      <c r="C52" s="1485" t="s">
        <v>3104</v>
      </c>
      <c r="D52" s="2600">
        <f t="shared" si="10"/>
        <v>3.0000000000000001E-3</v>
      </c>
      <c r="E52" s="1505"/>
      <c r="F52" s="1503"/>
      <c r="G52" s="2598">
        <v>3.0000000000000001E-3</v>
      </c>
      <c r="H52" s="2616">
        <f t="shared" si="11"/>
        <v>3.3999999999999998E-3</v>
      </c>
      <c r="I52" s="1501">
        <v>0.08</v>
      </c>
      <c r="J52" s="2599">
        <f t="shared" si="12"/>
        <v>6.0000000000000001E-3</v>
      </c>
      <c r="K52" s="2599">
        <f t="shared" si="13"/>
        <v>3.0000000000000001E-3</v>
      </c>
      <c r="L52" s="2599">
        <v>0</v>
      </c>
      <c r="M52" s="2599">
        <f t="shared" si="14"/>
        <v>-3.0000000000000001E-3</v>
      </c>
      <c r="N52" s="2599">
        <f t="shared" si="14"/>
        <v>-6.0000000000000001E-3</v>
      </c>
      <c r="AA52" s="2381"/>
      <c r="AB52" s="2381"/>
      <c r="AC52" s="2381"/>
      <c r="AD52" s="2381"/>
      <c r="AE52" s="2381"/>
      <c r="AF52" s="2381"/>
      <c r="AG52" s="2381"/>
      <c r="AH52" s="2381"/>
      <c r="AI52" s="2381"/>
      <c r="AJ52" s="2381"/>
      <c r="AK52" s="2381"/>
    </row>
    <row r="53" spans="1:37" s="2380" customFormat="1" ht="24">
      <c r="A53" s="1495" t="s">
        <v>1783</v>
      </c>
      <c r="B53" s="3299" t="s">
        <v>3025</v>
      </c>
      <c r="C53" s="1485" t="s">
        <v>3105</v>
      </c>
      <c r="D53" s="2600">
        <f t="shared" si="10"/>
        <v>0</v>
      </c>
      <c r="E53" s="1505"/>
      <c r="F53" s="1503"/>
      <c r="G53" s="2598">
        <v>1.1999999999999999E-3</v>
      </c>
      <c r="H53" s="2616">
        <f t="shared" si="11"/>
        <v>1.1999999999999999E-3</v>
      </c>
      <c r="I53" s="1501">
        <v>0.03</v>
      </c>
      <c r="J53" s="2599">
        <f t="shared" si="12"/>
        <v>2.3999999999999998E-3</v>
      </c>
      <c r="K53" s="2599">
        <f t="shared" si="13"/>
        <v>1.1999999999999999E-3</v>
      </c>
      <c r="L53" s="2599">
        <v>0</v>
      </c>
      <c r="M53" s="2599">
        <f t="shared" si="14"/>
        <v>-1.1999999999999999E-3</v>
      </c>
      <c r="N53" s="2599">
        <f t="shared" si="14"/>
        <v>-2.3999999999999998E-3</v>
      </c>
      <c r="AA53" s="2381"/>
      <c r="AB53" s="2381"/>
      <c r="AC53" s="2381"/>
      <c r="AD53" s="2381"/>
      <c r="AE53" s="2381"/>
      <c r="AF53" s="2381"/>
      <c r="AG53" s="2381"/>
      <c r="AH53" s="2381"/>
      <c r="AI53" s="2381"/>
      <c r="AJ53" s="2381"/>
      <c r="AK53" s="2381"/>
    </row>
    <row r="54" spans="1:37" s="2380" customFormat="1" ht="24">
      <c r="A54" s="1506" t="s">
        <v>1784</v>
      </c>
      <c r="B54" s="2596" t="str">
        <f>估价对象房地状况!C21</f>
        <v>估价对象所在区域公共配套设施齐备情况</v>
      </c>
      <c r="C54" s="1485" t="s">
        <v>3104</v>
      </c>
      <c r="D54" s="2600">
        <f t="shared" si="10"/>
        <v>2E-3</v>
      </c>
      <c r="E54" s="1505"/>
      <c r="F54" s="1503"/>
      <c r="G54" s="2598">
        <v>2E-3</v>
      </c>
      <c r="H54" s="2616">
        <f t="shared" si="11"/>
        <v>2.0999999999999999E-3</v>
      </c>
      <c r="I54" s="1501">
        <v>0.05</v>
      </c>
      <c r="J54" s="2599">
        <f t="shared" si="12"/>
        <v>4.0000000000000001E-3</v>
      </c>
      <c r="K54" s="2599">
        <f t="shared" si="13"/>
        <v>2E-3</v>
      </c>
      <c r="L54" s="2599">
        <v>0</v>
      </c>
      <c r="M54" s="2599">
        <f t="shared" si="14"/>
        <v>-2E-3</v>
      </c>
      <c r="N54" s="2599">
        <f t="shared" si="14"/>
        <v>-4.0000000000000001E-3</v>
      </c>
      <c r="AA54" s="2381"/>
      <c r="AB54" s="2381"/>
      <c r="AC54" s="2381"/>
      <c r="AD54" s="2381"/>
      <c r="AE54" s="2381"/>
      <c r="AF54" s="2381"/>
      <c r="AG54" s="2381"/>
      <c r="AH54" s="2381"/>
      <c r="AI54" s="2381"/>
      <c r="AJ54" s="2381"/>
      <c r="AK54" s="2381"/>
    </row>
    <row r="55" spans="1:37" s="2380" customFormat="1" ht="24">
      <c r="A55" s="1506" t="s">
        <v>1785</v>
      </c>
      <c r="B55" s="1504" t="str">
        <f>估价对象房地状况!C22</f>
        <v>估价对象所在区域基础设施水平</v>
      </c>
      <c r="C55" s="1485" t="s">
        <v>3104</v>
      </c>
      <c r="D55" s="2600">
        <f t="shared" si="10"/>
        <v>4.0000000000000001E-3</v>
      </c>
      <c r="E55" s="1505"/>
      <c r="F55" s="1503"/>
      <c r="G55" s="2598">
        <v>4.0000000000000001E-3</v>
      </c>
      <c r="H55" s="2616">
        <f t="shared" si="11"/>
        <v>4.3E-3</v>
      </c>
      <c r="I55" s="1501">
        <v>0.1</v>
      </c>
      <c r="J55" s="2599">
        <f t="shared" si="12"/>
        <v>8.0000000000000002E-3</v>
      </c>
      <c r="K55" s="2599">
        <f t="shared" si="13"/>
        <v>4.0000000000000001E-3</v>
      </c>
      <c r="L55" s="2599">
        <v>0</v>
      </c>
      <c r="M55" s="2599">
        <f t="shared" si="14"/>
        <v>-4.0000000000000001E-3</v>
      </c>
      <c r="N55" s="2599">
        <f t="shared" si="14"/>
        <v>-8.0000000000000002E-3</v>
      </c>
      <c r="AA55" s="2381"/>
      <c r="AB55" s="2381"/>
      <c r="AC55" s="2381"/>
      <c r="AD55" s="2381"/>
      <c r="AE55" s="2381"/>
      <c r="AF55" s="2381"/>
      <c r="AG55" s="2381"/>
      <c r="AH55" s="2381"/>
      <c r="AI55" s="2381"/>
      <c r="AJ55" s="2381"/>
      <c r="AK55" s="2381"/>
    </row>
    <row r="56" spans="1:37" s="2380" customFormat="1" ht="36.75" thickBot="1">
      <c r="A56" s="1508" t="s">
        <v>1786</v>
      </c>
      <c r="B56" s="1509" t="str">
        <f>估价对象房地状况!C20</f>
        <v>区域自然环境：；人文环境；综合评价环境状况一般</v>
      </c>
      <c r="C56" s="1485" t="s">
        <v>3104</v>
      </c>
      <c r="D56" s="2600">
        <f t="shared" si="10"/>
        <v>2.5000000000000001E-3</v>
      </c>
      <c r="E56" s="1511"/>
      <c r="F56" s="1503"/>
      <c r="G56" s="2598">
        <v>2.5000000000000001E-3</v>
      </c>
      <c r="H56" s="2616">
        <f t="shared" si="11"/>
        <v>2.5000000000000001E-3</v>
      </c>
      <c r="I56" s="1510">
        <v>0.06</v>
      </c>
      <c r="J56" s="2599">
        <f t="shared" si="12"/>
        <v>5.0000000000000001E-3</v>
      </c>
      <c r="K56" s="2599">
        <f t="shared" si="13"/>
        <v>2.5000000000000001E-3</v>
      </c>
      <c r="L56" s="2599">
        <v>0</v>
      </c>
      <c r="M56" s="2599">
        <f t="shared" si="14"/>
        <v>-2.5000000000000001E-3</v>
      </c>
      <c r="N56" s="2599">
        <f t="shared" si="14"/>
        <v>-5.0000000000000001E-3</v>
      </c>
      <c r="AA56" s="2381"/>
      <c r="AB56" s="2381"/>
      <c r="AC56" s="2381"/>
      <c r="AD56" s="2381"/>
      <c r="AE56" s="2381"/>
      <c r="AF56" s="2381"/>
      <c r="AG56" s="2381"/>
      <c r="AH56" s="2381"/>
      <c r="AI56" s="2381"/>
      <c r="AJ56" s="2381"/>
      <c r="AK56" s="2381"/>
    </row>
    <row r="57" spans="1:37" s="2380" customFormat="1" ht="15">
      <c r="A57" s="1489" t="s">
        <v>1160</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1777</v>
      </c>
      <c r="B58" s="1496"/>
      <c r="C58" s="1497" t="s">
        <v>1779</v>
      </c>
      <c r="D58" s="1498" t="s">
        <v>1850</v>
      </c>
      <c r="E58" s="1499" t="s">
        <v>1852</v>
      </c>
      <c r="F58" s="2601" t="s">
        <v>2291</v>
      </c>
      <c r="G58" s="1498" t="s">
        <v>1848</v>
      </c>
      <c r="H58" s="2602" t="s">
        <v>2495</v>
      </c>
      <c r="I58" s="1498" t="s">
        <v>1851</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1091</v>
      </c>
      <c r="B59" s="1500" t="str">
        <f>估价对象房地状况!C17</f>
        <v>估价对象位于XX商圈，周边办公楼项目较多，入驻率高，办公集聚程度较好</v>
      </c>
      <c r="C59" s="1485"/>
      <c r="D59" s="2600">
        <f t="shared" ref="D59:D67" si="15">SUMIF($J$58:$N$58,C59,J59:N59)</f>
        <v>0</v>
      </c>
      <c r="E59" s="1502">
        <f>ROUND(SUM(D59:D67),4)</f>
        <v>0</v>
      </c>
      <c r="F59" s="1503" t="str">
        <f>IF(E2="办公",SUMIF(L1:L12,G2,N1:N12),"——")</f>
        <v>——</v>
      </c>
      <c r="G59" s="2598"/>
      <c r="H59" s="2616" t="str">
        <f t="shared" ref="H59:H67" si="16">IFERROR(ROUNDDOWN($F$59*I59/2,4),"——")</f>
        <v>——</v>
      </c>
      <c r="I59" s="1501">
        <v>0.24</v>
      </c>
      <c r="J59" s="2599">
        <f t="shared" ref="J59:J67" si="17">K59+$G59</f>
        <v>0</v>
      </c>
      <c r="K59" s="2599">
        <f t="shared" ref="K59:K67" si="18">$L59+$G59</f>
        <v>0</v>
      </c>
      <c r="L59" s="2599">
        <v>0</v>
      </c>
      <c r="M59" s="2599">
        <f t="shared" ref="M59:N67" si="19">L59-$G59</f>
        <v>0</v>
      </c>
      <c r="N59" s="2599">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0">
        <f t="shared" si="15"/>
        <v>0</v>
      </c>
      <c r="E60" s="1505"/>
      <c r="F60" s="1503"/>
      <c r="G60" s="2598"/>
      <c r="H60" s="2616" t="str">
        <f t="shared" si="16"/>
        <v>——</v>
      </c>
      <c r="I60" s="1501">
        <v>0.3</v>
      </c>
      <c r="J60" s="2599">
        <f t="shared" si="17"/>
        <v>0</v>
      </c>
      <c r="K60" s="2599">
        <f t="shared" si="18"/>
        <v>0</v>
      </c>
      <c r="L60" s="2599">
        <v>0</v>
      </c>
      <c r="M60" s="2599">
        <f t="shared" si="19"/>
        <v>0</v>
      </c>
      <c r="N60" s="2599">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0">
        <f t="shared" si="15"/>
        <v>0</v>
      </c>
      <c r="E61" s="1505"/>
      <c r="F61" s="1503"/>
      <c r="G61" s="2598"/>
      <c r="H61" s="2616" t="str">
        <f t="shared" si="16"/>
        <v>——</v>
      </c>
      <c r="I61" s="1501">
        <v>0.08</v>
      </c>
      <c r="J61" s="2599">
        <f t="shared" si="17"/>
        <v>0</v>
      </c>
      <c r="K61" s="2599">
        <f t="shared" si="18"/>
        <v>0</v>
      </c>
      <c r="L61" s="2599">
        <v>0</v>
      </c>
      <c r="M61" s="2599">
        <f t="shared" si="19"/>
        <v>0</v>
      </c>
      <c r="N61" s="2599">
        <f t="shared" si="19"/>
        <v>0</v>
      </c>
      <c r="AA61" s="2381"/>
      <c r="AB61" s="2381"/>
      <c r="AC61" s="2381"/>
      <c r="AD61" s="2381"/>
      <c r="AE61" s="2381"/>
      <c r="AF61" s="2381"/>
      <c r="AG61" s="2381"/>
      <c r="AH61" s="2381"/>
      <c r="AI61" s="2381"/>
      <c r="AJ61" s="2381"/>
      <c r="AK61" s="2381"/>
    </row>
    <row r="62" spans="1:37" s="2380" customFormat="1" ht="36">
      <c r="A62" s="1495" t="s">
        <v>1781</v>
      </c>
      <c r="B62" s="3300" t="s">
        <v>3026</v>
      </c>
      <c r="C62" s="1485"/>
      <c r="D62" s="2600">
        <f t="shared" si="15"/>
        <v>0</v>
      </c>
      <c r="E62" s="1505"/>
      <c r="F62" s="1503"/>
      <c r="G62" s="2598"/>
      <c r="H62" s="2616" t="str">
        <f t="shared" si="16"/>
        <v>——</v>
      </c>
      <c r="I62" s="1501">
        <v>0.04</v>
      </c>
      <c r="J62" s="2599">
        <f t="shared" si="17"/>
        <v>0</v>
      </c>
      <c r="K62" s="2599">
        <f t="shared" si="18"/>
        <v>0</v>
      </c>
      <c r="L62" s="2599">
        <v>0</v>
      </c>
      <c r="M62" s="2599">
        <f t="shared" si="19"/>
        <v>0</v>
      </c>
      <c r="N62" s="2599">
        <f t="shared" si="19"/>
        <v>0</v>
      </c>
      <c r="AA62" s="2381"/>
      <c r="AB62" s="2381"/>
      <c r="AC62" s="2381"/>
      <c r="AD62" s="2381"/>
      <c r="AE62" s="2381"/>
      <c r="AF62" s="2381"/>
      <c r="AG62" s="2381"/>
      <c r="AH62" s="2381"/>
      <c r="AI62" s="2381"/>
      <c r="AJ62" s="2381"/>
      <c r="AK62" s="2381"/>
    </row>
    <row r="63" spans="1:37" s="2380" customFormat="1" ht="24">
      <c r="A63" s="1495" t="s">
        <v>1782</v>
      </c>
      <c r="B63" s="1504">
        <f>估价对象房地状况!C24</f>
        <v>0</v>
      </c>
      <c r="C63" s="1485"/>
      <c r="D63" s="2600">
        <f t="shared" si="15"/>
        <v>0</v>
      </c>
      <c r="E63" s="1505"/>
      <c r="F63" s="1503"/>
      <c r="G63" s="2598"/>
      <c r="H63" s="2616" t="str">
        <f t="shared" si="16"/>
        <v>——</v>
      </c>
      <c r="I63" s="1501">
        <v>0.05</v>
      </c>
      <c r="J63" s="2599">
        <f t="shared" si="17"/>
        <v>0</v>
      </c>
      <c r="K63" s="2599">
        <f t="shared" si="18"/>
        <v>0</v>
      </c>
      <c r="L63" s="2599">
        <v>0</v>
      </c>
      <c r="M63" s="2599">
        <f t="shared" si="19"/>
        <v>0</v>
      </c>
      <c r="N63" s="2599">
        <f t="shared" si="19"/>
        <v>0</v>
      </c>
      <c r="AA63" s="2381"/>
      <c r="AB63" s="2381"/>
      <c r="AC63" s="2381"/>
      <c r="AD63" s="2381"/>
      <c r="AE63" s="2381"/>
      <c r="AF63" s="2381"/>
      <c r="AG63" s="2381"/>
      <c r="AH63" s="2381"/>
      <c r="AI63" s="2381"/>
      <c r="AJ63" s="2381"/>
      <c r="AK63" s="2381"/>
    </row>
    <row r="64" spans="1:37" s="2380" customFormat="1" ht="24">
      <c r="A64" s="1495" t="s">
        <v>1783</v>
      </c>
      <c r="B64" s="3299" t="s">
        <v>3025</v>
      </c>
      <c r="C64" s="1485"/>
      <c r="D64" s="2600">
        <f t="shared" si="15"/>
        <v>0</v>
      </c>
      <c r="E64" s="1505"/>
      <c r="F64" s="1503"/>
      <c r="G64" s="2598"/>
      <c r="H64" s="2616" t="str">
        <f t="shared" si="16"/>
        <v>——</v>
      </c>
      <c r="I64" s="1501">
        <v>0.05</v>
      </c>
      <c r="J64" s="2599">
        <f t="shared" si="17"/>
        <v>0</v>
      </c>
      <c r="K64" s="2599">
        <f t="shared" si="18"/>
        <v>0</v>
      </c>
      <c r="L64" s="2599">
        <v>0</v>
      </c>
      <c r="M64" s="2599">
        <f t="shared" si="19"/>
        <v>0</v>
      </c>
      <c r="N64" s="2599">
        <f t="shared" si="19"/>
        <v>0</v>
      </c>
      <c r="AA64" s="2381"/>
      <c r="AB64" s="2381"/>
      <c r="AC64" s="2381"/>
      <c r="AD64" s="2381"/>
      <c r="AE64" s="2381"/>
      <c r="AF64" s="2381"/>
      <c r="AG64" s="2381"/>
      <c r="AH64" s="2381"/>
      <c r="AI64" s="2381"/>
      <c r="AJ64" s="2381"/>
      <c r="AK64" s="2381"/>
    </row>
    <row r="65" spans="1:37" s="2380" customFormat="1" ht="24">
      <c r="A65" s="1495" t="s">
        <v>1784</v>
      </c>
      <c r="B65" s="2596" t="str">
        <f>估价对象房地状况!C21</f>
        <v>估价对象所在区域公共配套设施齐备情况</v>
      </c>
      <c r="C65" s="1485"/>
      <c r="D65" s="2600">
        <f t="shared" si="15"/>
        <v>0</v>
      </c>
      <c r="E65" s="1505"/>
      <c r="F65" s="1503"/>
      <c r="G65" s="2598"/>
      <c r="H65" s="2616" t="str">
        <f t="shared" si="16"/>
        <v>——</v>
      </c>
      <c r="I65" s="1501">
        <v>0.06</v>
      </c>
      <c r="J65" s="2599">
        <f t="shared" si="17"/>
        <v>0</v>
      </c>
      <c r="K65" s="2599">
        <f t="shared" si="18"/>
        <v>0</v>
      </c>
      <c r="L65" s="2599">
        <v>0</v>
      </c>
      <c r="M65" s="2599">
        <f t="shared" si="19"/>
        <v>0</v>
      </c>
      <c r="N65" s="2599">
        <f t="shared" si="19"/>
        <v>0</v>
      </c>
      <c r="AA65" s="2381"/>
      <c r="AB65" s="2381"/>
      <c r="AC65" s="2381"/>
      <c r="AD65" s="2381"/>
      <c r="AE65" s="2381"/>
      <c r="AF65" s="2381"/>
      <c r="AG65" s="2381"/>
      <c r="AH65" s="2381"/>
      <c r="AI65" s="2381"/>
      <c r="AJ65" s="2381"/>
      <c r="AK65" s="2381"/>
    </row>
    <row r="66" spans="1:37" s="2380" customFormat="1" ht="24">
      <c r="A66" s="1495" t="s">
        <v>1785</v>
      </c>
      <c r="B66" s="2596" t="str">
        <f>估价对象房地状况!C22</f>
        <v>估价对象所在区域基础设施水平</v>
      </c>
      <c r="C66" s="1485"/>
      <c r="D66" s="2600">
        <f t="shared" si="15"/>
        <v>0</v>
      </c>
      <c r="E66" s="1505"/>
      <c r="F66" s="1503"/>
      <c r="G66" s="2598"/>
      <c r="H66" s="2616" t="str">
        <f t="shared" si="16"/>
        <v>——</v>
      </c>
      <c r="I66" s="1501">
        <v>0.12</v>
      </c>
      <c r="J66" s="2599">
        <f t="shared" si="17"/>
        <v>0</v>
      </c>
      <c r="K66" s="2599">
        <f t="shared" si="18"/>
        <v>0</v>
      </c>
      <c r="L66" s="2599">
        <v>0</v>
      </c>
      <c r="M66" s="2599">
        <f t="shared" si="19"/>
        <v>0</v>
      </c>
      <c r="N66" s="2599">
        <f t="shared" si="19"/>
        <v>0</v>
      </c>
      <c r="AA66" s="2381"/>
      <c r="AB66" s="2381"/>
      <c r="AC66" s="2381"/>
      <c r="AD66" s="2381"/>
      <c r="AE66" s="2381"/>
      <c r="AF66" s="2381"/>
      <c r="AG66" s="2381"/>
      <c r="AH66" s="2381"/>
      <c r="AI66" s="2381"/>
      <c r="AJ66" s="2381"/>
      <c r="AK66" s="2381"/>
    </row>
    <row r="67" spans="1:37" s="2380" customFormat="1" ht="36.75" thickBot="1">
      <c r="A67" s="1508" t="s">
        <v>1786</v>
      </c>
      <c r="B67" s="1513" t="str">
        <f>估价对象房地状况!C20</f>
        <v>区域自然环境：；人文环境；综合评价环境状况一般</v>
      </c>
      <c r="C67" s="1485"/>
      <c r="D67" s="2600">
        <f t="shared" si="15"/>
        <v>0</v>
      </c>
      <c r="E67" s="1511"/>
      <c r="F67" s="1503"/>
      <c r="G67" s="2598"/>
      <c r="H67" s="2616" t="str">
        <f t="shared" si="16"/>
        <v>——</v>
      </c>
      <c r="I67" s="1510">
        <v>0.06</v>
      </c>
      <c r="J67" s="2599">
        <f t="shared" si="17"/>
        <v>0</v>
      </c>
      <c r="K67" s="2599">
        <f t="shared" si="18"/>
        <v>0</v>
      </c>
      <c r="L67" s="2599">
        <v>0</v>
      </c>
      <c r="M67" s="2599">
        <f t="shared" si="19"/>
        <v>0</v>
      </c>
      <c r="N67" s="2599">
        <f t="shared" si="19"/>
        <v>0</v>
      </c>
      <c r="AA67" s="2381"/>
      <c r="AB67" s="2381"/>
      <c r="AC67" s="2381"/>
      <c r="AD67" s="2381"/>
      <c r="AE67" s="2381"/>
      <c r="AF67" s="2381"/>
      <c r="AG67" s="2381"/>
      <c r="AH67" s="2381"/>
      <c r="AI67" s="2381"/>
      <c r="AJ67" s="2381"/>
      <c r="AK67" s="2381"/>
    </row>
    <row r="68" spans="1:37" s="2380" customFormat="1" ht="15">
      <c r="A68" s="1489" t="s">
        <v>981</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1777</v>
      </c>
      <c r="B69" s="1496"/>
      <c r="C69" s="1497" t="s">
        <v>1779</v>
      </c>
      <c r="D69" s="1498" t="s">
        <v>1850</v>
      </c>
      <c r="E69" s="1499" t="s">
        <v>1852</v>
      </c>
      <c r="F69" s="2601" t="s">
        <v>2291</v>
      </c>
      <c r="G69" s="1498" t="s">
        <v>1848</v>
      </c>
      <c r="H69" s="2602" t="s">
        <v>2495</v>
      </c>
      <c r="I69" s="1498" t="s">
        <v>1851</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0">
        <f t="shared" ref="D70:D78" si="20">SUMIF($J$69:$N$69,C70,J70:N70)</f>
        <v>0</v>
      </c>
      <c r="E70" s="1502">
        <f>ROUND(SUM(D70:D78),4)</f>
        <v>0</v>
      </c>
      <c r="F70" s="1503" t="str">
        <f>IF(E2="住宅",SUMIF(L1:L12,G2,N1:N12),"——")</f>
        <v>——</v>
      </c>
      <c r="G70" s="2598"/>
      <c r="H70" s="2616" t="str">
        <f t="shared" ref="H70:H78" si="21">IFERROR(ROUNDDOWN($F$70*I70/2,4),"——")</f>
        <v>——</v>
      </c>
      <c r="I70" s="1501">
        <v>0.14000000000000001</v>
      </c>
      <c r="J70" s="2599">
        <f t="shared" ref="J70:J78" si="22">K70+$G70</f>
        <v>0</v>
      </c>
      <c r="K70" s="2599">
        <f t="shared" ref="K70:K78" si="23">$L70+$G70</f>
        <v>0</v>
      </c>
      <c r="L70" s="2599">
        <v>0</v>
      </c>
      <c r="M70" s="2599">
        <f t="shared" ref="M70:N78" si="24">L70-$G70</f>
        <v>0</v>
      </c>
      <c r="N70" s="2599">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0">
        <f t="shared" si="20"/>
        <v>0</v>
      </c>
      <c r="E71" s="1514"/>
      <c r="F71" s="1503"/>
      <c r="G71" s="2598"/>
      <c r="H71" s="2616" t="str">
        <f t="shared" si="21"/>
        <v>——</v>
      </c>
      <c r="I71" s="1501">
        <v>0.3</v>
      </c>
      <c r="J71" s="2599">
        <f t="shared" si="22"/>
        <v>0</v>
      </c>
      <c r="K71" s="2599">
        <f t="shared" si="23"/>
        <v>0</v>
      </c>
      <c r="L71" s="2599">
        <v>0</v>
      </c>
      <c r="M71" s="2599">
        <f t="shared" si="24"/>
        <v>0</v>
      </c>
      <c r="N71" s="2599">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0">
        <f t="shared" si="20"/>
        <v>0</v>
      </c>
      <c r="E72" s="1514"/>
      <c r="F72" s="1503"/>
      <c r="G72" s="2598"/>
      <c r="H72" s="2616" t="str">
        <f t="shared" si="21"/>
        <v>——</v>
      </c>
      <c r="I72" s="1501">
        <v>0.08</v>
      </c>
      <c r="J72" s="2599">
        <f t="shared" si="22"/>
        <v>0</v>
      </c>
      <c r="K72" s="2599">
        <f t="shared" si="23"/>
        <v>0</v>
      </c>
      <c r="L72" s="2599">
        <v>0</v>
      </c>
      <c r="M72" s="2599">
        <f t="shared" si="24"/>
        <v>0</v>
      </c>
      <c r="N72" s="2599">
        <f t="shared" si="24"/>
        <v>0</v>
      </c>
      <c r="AA72" s="2381"/>
      <c r="AB72" s="2381"/>
      <c r="AC72" s="2381"/>
      <c r="AD72" s="2381"/>
      <c r="AE72" s="2381"/>
      <c r="AF72" s="2381"/>
      <c r="AG72" s="2381"/>
      <c r="AH72" s="2381"/>
      <c r="AI72" s="2381"/>
      <c r="AJ72" s="2381"/>
      <c r="AK72" s="2381"/>
    </row>
    <row r="73" spans="1:37" s="2380" customFormat="1" ht="14.25">
      <c r="A73" s="1495" t="s">
        <v>1787</v>
      </c>
      <c r="B73" s="1504">
        <f>估价对象房地状况!C24</f>
        <v>0</v>
      </c>
      <c r="C73" s="1485"/>
      <c r="D73" s="2600">
        <f t="shared" si="20"/>
        <v>0</v>
      </c>
      <c r="E73" s="1514"/>
      <c r="F73" s="1503"/>
      <c r="G73" s="2598"/>
      <c r="H73" s="2616" t="str">
        <f t="shared" si="21"/>
        <v>——</v>
      </c>
      <c r="I73" s="1501">
        <v>0.04</v>
      </c>
      <c r="J73" s="2599">
        <f t="shared" si="22"/>
        <v>0</v>
      </c>
      <c r="K73" s="2599">
        <f t="shared" si="23"/>
        <v>0</v>
      </c>
      <c r="L73" s="2599">
        <v>0</v>
      </c>
      <c r="M73" s="2599">
        <f t="shared" si="24"/>
        <v>0</v>
      </c>
      <c r="N73" s="2599">
        <f t="shared" si="24"/>
        <v>0</v>
      </c>
      <c r="AA73" s="2381"/>
      <c r="AB73" s="2381"/>
      <c r="AC73" s="2381"/>
      <c r="AD73" s="2381"/>
      <c r="AE73" s="2381"/>
      <c r="AF73" s="2381"/>
      <c r="AG73" s="2381"/>
      <c r="AH73" s="2381"/>
      <c r="AI73" s="2381"/>
      <c r="AJ73" s="2381"/>
      <c r="AK73" s="2381"/>
    </row>
    <row r="74" spans="1:37" s="2380" customFormat="1" ht="24">
      <c r="A74" s="1495" t="s">
        <v>1784</v>
      </c>
      <c r="B74" s="2596" t="str">
        <f>估价对象房地状况!C21</f>
        <v>估价对象所在区域公共配套设施齐备情况</v>
      </c>
      <c r="C74" s="1485"/>
      <c r="D74" s="2600">
        <f t="shared" si="20"/>
        <v>0</v>
      </c>
      <c r="E74" s="1514"/>
      <c r="F74" s="1503"/>
      <c r="G74" s="2598"/>
      <c r="H74" s="2616" t="str">
        <f t="shared" si="21"/>
        <v>——</v>
      </c>
      <c r="I74" s="1501">
        <v>0.08</v>
      </c>
      <c r="J74" s="2599">
        <f t="shared" si="22"/>
        <v>0</v>
      </c>
      <c r="K74" s="2599">
        <f t="shared" si="23"/>
        <v>0</v>
      </c>
      <c r="L74" s="2599">
        <v>0</v>
      </c>
      <c r="M74" s="2599">
        <f t="shared" si="24"/>
        <v>0</v>
      </c>
      <c r="N74" s="2599">
        <f t="shared" si="24"/>
        <v>0</v>
      </c>
      <c r="AA74" s="2381"/>
      <c r="AB74" s="2381"/>
      <c r="AC74" s="2381"/>
      <c r="AD74" s="2381"/>
      <c r="AE74" s="2381"/>
      <c r="AF74" s="2381"/>
      <c r="AG74" s="2381"/>
      <c r="AH74" s="2381"/>
      <c r="AI74" s="2381"/>
      <c r="AJ74" s="2381"/>
      <c r="AK74" s="2381"/>
    </row>
    <row r="75" spans="1:37" s="2380" customFormat="1" ht="24">
      <c r="A75" s="1495" t="s">
        <v>1785</v>
      </c>
      <c r="B75" s="2596" t="str">
        <f>估价对象房地状况!C22</f>
        <v>估价对象所在区域基础设施水平</v>
      </c>
      <c r="C75" s="1485"/>
      <c r="D75" s="2600">
        <f t="shared" si="20"/>
        <v>0</v>
      </c>
      <c r="E75" s="1514"/>
      <c r="F75" s="1503"/>
      <c r="G75" s="2598"/>
      <c r="H75" s="2616" t="str">
        <f t="shared" si="21"/>
        <v>——</v>
      </c>
      <c r="I75" s="1501">
        <v>0.12</v>
      </c>
      <c r="J75" s="2599">
        <f t="shared" si="22"/>
        <v>0</v>
      </c>
      <c r="K75" s="2599">
        <f t="shared" si="23"/>
        <v>0</v>
      </c>
      <c r="L75" s="2599">
        <v>0</v>
      </c>
      <c r="M75" s="2599">
        <f t="shared" si="24"/>
        <v>0</v>
      </c>
      <c r="N75" s="2599">
        <f t="shared" si="24"/>
        <v>0</v>
      </c>
      <c r="AA75" s="2381"/>
      <c r="AB75" s="2381"/>
      <c r="AC75" s="2381"/>
      <c r="AD75" s="2381"/>
      <c r="AE75" s="2381"/>
      <c r="AF75" s="2381"/>
      <c r="AG75" s="2381"/>
      <c r="AH75" s="2381"/>
      <c r="AI75" s="2381"/>
      <c r="AJ75" s="2381"/>
      <c r="AK75" s="2381"/>
    </row>
    <row r="76" spans="1:37" s="2384" customFormat="1" ht="24">
      <c r="A76" s="1495" t="s">
        <v>1783</v>
      </c>
      <c r="B76" s="3299" t="s">
        <v>3025</v>
      </c>
      <c r="C76" s="1485"/>
      <c r="D76" s="2600">
        <f t="shared" si="20"/>
        <v>0</v>
      </c>
      <c r="E76" s="1514"/>
      <c r="F76" s="1503"/>
      <c r="G76" s="2598"/>
      <c r="H76" s="2616" t="str">
        <f t="shared" si="21"/>
        <v>——</v>
      </c>
      <c r="I76" s="1501">
        <v>0.05</v>
      </c>
      <c r="J76" s="2599">
        <f t="shared" si="22"/>
        <v>0</v>
      </c>
      <c r="K76" s="2599">
        <f t="shared" si="23"/>
        <v>0</v>
      </c>
      <c r="L76" s="2599">
        <v>0</v>
      </c>
      <c r="M76" s="2599">
        <f t="shared" si="24"/>
        <v>0</v>
      </c>
      <c r="N76" s="2599">
        <f t="shared" si="24"/>
        <v>0</v>
      </c>
      <c r="AA76" s="2383"/>
      <c r="AB76" s="2381"/>
      <c r="AC76" s="2381"/>
      <c r="AD76" s="2381"/>
      <c r="AE76" s="2381"/>
      <c r="AF76" s="2381"/>
      <c r="AG76" s="2381"/>
      <c r="AH76" s="2383"/>
      <c r="AI76" s="2383"/>
      <c r="AJ76" s="2383"/>
      <c r="AK76" s="2383"/>
    </row>
    <row r="77" spans="1:37" ht="36">
      <c r="A77" s="1495" t="s">
        <v>1786</v>
      </c>
      <c r="B77" s="1500" t="str">
        <f>估价对象房地状况!C20</f>
        <v>区域自然环境：；人文环境；综合评价环境状况一般</v>
      </c>
      <c r="C77" s="1485"/>
      <c r="D77" s="2600">
        <f t="shared" si="20"/>
        <v>0</v>
      </c>
      <c r="E77" s="1514"/>
      <c r="F77" s="1503"/>
      <c r="G77" s="2598"/>
      <c r="H77" s="2616" t="str">
        <f t="shared" si="21"/>
        <v>——</v>
      </c>
      <c r="I77" s="1501">
        <v>0.15</v>
      </c>
      <c r="J77" s="2599">
        <f t="shared" si="22"/>
        <v>0</v>
      </c>
      <c r="K77" s="2599">
        <f t="shared" si="23"/>
        <v>0</v>
      </c>
      <c r="L77" s="2599">
        <v>0</v>
      </c>
      <c r="M77" s="2599">
        <f t="shared" si="24"/>
        <v>0</v>
      </c>
      <c r="N77" s="2599">
        <f t="shared" si="24"/>
        <v>0</v>
      </c>
      <c r="Z77" s="1625"/>
      <c r="AA77" s="1624"/>
      <c r="AG77" s="1623"/>
      <c r="AK77" s="1624"/>
    </row>
    <row r="78" spans="1:37" ht="24.75" thickBot="1">
      <c r="A78" s="1508" t="s">
        <v>1788</v>
      </c>
      <c r="B78" s="3298"/>
      <c r="C78" s="1485"/>
      <c r="D78" s="2600">
        <f t="shared" si="20"/>
        <v>0</v>
      </c>
      <c r="E78" s="1515"/>
      <c r="F78" s="1503"/>
      <c r="G78" s="2598"/>
      <c r="H78" s="2616" t="str">
        <f t="shared" si="21"/>
        <v>——</v>
      </c>
      <c r="I78" s="1510">
        <v>0.04</v>
      </c>
      <c r="J78" s="2599">
        <f t="shared" si="22"/>
        <v>0</v>
      </c>
      <c r="K78" s="2599">
        <f t="shared" si="23"/>
        <v>0</v>
      </c>
      <c r="L78" s="2599">
        <v>0</v>
      </c>
      <c r="M78" s="2599">
        <f t="shared" si="24"/>
        <v>0</v>
      </c>
      <c r="N78" s="2599">
        <f t="shared" si="24"/>
        <v>0</v>
      </c>
      <c r="Z78" s="1625"/>
      <c r="AA78" s="1624"/>
      <c r="AG78" s="1623"/>
      <c r="AK78" s="1624"/>
    </row>
    <row r="79" spans="1:37" ht="15">
      <c r="A79" s="1489" t="s">
        <v>1102</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1777</v>
      </c>
      <c r="B80" s="1496"/>
      <c r="C80" s="1497" t="s">
        <v>1779</v>
      </c>
      <c r="D80" s="1498" t="s">
        <v>1850</v>
      </c>
      <c r="E80" s="1499" t="s">
        <v>1852</v>
      </c>
      <c r="F80" s="2601" t="s">
        <v>2291</v>
      </c>
      <c r="G80" s="1498" t="s">
        <v>1848</v>
      </c>
      <c r="H80" s="2602" t="s">
        <v>2495</v>
      </c>
      <c r="I80" s="1498" t="s">
        <v>1851</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0">
        <f t="shared" ref="D81:D88" si="25">SUMIF($J$80:$N$80,C81,J81:N81)</f>
        <v>0</v>
      </c>
      <c r="E81" s="1502">
        <f>ROUND(SUM(D81:D88),4)</f>
        <v>0</v>
      </c>
      <c r="F81" s="1503" t="str">
        <f>IF(E2="工业",SUMIF(L1:L12,G2,N1:N12),"——")</f>
        <v>——</v>
      </c>
      <c r="G81" s="2598"/>
      <c r="H81" s="2616" t="str">
        <f t="shared" ref="H81:H88" si="26">IFERROR(ROUNDDOWN($F$81*I81/2,4),"——")</f>
        <v>——</v>
      </c>
      <c r="I81" s="1501">
        <v>0.26</v>
      </c>
      <c r="J81" s="2599">
        <f t="shared" ref="J81:J88" si="27">K81+$G81</f>
        <v>0</v>
      </c>
      <c r="K81" s="2599">
        <f t="shared" ref="K81:K88" si="28">$L81+$G81</f>
        <v>0</v>
      </c>
      <c r="L81" s="2599">
        <v>0</v>
      </c>
      <c r="M81" s="2599">
        <f t="shared" ref="M81:N88" si="29">L81-$G81</f>
        <v>0</v>
      </c>
      <c r="N81" s="2599">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0">
        <f t="shared" si="25"/>
        <v>0</v>
      </c>
      <c r="E82" s="1514"/>
      <c r="F82" s="1503"/>
      <c r="G82" s="2598"/>
      <c r="H82" s="2616" t="str">
        <f t="shared" si="26"/>
        <v>——</v>
      </c>
      <c r="I82" s="1501">
        <v>0.33</v>
      </c>
      <c r="J82" s="2599">
        <f t="shared" si="27"/>
        <v>0</v>
      </c>
      <c r="K82" s="2599">
        <f t="shared" si="28"/>
        <v>0</v>
      </c>
      <c r="L82" s="2599">
        <v>0</v>
      </c>
      <c r="M82" s="2599">
        <f t="shared" si="29"/>
        <v>0</v>
      </c>
      <c r="N82" s="2599">
        <f t="shared" si="29"/>
        <v>0</v>
      </c>
      <c r="Z82" s="1625"/>
      <c r="AA82" s="1624"/>
      <c r="AG82" s="1623"/>
      <c r="AK82" s="1624"/>
    </row>
    <row r="83" spans="1:37" ht="24">
      <c r="A83" s="1495" t="s">
        <v>109</v>
      </c>
      <c r="B83" s="1504">
        <f>估价对象房地状况!G17</f>
        <v>0</v>
      </c>
      <c r="C83" s="1485"/>
      <c r="D83" s="2600">
        <f t="shared" si="25"/>
        <v>0</v>
      </c>
      <c r="E83" s="1514"/>
      <c r="F83" s="1503"/>
      <c r="G83" s="2598"/>
      <c r="H83" s="2616" t="str">
        <f t="shared" si="26"/>
        <v>——</v>
      </c>
      <c r="I83" s="1501">
        <v>0.05</v>
      </c>
      <c r="J83" s="2599">
        <f t="shared" si="27"/>
        <v>0</v>
      </c>
      <c r="K83" s="2599">
        <f t="shared" si="28"/>
        <v>0</v>
      </c>
      <c r="L83" s="2599">
        <v>0</v>
      </c>
      <c r="M83" s="2599">
        <f t="shared" si="29"/>
        <v>0</v>
      </c>
      <c r="N83" s="2599">
        <f t="shared" si="29"/>
        <v>0</v>
      </c>
      <c r="Z83" s="1625"/>
      <c r="AA83" s="1624"/>
      <c r="AG83" s="1623"/>
      <c r="AK83" s="1624"/>
    </row>
    <row r="84" spans="1:37" ht="14.25">
      <c r="A84" s="1495" t="s">
        <v>1787</v>
      </c>
      <c r="B84" s="1504">
        <f>估价对象房地状况!G22</f>
        <v>0</v>
      </c>
      <c r="C84" s="1485"/>
      <c r="D84" s="2600">
        <f t="shared" si="25"/>
        <v>0</v>
      </c>
      <c r="E84" s="1514"/>
      <c r="F84" s="1503"/>
      <c r="G84" s="2598"/>
      <c r="H84" s="2616" t="str">
        <f t="shared" si="26"/>
        <v>——</v>
      </c>
      <c r="I84" s="1501">
        <v>0.04</v>
      </c>
      <c r="J84" s="2599">
        <f t="shared" si="27"/>
        <v>0</v>
      </c>
      <c r="K84" s="2599">
        <f t="shared" si="28"/>
        <v>0</v>
      </c>
      <c r="L84" s="2599">
        <v>0</v>
      </c>
      <c r="M84" s="2599">
        <f t="shared" si="29"/>
        <v>0</v>
      </c>
      <c r="N84" s="2599">
        <f t="shared" si="29"/>
        <v>0</v>
      </c>
      <c r="Z84" s="1625"/>
      <c r="AA84" s="1624"/>
      <c r="AG84" s="1623"/>
      <c r="AK84" s="1624"/>
    </row>
    <row r="85" spans="1:37" ht="24">
      <c r="A85" s="1495" t="s">
        <v>1784</v>
      </c>
      <c r="B85" s="2596" t="str">
        <f>估价对象房地状况!G19</f>
        <v>估价对象所在区域公共配套设施齐备情况</v>
      </c>
      <c r="C85" s="1485"/>
      <c r="D85" s="2600">
        <f t="shared" si="25"/>
        <v>0</v>
      </c>
      <c r="E85" s="1514"/>
      <c r="F85" s="1503"/>
      <c r="G85" s="2598"/>
      <c r="H85" s="2616" t="str">
        <f t="shared" si="26"/>
        <v>——</v>
      </c>
      <c r="I85" s="1501">
        <v>0.06</v>
      </c>
      <c r="J85" s="2599">
        <f t="shared" si="27"/>
        <v>0</v>
      </c>
      <c r="K85" s="2599">
        <f t="shared" si="28"/>
        <v>0</v>
      </c>
      <c r="L85" s="2599">
        <v>0</v>
      </c>
      <c r="M85" s="2599">
        <f t="shared" si="29"/>
        <v>0</v>
      </c>
      <c r="N85" s="2599">
        <f t="shared" si="29"/>
        <v>0</v>
      </c>
      <c r="Z85" s="1625"/>
      <c r="AA85" s="1624"/>
      <c r="AG85" s="1623"/>
      <c r="AK85" s="1624"/>
    </row>
    <row r="86" spans="1:37" ht="24">
      <c r="A86" s="1495" t="s">
        <v>1785</v>
      </c>
      <c r="B86" s="2596" t="str">
        <f>估价对象房地状况!G20</f>
        <v>估价对象所在区域基础设施水平</v>
      </c>
      <c r="C86" s="1485"/>
      <c r="D86" s="2600">
        <f t="shared" si="25"/>
        <v>0</v>
      </c>
      <c r="E86" s="1514"/>
      <c r="F86" s="1503"/>
      <c r="G86" s="2598"/>
      <c r="H86" s="2616" t="str">
        <f t="shared" si="26"/>
        <v>——</v>
      </c>
      <c r="I86" s="1501">
        <v>0.15</v>
      </c>
      <c r="J86" s="2599">
        <f t="shared" si="27"/>
        <v>0</v>
      </c>
      <c r="K86" s="2599">
        <f t="shared" si="28"/>
        <v>0</v>
      </c>
      <c r="L86" s="2599">
        <v>0</v>
      </c>
      <c r="M86" s="2599">
        <f t="shared" si="29"/>
        <v>0</v>
      </c>
      <c r="N86" s="2599">
        <f t="shared" si="29"/>
        <v>0</v>
      </c>
      <c r="Z86" s="1625"/>
      <c r="AA86" s="1624"/>
      <c r="AG86" s="1623"/>
      <c r="AK86" s="1624"/>
    </row>
    <row r="87" spans="1:37" ht="24">
      <c r="A87" s="1495" t="s">
        <v>1783</v>
      </c>
      <c r="B87" s="3299" t="s">
        <v>2493</v>
      </c>
      <c r="C87" s="1485"/>
      <c r="D87" s="2600">
        <f t="shared" si="25"/>
        <v>0</v>
      </c>
      <c r="E87" s="1514"/>
      <c r="F87" s="1503"/>
      <c r="G87" s="2598"/>
      <c r="H87" s="2616" t="str">
        <f t="shared" si="26"/>
        <v>——</v>
      </c>
      <c r="I87" s="1501">
        <v>0.05</v>
      </c>
      <c r="J87" s="2599">
        <f t="shared" si="27"/>
        <v>0</v>
      </c>
      <c r="K87" s="2599">
        <f t="shared" si="28"/>
        <v>0</v>
      </c>
      <c r="L87" s="2599">
        <v>0</v>
      </c>
      <c r="M87" s="2599">
        <f t="shared" si="29"/>
        <v>0</v>
      </c>
      <c r="N87" s="2599">
        <f t="shared" si="29"/>
        <v>0</v>
      </c>
      <c r="Z87" s="1625"/>
      <c r="AA87" s="1624"/>
      <c r="AG87" s="1623"/>
      <c r="AK87" s="1624"/>
    </row>
    <row r="88" spans="1:37" ht="36.75" thickBot="1">
      <c r="A88" s="1508" t="s">
        <v>1789</v>
      </c>
      <c r="B88" s="2597" t="str">
        <f>估价对象房地状况!G18</f>
        <v>该园区内是否有污染型企业，绿化情况，卫生条件，整体环境状况判断</v>
      </c>
      <c r="C88" s="1485"/>
      <c r="D88" s="2600">
        <f t="shared" si="25"/>
        <v>0</v>
      </c>
      <c r="E88" s="1515"/>
      <c r="F88" s="1503"/>
      <c r="G88" s="2598"/>
      <c r="H88" s="2616" t="str">
        <f t="shared" si="26"/>
        <v>——</v>
      </c>
      <c r="I88" s="1510">
        <v>0.06</v>
      </c>
      <c r="J88" s="2599">
        <f t="shared" si="27"/>
        <v>0</v>
      </c>
      <c r="K88" s="2599">
        <f t="shared" si="28"/>
        <v>0</v>
      </c>
      <c r="L88" s="2599">
        <v>0</v>
      </c>
      <c r="M88" s="2599">
        <f t="shared" si="29"/>
        <v>0</v>
      </c>
      <c r="N88" s="2599">
        <f t="shared" si="29"/>
        <v>0</v>
      </c>
      <c r="Z88" s="1625"/>
      <c r="AA88" s="1624"/>
      <c r="AG88" s="1623"/>
      <c r="AK88" s="1624"/>
    </row>
    <row r="90" spans="1:37">
      <c r="A90" s="3740" t="s">
        <v>1758</v>
      </c>
      <c r="B90" s="3740"/>
      <c r="C90" s="3740"/>
      <c r="D90" s="3740"/>
      <c r="E90" s="3740"/>
      <c r="F90" s="3740"/>
      <c r="G90" s="3740"/>
      <c r="H90" s="3740"/>
      <c r="I90" s="3740"/>
      <c r="J90" s="3740"/>
      <c r="K90" s="2605"/>
      <c r="L90" s="2605"/>
      <c r="M90" s="2605"/>
      <c r="N90" s="2605"/>
    </row>
    <row r="91" spans="1:37">
      <c r="A91" s="3741" t="s">
        <v>68</v>
      </c>
      <c r="B91" s="3741" t="s">
        <v>1759</v>
      </c>
      <c r="C91" s="1584" t="s">
        <v>1760</v>
      </c>
      <c r="D91" s="1585"/>
      <c r="E91" s="1585"/>
      <c r="F91" s="1585"/>
      <c r="G91" s="1585"/>
      <c r="H91" s="1585"/>
      <c r="I91" s="1585"/>
      <c r="J91" s="1586"/>
      <c r="K91" s="1574"/>
      <c r="L91" s="1574"/>
      <c r="M91" s="1574"/>
      <c r="N91" s="1574"/>
    </row>
    <row r="92" spans="1:37">
      <c r="A92" s="3741"/>
      <c r="B92" s="3741"/>
      <c r="C92" s="2604" t="s">
        <v>165</v>
      </c>
      <c r="D92" s="2604" t="s">
        <v>166</v>
      </c>
      <c r="E92" s="2604" t="s">
        <v>161</v>
      </c>
      <c r="F92" s="2604" t="s">
        <v>162</v>
      </c>
      <c r="G92" s="2604" t="s">
        <v>163</v>
      </c>
      <c r="H92" s="2604" t="s">
        <v>164</v>
      </c>
      <c r="I92" s="2604" t="s">
        <v>1175</v>
      </c>
      <c r="J92" s="2604" t="s">
        <v>1176</v>
      </c>
      <c r="K92" s="2604" t="s">
        <v>1177</v>
      </c>
      <c r="L92" s="2604" t="s">
        <v>1178</v>
      </c>
      <c r="M92" s="2604" t="s">
        <v>1179</v>
      </c>
      <c r="N92" s="2604" t="s">
        <v>1180</v>
      </c>
    </row>
    <row r="93" spans="1:37">
      <c r="A93" s="3729" t="s">
        <v>1761</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30"/>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30"/>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30"/>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30"/>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30"/>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30"/>
      <c r="B99" s="1587" t="s">
        <v>1762</v>
      </c>
      <c r="C99" s="1589">
        <f>$I$3</f>
        <v>2</v>
      </c>
      <c r="D99" s="1589">
        <f t="shared" ref="D99:M99" si="30">$I$3</f>
        <v>2</v>
      </c>
      <c r="E99" s="1589">
        <f t="shared" si="30"/>
        <v>2</v>
      </c>
      <c r="F99" s="1589">
        <f t="shared" si="30"/>
        <v>2</v>
      </c>
      <c r="G99" s="1589">
        <f t="shared" si="30"/>
        <v>2</v>
      </c>
      <c r="H99" s="1589">
        <f t="shared" si="30"/>
        <v>2</v>
      </c>
      <c r="I99" s="1589">
        <f t="shared" si="30"/>
        <v>2</v>
      </c>
      <c r="J99" s="1589">
        <f t="shared" si="30"/>
        <v>2</v>
      </c>
      <c r="K99" s="1589">
        <f t="shared" si="30"/>
        <v>2</v>
      </c>
      <c r="L99" s="1589">
        <f t="shared" si="30"/>
        <v>2</v>
      </c>
      <c r="M99" s="1589">
        <f t="shared" si="30"/>
        <v>2</v>
      </c>
      <c r="N99" s="1589">
        <f>$I$3</f>
        <v>2</v>
      </c>
    </row>
    <row r="100" spans="1:14">
      <c r="A100" s="3731"/>
      <c r="B100" s="1587">
        <v>7</v>
      </c>
      <c r="C100" s="1590">
        <f>(-0.163*(C99^2)-0.59*C99+7617)*(10^(-4))</f>
        <v>0.76151679999999999</v>
      </c>
      <c r="D100" s="1590">
        <f>(-0.163*(D99^2)-0.59*D99+7617)*(10^(-4))</f>
        <v>0.76151679999999999</v>
      </c>
      <c r="E100" s="1590">
        <f>(-0.161*(E99^2)-7.509*E99+6533)*(10^(-4))</f>
        <v>0.65173380000000003</v>
      </c>
      <c r="F100" s="1590">
        <f>(-0.161*(F99^2)-7.509*F99+6533)*(10^(-4))</f>
        <v>0.65173380000000003</v>
      </c>
      <c r="G100" s="1590">
        <f>(-0.161*(G99^2)-7.509*G99+6533)*(10^(-4))</f>
        <v>0.65173380000000003</v>
      </c>
      <c r="H100" s="1590">
        <f>(-0.161*(H99^2)-7.509*H99+6533)*(10^(-4))</f>
        <v>0.65173380000000003</v>
      </c>
      <c r="I100" s="1590">
        <f>(-0.161*(I99^2)-7.509*I99+6533)*(10^(-4))</f>
        <v>0.65173380000000003</v>
      </c>
      <c r="J100" s="1590">
        <f>(-0.214*(J99^2)-21.991*J99+4665)*(10^(-4))</f>
        <v>0.46201620000000004</v>
      </c>
      <c r="K100" s="1590">
        <f>(-0.214*(K99^2)-21.991*K99+4665)*(10^(-4))</f>
        <v>0.46201620000000004</v>
      </c>
      <c r="L100" s="1590">
        <f>(-0.214*(L99^2)-21.991*L99+4665)*(10^(-4))</f>
        <v>0.46201620000000004</v>
      </c>
      <c r="M100" s="1590">
        <f>(-0.214*(M99^2)-21.991*M99+4665)*(10^(-4))</f>
        <v>0.46201620000000004</v>
      </c>
      <c r="N100" s="1590">
        <f>(-0.214*(N99^2)-21.991*N99+4665)*(10^(-4))</f>
        <v>0.46201620000000004</v>
      </c>
    </row>
    <row r="101" spans="1:14">
      <c r="A101" s="3729" t="s">
        <v>1763</v>
      </c>
      <c r="B101" s="1591" t="s">
        <v>93</v>
      </c>
      <c r="C101" s="1592">
        <f>$G$3</f>
        <v>9.75</v>
      </c>
      <c r="D101" s="1592">
        <f t="shared" ref="D101:N101" si="31">$G$3</f>
        <v>9.75</v>
      </c>
      <c r="E101" s="1592">
        <f t="shared" si="31"/>
        <v>9.75</v>
      </c>
      <c r="F101" s="1592">
        <f t="shared" si="31"/>
        <v>9.75</v>
      </c>
      <c r="G101" s="1592">
        <f t="shared" si="31"/>
        <v>9.75</v>
      </c>
      <c r="H101" s="1592">
        <f t="shared" si="31"/>
        <v>9.75</v>
      </c>
      <c r="I101" s="1592">
        <f t="shared" si="31"/>
        <v>9.75</v>
      </c>
      <c r="J101" s="1592">
        <f t="shared" si="31"/>
        <v>9.75</v>
      </c>
      <c r="K101" s="1592">
        <f t="shared" si="31"/>
        <v>9.75</v>
      </c>
      <c r="L101" s="1592">
        <f t="shared" si="31"/>
        <v>9.75</v>
      </c>
      <c r="M101" s="1592">
        <f t="shared" si="31"/>
        <v>9.75</v>
      </c>
      <c r="N101" s="1592">
        <f t="shared" si="31"/>
        <v>9.75</v>
      </c>
    </row>
    <row r="102" spans="1:14">
      <c r="A102" s="3730"/>
      <c r="B102" s="1587">
        <v>1</v>
      </c>
      <c r="C102" s="1588">
        <f>1.9362/C101</f>
        <v>0.19858461538461539</v>
      </c>
      <c r="D102" s="1588">
        <f>1.9362/D101</f>
        <v>0.19858461538461539</v>
      </c>
      <c r="E102" s="1588">
        <f>1.8629/E101</f>
        <v>0.19106666666666666</v>
      </c>
      <c r="F102" s="1588">
        <f>1.8629/F101</f>
        <v>0.19106666666666666</v>
      </c>
      <c r="G102" s="1588">
        <f>1.8629/G101</f>
        <v>0.19106666666666666</v>
      </c>
      <c r="H102" s="1588">
        <f>1.8629/H101</f>
        <v>0.19106666666666666</v>
      </c>
      <c r="I102" s="1588">
        <f>1.8629/I101</f>
        <v>0.19106666666666666</v>
      </c>
      <c r="J102" s="1588">
        <f>1.942/J101</f>
        <v>0.19917948717948716</v>
      </c>
      <c r="K102" s="1588">
        <f>1.942/K101</f>
        <v>0.19917948717948716</v>
      </c>
      <c r="L102" s="1588">
        <f>1.942/L101</f>
        <v>0.19917948717948716</v>
      </c>
      <c r="M102" s="1588">
        <f>1.942/M101</f>
        <v>0.19917948717948716</v>
      </c>
      <c r="N102" s="1588">
        <f>1.942/N101</f>
        <v>0.19917948717948716</v>
      </c>
    </row>
    <row r="103" spans="1:14">
      <c r="A103" s="3730"/>
      <c r="B103" s="1587">
        <v>2</v>
      </c>
      <c r="C103" s="1588">
        <f>1.4198/C101</f>
        <v>0.1456205128205128</v>
      </c>
      <c r="D103" s="1588">
        <f>1.4198/D101</f>
        <v>0.1456205128205128</v>
      </c>
      <c r="E103" s="1588">
        <f>1.3372/E101</f>
        <v>0.13714871794871794</v>
      </c>
      <c r="F103" s="1588">
        <f>1.3372/F101</f>
        <v>0.13714871794871794</v>
      </c>
      <c r="G103" s="1588">
        <f>1.3372/G101</f>
        <v>0.13714871794871794</v>
      </c>
      <c r="H103" s="1588">
        <f>1.3372/H101</f>
        <v>0.13714871794871794</v>
      </c>
      <c r="I103" s="1588">
        <f>1.3372/I101</f>
        <v>0.13714871794871794</v>
      </c>
      <c r="J103" s="1588">
        <f>1.2799/J101</f>
        <v>0.13127179487179488</v>
      </c>
      <c r="K103" s="1588">
        <f>1.2799/K101</f>
        <v>0.13127179487179488</v>
      </c>
      <c r="L103" s="1588">
        <f>1.2799/L101</f>
        <v>0.13127179487179488</v>
      </c>
      <c r="M103" s="1588">
        <f>1.2799/M101</f>
        <v>0.13127179487179488</v>
      </c>
      <c r="N103" s="1588">
        <f>1.2799/N101</f>
        <v>0.13127179487179488</v>
      </c>
    </row>
    <row r="104" spans="1:14">
      <c r="A104" s="3730"/>
      <c r="B104" s="1587">
        <v>3</v>
      </c>
      <c r="C104" s="1588">
        <f>1.1594/C101</f>
        <v>0.11891282051282051</v>
      </c>
      <c r="D104" s="1588">
        <f>1.1594/D101</f>
        <v>0.11891282051282051</v>
      </c>
      <c r="E104" s="1588">
        <f>1.0788/E101</f>
        <v>0.11064615384615384</v>
      </c>
      <c r="F104" s="1588">
        <f>1.0788/F101</f>
        <v>0.11064615384615384</v>
      </c>
      <c r="G104" s="1588">
        <f>1.0788/G101</f>
        <v>0.11064615384615384</v>
      </c>
      <c r="H104" s="1588">
        <f>1.0788/H101</f>
        <v>0.11064615384615384</v>
      </c>
      <c r="I104" s="1588">
        <f>1.0788/I101</f>
        <v>0.11064615384615384</v>
      </c>
      <c r="J104" s="1588">
        <f>1.0072/J101</f>
        <v>0.10330256410256411</v>
      </c>
      <c r="K104" s="1588">
        <f>1.0072/K101</f>
        <v>0.10330256410256411</v>
      </c>
      <c r="L104" s="1588">
        <f>1.0072/L101</f>
        <v>0.10330256410256411</v>
      </c>
      <c r="M104" s="1588">
        <f>1.0072/M101</f>
        <v>0.10330256410256411</v>
      </c>
      <c r="N104" s="1588">
        <f>1.0072/N101</f>
        <v>0.10330256410256411</v>
      </c>
    </row>
    <row r="105" spans="1:14">
      <c r="A105" s="3730"/>
      <c r="B105" s="1587">
        <v>4</v>
      </c>
      <c r="C105" s="1588">
        <f>0.9622/C101</f>
        <v>9.8687179487179491E-2</v>
      </c>
      <c r="D105" s="1588">
        <f>0.9622/D101</f>
        <v>9.8687179487179491E-2</v>
      </c>
      <c r="E105" s="1588">
        <f>0.8656/E101</f>
        <v>8.8779487179487179E-2</v>
      </c>
      <c r="F105" s="1588">
        <f>0.8656/F101</f>
        <v>8.8779487179487179E-2</v>
      </c>
      <c r="G105" s="1588">
        <f>0.8656/G101</f>
        <v>8.8779487179487179E-2</v>
      </c>
      <c r="H105" s="1588">
        <f>0.8656/H101</f>
        <v>8.8779487179487179E-2</v>
      </c>
      <c r="I105" s="1588">
        <f>0.8656/I101</f>
        <v>8.8779487179487179E-2</v>
      </c>
      <c r="J105" s="1588">
        <f>0.7525/J101</f>
        <v>7.717948717948718E-2</v>
      </c>
      <c r="K105" s="1588">
        <f>0.7525/K101</f>
        <v>7.717948717948718E-2</v>
      </c>
      <c r="L105" s="1588">
        <f>0.7525/L101</f>
        <v>7.717948717948718E-2</v>
      </c>
      <c r="M105" s="1588">
        <f>0.7525/M101</f>
        <v>7.717948717948718E-2</v>
      </c>
      <c r="N105" s="1588">
        <f>0.7525/N101</f>
        <v>7.717948717948718E-2</v>
      </c>
    </row>
    <row r="106" spans="1:14">
      <c r="A106" s="3730"/>
      <c r="B106" s="1587">
        <v>5</v>
      </c>
      <c r="C106" s="1588">
        <f>0.8417/C101</f>
        <v>8.6328205128205132E-2</v>
      </c>
      <c r="D106" s="1588">
        <f>0.8417/D101</f>
        <v>8.6328205128205132E-2</v>
      </c>
      <c r="E106" s="1588">
        <f>0.7371/E101</f>
        <v>7.5600000000000001E-2</v>
      </c>
      <c r="F106" s="1588">
        <f>0.7371/F101</f>
        <v>7.5600000000000001E-2</v>
      </c>
      <c r="G106" s="1588">
        <f>0.7371/G101</f>
        <v>7.5600000000000001E-2</v>
      </c>
      <c r="H106" s="1588">
        <f>0.7371/H101</f>
        <v>7.5600000000000001E-2</v>
      </c>
      <c r="I106" s="1588">
        <f>0.7371/I101</f>
        <v>7.5600000000000001E-2</v>
      </c>
      <c r="J106" s="1588">
        <f>0.5659/J101</f>
        <v>5.8041025641025638E-2</v>
      </c>
      <c r="K106" s="1588">
        <f>0.5659/K101</f>
        <v>5.8041025641025638E-2</v>
      </c>
      <c r="L106" s="1588">
        <f>0.5659/L101</f>
        <v>5.8041025641025638E-2</v>
      </c>
      <c r="M106" s="1588">
        <f>0.5659/M101</f>
        <v>5.8041025641025638E-2</v>
      </c>
      <c r="N106" s="1588">
        <f>0.5659/N101</f>
        <v>5.8041025641025638E-2</v>
      </c>
    </row>
    <row r="107" spans="1:14">
      <c r="A107" s="3730"/>
      <c r="B107" s="1587">
        <v>6</v>
      </c>
      <c r="C107" s="1588">
        <f>0.7608/C101</f>
        <v>7.8030769230769237E-2</v>
      </c>
      <c r="D107" s="1588">
        <f>0.7608/D101</f>
        <v>7.8030769230769237E-2</v>
      </c>
      <c r="E107" s="1588">
        <f>0.6482/E101</f>
        <v>6.6482051282051285E-2</v>
      </c>
      <c r="F107" s="1588">
        <f>0.6482/F101</f>
        <v>6.6482051282051285E-2</v>
      </c>
      <c r="G107" s="1588">
        <f>0.6482/G101</f>
        <v>6.6482051282051285E-2</v>
      </c>
      <c r="H107" s="1588">
        <f>0.6482/H101</f>
        <v>6.6482051282051285E-2</v>
      </c>
      <c r="I107" s="1588">
        <f>0.6482/I101</f>
        <v>6.6482051282051285E-2</v>
      </c>
      <c r="J107" s="1588">
        <f>0.4525/J101</f>
        <v>4.6410256410256409E-2</v>
      </c>
      <c r="K107" s="1588">
        <f>0.4525/K101</f>
        <v>4.6410256410256409E-2</v>
      </c>
      <c r="L107" s="1588">
        <f>0.4525/L101</f>
        <v>4.6410256410256409E-2</v>
      </c>
      <c r="M107" s="1588">
        <f>0.4525/M101</f>
        <v>4.6410256410256409E-2</v>
      </c>
      <c r="N107" s="1588">
        <f>0.4525/N101</f>
        <v>4.6410256410256409E-2</v>
      </c>
    </row>
    <row r="108" spans="1:14">
      <c r="A108" s="3730"/>
      <c r="B108" s="3732" t="s">
        <v>1765</v>
      </c>
      <c r="C108" s="1589">
        <f>C99</f>
        <v>2</v>
      </c>
      <c r="D108" s="1589">
        <f t="shared" ref="D108:N108" si="32">D99</f>
        <v>2</v>
      </c>
      <c r="E108" s="1589">
        <f t="shared" si="32"/>
        <v>2</v>
      </c>
      <c r="F108" s="1589">
        <f t="shared" si="32"/>
        <v>2</v>
      </c>
      <c r="G108" s="1589">
        <f t="shared" si="32"/>
        <v>2</v>
      </c>
      <c r="H108" s="1589">
        <f t="shared" si="32"/>
        <v>2</v>
      </c>
      <c r="I108" s="1589">
        <f t="shared" si="32"/>
        <v>2</v>
      </c>
      <c r="J108" s="1589">
        <f t="shared" si="32"/>
        <v>2</v>
      </c>
      <c r="K108" s="1589">
        <f t="shared" si="32"/>
        <v>2</v>
      </c>
      <c r="L108" s="1589">
        <f t="shared" si="32"/>
        <v>2</v>
      </c>
      <c r="M108" s="1589">
        <f t="shared" si="32"/>
        <v>2</v>
      </c>
      <c r="N108" s="1589">
        <f t="shared" si="32"/>
        <v>2</v>
      </c>
    </row>
    <row r="109" spans="1:14">
      <c r="A109" s="3731"/>
      <c r="B109" s="3733"/>
      <c r="C109" s="1590">
        <f>(-0.163*(C108^2)-0.59*C108+7617)*(10^(-4))/C101</f>
        <v>7.8104287179487183E-2</v>
      </c>
      <c r="D109" s="1590">
        <f>(-0.163*(D108^2)-0.59*D108+7617)*(10^(-4))/D101</f>
        <v>7.8104287179487183E-2</v>
      </c>
      <c r="E109" s="1590">
        <f>(-0.161*(E108^2)-7.509*E108+6533)*(10^(-4))/E101</f>
        <v>6.6844492307692308E-2</v>
      </c>
      <c r="F109" s="1590">
        <f>(-0.161*(F108^2)-7.509*F108+6533)*(10^(-4))/F101</f>
        <v>6.6844492307692308E-2</v>
      </c>
      <c r="G109" s="1590">
        <f>(-0.161*(G108^2)-7.509*G108+6533)*(10^(-4))/G101</f>
        <v>6.6844492307692308E-2</v>
      </c>
      <c r="H109" s="1590">
        <f>(-0.161*(H108^2)-7.509*H108+6533)*(10^(-4))/H101</f>
        <v>6.6844492307692308E-2</v>
      </c>
      <c r="I109" s="1590">
        <f>(-0.161*(I108^2)-7.509*I108+6533)*(10^(-4))/I101</f>
        <v>6.6844492307692308E-2</v>
      </c>
      <c r="J109" s="1590">
        <f>(-0.214*(J108^2)-21.991*J108+4665)*(10^(-4))/J101</f>
        <v>4.7386276923076925E-2</v>
      </c>
      <c r="K109" s="1590">
        <f>(-0.214*(K108^2)-21.991*K108+4665)*(10^(-4))/K101</f>
        <v>4.7386276923076925E-2</v>
      </c>
      <c r="L109" s="1590">
        <f>(-0.214*(L108^2)-21.991*L108+4665)*(10^(-4))/L101</f>
        <v>4.7386276923076925E-2</v>
      </c>
      <c r="M109" s="1590">
        <f>(-0.214*(M108^2)-21.991*M108+4665)*(10^(-4))/M101</f>
        <v>4.7386276923076925E-2</v>
      </c>
      <c r="N109" s="1590">
        <f>(-0.214*(N108^2)-21.991*N108+4665)*(10^(-4))/N101</f>
        <v>4.7386276923076925E-2</v>
      </c>
    </row>
    <row r="110" spans="1:14">
      <c r="A110" s="3734" t="s">
        <v>1766</v>
      </c>
      <c r="B110" s="3734"/>
      <c r="C110" s="3734"/>
      <c r="D110" s="3734"/>
      <c r="E110" s="3734"/>
      <c r="F110" s="3734"/>
      <c r="G110" s="3734"/>
      <c r="H110" s="3734"/>
      <c r="I110" s="3734"/>
      <c r="J110" s="3734"/>
      <c r="K110" s="2603"/>
      <c r="L110" s="2603"/>
      <c r="M110" s="2603"/>
      <c r="N110" s="2603"/>
    </row>
    <row r="112" spans="1:14" ht="12.75" thickBot="1"/>
    <row r="113" spans="1:13" ht="25.5" thickBot="1">
      <c r="A113" s="1600" t="s">
        <v>1768</v>
      </c>
      <c r="B113" s="2606">
        <f>G3</f>
        <v>9.75</v>
      </c>
      <c r="C113" s="1601" t="s">
        <v>1769</v>
      </c>
      <c r="D113" s="1602">
        <f>SUMPRODUCT((A115:A118=F113)*(B114:M114=H113)*B115:M118)</f>
        <v>0.7268</v>
      </c>
      <c r="E113" s="1603" t="s">
        <v>68</v>
      </c>
      <c r="F113" s="1604" t="str">
        <f>E2</f>
        <v>商业</v>
      </c>
      <c r="G113" s="1603" t="s">
        <v>1558</v>
      </c>
      <c r="H113" s="1604" t="str">
        <f>G2</f>
        <v>三级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1175</v>
      </c>
      <c r="I114" s="1610" t="s">
        <v>1176</v>
      </c>
      <c r="J114" s="1611" t="s">
        <v>1177</v>
      </c>
      <c r="K114" s="1611" t="s">
        <v>1178</v>
      </c>
      <c r="L114" s="1611" t="s">
        <v>1179</v>
      </c>
      <c r="M114" s="1612" t="s">
        <v>1180</v>
      </c>
    </row>
    <row r="115" spans="1:13" ht="12.75">
      <c r="A115" s="1613" t="s">
        <v>1770</v>
      </c>
      <c r="B115" s="1614">
        <f>ROUND(0.9335-0.0094*B113,4)</f>
        <v>0.84189999999999998</v>
      </c>
      <c r="C115" s="1614">
        <f>B115</f>
        <v>0.84189999999999998</v>
      </c>
      <c r="D115" s="1614">
        <f>ROUND(0.8331-0.0109*B113,4)</f>
        <v>0.7268</v>
      </c>
      <c r="E115" s="1614">
        <f>D115</f>
        <v>0.7268</v>
      </c>
      <c r="F115" s="1614">
        <f>E115</f>
        <v>0.7268</v>
      </c>
      <c r="G115" s="1614">
        <f>F115</f>
        <v>0.7268</v>
      </c>
      <c r="H115" s="1614">
        <f>G115</f>
        <v>0.7268</v>
      </c>
      <c r="I115" s="1614">
        <f>ROUND(0.689-0.0155*B113,4)</f>
        <v>0.53790000000000004</v>
      </c>
      <c r="J115" s="1614">
        <f t="shared" ref="J115:M118" si="33">I115</f>
        <v>0.53790000000000004</v>
      </c>
      <c r="K115" s="1614">
        <f t="shared" si="33"/>
        <v>0.53790000000000004</v>
      </c>
      <c r="L115" s="1614">
        <f t="shared" si="33"/>
        <v>0.53790000000000004</v>
      </c>
      <c r="M115" s="1615">
        <f t="shared" si="33"/>
        <v>0.53790000000000004</v>
      </c>
    </row>
    <row r="116" spans="1:13" ht="12.75">
      <c r="A116" s="1613" t="s">
        <v>1771</v>
      </c>
      <c r="B116" s="1614">
        <f>ROUND(0.949-0.012*B113,4)</f>
        <v>0.83199999999999996</v>
      </c>
      <c r="C116" s="1614">
        <f>B116</f>
        <v>0.83199999999999996</v>
      </c>
      <c r="D116" s="1614">
        <f>ROUND(0.8567-0.013*B113,4)</f>
        <v>0.73</v>
      </c>
      <c r="E116" s="1614">
        <f t="shared" ref="E116:H117" si="34">D116</f>
        <v>0.73</v>
      </c>
      <c r="F116" s="1614">
        <f t="shared" si="34"/>
        <v>0.73</v>
      </c>
      <c r="G116" s="1614">
        <f t="shared" si="34"/>
        <v>0.73</v>
      </c>
      <c r="H116" s="1614">
        <f t="shared" si="34"/>
        <v>0.73</v>
      </c>
      <c r="I116" s="1614">
        <f>ROUND(0.7694-0.014*B113,4)</f>
        <v>0.63290000000000002</v>
      </c>
      <c r="J116" s="1614">
        <f t="shared" si="33"/>
        <v>0.63290000000000002</v>
      </c>
      <c r="K116" s="1614">
        <f t="shared" si="33"/>
        <v>0.63290000000000002</v>
      </c>
      <c r="L116" s="1614">
        <f t="shared" si="33"/>
        <v>0.63290000000000002</v>
      </c>
      <c r="M116" s="1615">
        <f t="shared" si="33"/>
        <v>0.63290000000000002</v>
      </c>
    </row>
    <row r="117" spans="1:13" ht="12.75">
      <c r="A117" s="1616" t="s">
        <v>981</v>
      </c>
      <c r="B117" s="1614">
        <f>ROUND(0.8808-0.006*B113,4)</f>
        <v>0.82230000000000003</v>
      </c>
      <c r="C117" s="1614">
        <f>B117</f>
        <v>0.82230000000000003</v>
      </c>
      <c r="D117" s="1614">
        <f>ROUND(0.8748-0.008*B113,4)</f>
        <v>0.79679999999999995</v>
      </c>
      <c r="E117" s="1614">
        <f t="shared" si="34"/>
        <v>0.79679999999999995</v>
      </c>
      <c r="F117" s="1614">
        <f t="shared" si="34"/>
        <v>0.79679999999999995</v>
      </c>
      <c r="G117" s="1614">
        <f t="shared" si="34"/>
        <v>0.79679999999999995</v>
      </c>
      <c r="H117" s="1614">
        <f t="shared" si="34"/>
        <v>0.79679999999999995</v>
      </c>
      <c r="I117" s="1614">
        <f>ROUND(0.7412-0.0095*B113,4)</f>
        <v>0.64859999999999995</v>
      </c>
      <c r="J117" s="1614">
        <f t="shared" si="33"/>
        <v>0.64859999999999995</v>
      </c>
      <c r="K117" s="1614">
        <f t="shared" si="33"/>
        <v>0.64859999999999995</v>
      </c>
      <c r="L117" s="1614">
        <f t="shared" si="33"/>
        <v>0.64859999999999995</v>
      </c>
      <c r="M117" s="1615">
        <f t="shared" si="33"/>
        <v>0.64859999999999995</v>
      </c>
    </row>
    <row r="118" spans="1:13" ht="13.5" thickBot="1">
      <c r="A118" s="1123" t="s">
        <v>1772</v>
      </c>
      <c r="B118" s="1617">
        <f>ROUND(0.7275-0.01*B113,4)</f>
        <v>0.63</v>
      </c>
      <c r="C118" s="1617">
        <f>B118</f>
        <v>0.63</v>
      </c>
      <c r="D118" s="1617">
        <f>ROUND(0.7043-0.012*B113,4)</f>
        <v>0.58730000000000004</v>
      </c>
      <c r="E118" s="1617">
        <f>D118</f>
        <v>0.58730000000000004</v>
      </c>
      <c r="F118" s="1617">
        <f>E118</f>
        <v>0.58730000000000004</v>
      </c>
      <c r="G118" s="1617">
        <f>ROUND(0.6299-0.0122*B113,4)</f>
        <v>0.51100000000000001</v>
      </c>
      <c r="H118" s="1617">
        <f>G118</f>
        <v>0.51100000000000001</v>
      </c>
      <c r="I118" s="1617">
        <f>ROUND(0.5667-0.0136*B113,4)</f>
        <v>0.43409999999999999</v>
      </c>
      <c r="J118" s="1617">
        <f t="shared" si="33"/>
        <v>0.43409999999999999</v>
      </c>
      <c r="K118" s="1617">
        <f t="shared" si="33"/>
        <v>0.43409999999999999</v>
      </c>
      <c r="L118" s="1617">
        <f t="shared" si="33"/>
        <v>0.43409999999999999</v>
      </c>
      <c r="M118" s="1618">
        <f t="shared" si="33"/>
        <v>0.43409999999999999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1558</v>
      </c>
      <c r="B1" s="1519" t="s">
        <v>1169</v>
      </c>
      <c r="C1" s="1519" t="s">
        <v>1170</v>
      </c>
      <c r="D1" s="1519" t="s">
        <v>1171</v>
      </c>
      <c r="E1" s="1519" t="s">
        <v>1172</v>
      </c>
      <c r="F1" s="1519" t="s">
        <v>1173</v>
      </c>
      <c r="G1" s="1519" t="s">
        <v>1174</v>
      </c>
      <c r="H1" s="1519" t="s">
        <v>1175</v>
      </c>
      <c r="I1" s="1519" t="s">
        <v>1176</v>
      </c>
      <c r="J1" s="1519" t="s">
        <v>1177</v>
      </c>
      <c r="K1" s="1519" t="s">
        <v>1178</v>
      </c>
      <c r="L1" s="1519" t="s">
        <v>1179</v>
      </c>
      <c r="M1" s="1520" t="s">
        <v>1180</v>
      </c>
    </row>
    <row r="2" spans="1:13" ht="19.5" customHeight="1">
      <c r="A2" s="1545" t="s">
        <v>1195</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1196</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1845</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1198</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1559</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1560</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1561</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1562</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1563</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1564</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1565</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1566</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1567</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1568</v>
      </c>
      <c r="B16" s="1564"/>
      <c r="C16" s="1565"/>
      <c r="D16" s="1565"/>
      <c r="E16" s="1564"/>
      <c r="F16" s="1565"/>
      <c r="G16" s="1565"/>
    </row>
    <row r="17" spans="1:9" ht="19.5" customHeight="1">
      <c r="A17" s="1496" t="s">
        <v>1569</v>
      </c>
      <c r="B17" s="1567" t="s">
        <v>1570</v>
      </c>
      <c r="C17" s="1748" t="s">
        <v>1867</v>
      </c>
      <c r="D17" s="1568"/>
      <c r="E17" s="1496" t="s">
        <v>1571</v>
      </c>
      <c r="F17" s="1569"/>
      <c r="G17" s="1569"/>
    </row>
    <row r="18" spans="1:9" s="1575" customFormat="1" ht="19.5" customHeight="1">
      <c r="A18" s="3741" t="s">
        <v>1195</v>
      </c>
      <c r="B18" s="1570" t="s">
        <v>1572</v>
      </c>
      <c r="C18" s="1571" t="s">
        <v>1573</v>
      </c>
      <c r="D18" s="1572"/>
      <c r="E18" s="1570">
        <v>1</v>
      </c>
      <c r="F18" s="1573" t="s">
        <v>1574</v>
      </c>
      <c r="G18" s="1574"/>
      <c r="H18" s="1566"/>
      <c r="I18" s="1566"/>
    </row>
    <row r="19" spans="1:9" s="1575" customFormat="1" ht="19.5" customHeight="1">
      <c r="A19" s="3741"/>
      <c r="B19" s="3741" t="s">
        <v>1575</v>
      </c>
      <c r="C19" s="1571" t="s">
        <v>1576</v>
      </c>
      <c r="D19" s="1572"/>
      <c r="E19" s="1570">
        <v>0.9</v>
      </c>
      <c r="F19" s="1573" t="s">
        <v>1577</v>
      </c>
      <c r="G19" s="1574"/>
      <c r="H19" s="1566"/>
      <c r="I19" s="1566"/>
    </row>
    <row r="20" spans="1:9" s="1575" customFormat="1" ht="19.5" customHeight="1">
      <c r="A20" s="3741"/>
      <c r="B20" s="3741"/>
      <c r="C20" s="1571" t="s">
        <v>1578</v>
      </c>
      <c r="D20" s="1572"/>
      <c r="E20" s="1570">
        <v>1.1000000000000001</v>
      </c>
      <c r="F20" s="1573" t="s">
        <v>1579</v>
      </c>
      <c r="G20" s="1574"/>
      <c r="H20" s="1566"/>
      <c r="I20" s="1566"/>
    </row>
    <row r="21" spans="1:9" s="1575" customFormat="1" ht="19.5" customHeight="1">
      <c r="A21" s="3741"/>
      <c r="B21" s="3741"/>
      <c r="C21" s="1571" t="s">
        <v>1580</v>
      </c>
      <c r="D21" s="1572"/>
      <c r="E21" s="1570">
        <v>0.8</v>
      </c>
      <c r="F21" s="1573" t="s">
        <v>1581</v>
      </c>
      <c r="G21" s="1574"/>
      <c r="H21" s="1566"/>
      <c r="I21" s="1566"/>
    </row>
    <row r="22" spans="1:9" s="1575" customFormat="1" ht="19.5" customHeight="1">
      <c r="A22" s="3741"/>
      <c r="B22" s="3741"/>
      <c r="C22" s="1571" t="s">
        <v>1582</v>
      </c>
      <c r="D22" s="1572"/>
      <c r="E22" s="1570">
        <v>0.5</v>
      </c>
      <c r="F22" s="1573"/>
      <c r="G22" s="1574"/>
      <c r="H22" s="1566"/>
      <c r="I22" s="1566"/>
    </row>
    <row r="23" spans="1:9" s="1575" customFormat="1" ht="19.5" customHeight="1">
      <c r="A23" s="3741" t="s">
        <v>1196</v>
      </c>
      <c r="B23" s="1570" t="s">
        <v>1572</v>
      </c>
      <c r="C23" s="1571" t="s">
        <v>1583</v>
      </c>
      <c r="D23" s="1572"/>
      <c r="E23" s="1570">
        <v>1</v>
      </c>
      <c r="F23" s="1573" t="s">
        <v>1584</v>
      </c>
      <c r="G23" s="1574"/>
      <c r="H23" s="1566"/>
      <c r="I23" s="1566"/>
    </row>
    <row r="24" spans="1:9" s="1575" customFormat="1" ht="19.5" customHeight="1">
      <c r="A24" s="3741"/>
      <c r="B24" s="3741" t="s">
        <v>1575</v>
      </c>
      <c r="C24" s="1571" t="s">
        <v>1585</v>
      </c>
      <c r="D24" s="1572"/>
      <c r="E24" s="1570">
        <v>0.5</v>
      </c>
      <c r="F24" s="1573"/>
      <c r="G24" s="1574"/>
      <c r="H24" s="1566"/>
      <c r="I24" s="1566"/>
    </row>
    <row r="25" spans="1:9" s="1575" customFormat="1" ht="19.5" customHeight="1">
      <c r="A25" s="3741"/>
      <c r="B25" s="3741"/>
      <c r="C25" s="1571" t="s">
        <v>1586</v>
      </c>
      <c r="D25" s="1572"/>
      <c r="E25" s="1570">
        <v>1.1000000000000001</v>
      </c>
      <c r="F25" s="1573"/>
      <c r="G25" s="1574"/>
      <c r="H25" s="1566"/>
      <c r="I25" s="1566"/>
    </row>
    <row r="26" spans="1:9" s="1575" customFormat="1" ht="19.5" customHeight="1">
      <c r="A26" s="3741"/>
      <c r="B26" s="3741"/>
      <c r="C26" s="1571" t="s">
        <v>1587</v>
      </c>
      <c r="D26" s="1572"/>
      <c r="E26" s="1570">
        <v>1.1000000000000001</v>
      </c>
      <c r="F26" s="1573"/>
      <c r="G26" s="1574"/>
      <c r="H26" s="1566"/>
      <c r="I26" s="1566"/>
    </row>
    <row r="27" spans="1:9" s="1575" customFormat="1" ht="19.5" customHeight="1">
      <c r="A27" s="3741"/>
      <c r="B27" s="3741"/>
      <c r="C27" s="1571" t="s">
        <v>1588</v>
      </c>
      <c r="D27" s="1572"/>
      <c r="E27" s="1570">
        <v>0.9</v>
      </c>
      <c r="F27" s="1573" t="s">
        <v>1589</v>
      </c>
      <c r="G27" s="1574"/>
      <c r="H27" s="1566"/>
      <c r="I27" s="1566"/>
    </row>
    <row r="28" spans="1:9" s="1575" customFormat="1" ht="19.5" customHeight="1">
      <c r="A28" s="3741"/>
      <c r="B28" s="3741"/>
      <c r="C28" s="1571" t="s">
        <v>1590</v>
      </c>
      <c r="D28" s="1572"/>
      <c r="E28" s="1570">
        <v>0.9</v>
      </c>
      <c r="F28" s="1573" t="s">
        <v>1591</v>
      </c>
      <c r="G28" s="1574"/>
      <c r="H28" s="1566"/>
      <c r="I28" s="1566"/>
    </row>
    <row r="29" spans="1:9" s="1575" customFormat="1" ht="19.5" customHeight="1">
      <c r="A29" s="3741"/>
      <c r="B29" s="3741"/>
      <c r="C29" s="1571" t="s">
        <v>1592</v>
      </c>
      <c r="D29" s="1572"/>
      <c r="E29" s="1570">
        <v>0.9</v>
      </c>
      <c r="F29" s="1573" t="s">
        <v>1593</v>
      </c>
      <c r="G29" s="1574"/>
      <c r="H29" s="1566"/>
      <c r="I29" s="1566"/>
    </row>
    <row r="30" spans="1:9" s="1575" customFormat="1" ht="19.5" customHeight="1">
      <c r="A30" s="3741"/>
      <c r="B30" s="3741"/>
      <c r="C30" s="1571" t="s">
        <v>1594</v>
      </c>
      <c r="D30" s="1572"/>
      <c r="E30" s="1570">
        <v>0.9</v>
      </c>
      <c r="F30" s="1573" t="s">
        <v>1595</v>
      </c>
      <c r="G30" s="1574"/>
      <c r="H30" s="1566"/>
      <c r="I30" s="1566"/>
    </row>
    <row r="31" spans="1:9" s="1575" customFormat="1" ht="19.5" customHeight="1">
      <c r="A31" s="3741"/>
      <c r="B31" s="3741"/>
      <c r="C31" s="1571" t="s">
        <v>1596</v>
      </c>
      <c r="D31" s="1572"/>
      <c r="E31" s="1570">
        <v>0.8</v>
      </c>
      <c r="F31" s="1573" t="s">
        <v>1597</v>
      </c>
      <c r="G31" s="1574"/>
      <c r="H31" s="1566"/>
      <c r="I31" s="1566"/>
    </row>
    <row r="32" spans="1:9" s="1575" customFormat="1" ht="19.5" customHeight="1">
      <c r="A32" s="3741"/>
      <c r="B32" s="3741"/>
      <c r="C32" s="1571" t="s">
        <v>1598</v>
      </c>
      <c r="D32" s="1572"/>
      <c r="E32" s="1570">
        <v>0.8</v>
      </c>
      <c r="F32" s="1573" t="s">
        <v>1599</v>
      </c>
      <c r="G32" s="1574"/>
      <c r="H32" s="1566"/>
      <c r="I32" s="1566"/>
    </row>
    <row r="33" spans="1:9" s="1575" customFormat="1" ht="19.5" customHeight="1">
      <c r="A33" s="3741" t="s">
        <v>1197</v>
      </c>
      <c r="B33" s="1570" t="s">
        <v>1572</v>
      </c>
      <c r="C33" s="1571" t="s">
        <v>1600</v>
      </c>
      <c r="D33" s="1572"/>
      <c r="E33" s="1570">
        <v>1</v>
      </c>
      <c r="F33" s="1573" t="s">
        <v>1601</v>
      </c>
      <c r="G33" s="1574"/>
      <c r="H33" s="1566"/>
      <c r="I33" s="1566"/>
    </row>
    <row r="34" spans="1:9" s="1575" customFormat="1" ht="19.5" customHeight="1">
      <c r="A34" s="3741"/>
      <c r="B34" s="1570" t="s">
        <v>1575</v>
      </c>
      <c r="C34" s="1571" t="s">
        <v>1602</v>
      </c>
      <c r="D34" s="1572"/>
      <c r="E34" s="1570">
        <v>1.5</v>
      </c>
      <c r="F34" s="1573" t="s">
        <v>1603</v>
      </c>
      <c r="G34" s="1574"/>
      <c r="H34" s="1566"/>
      <c r="I34" s="1566"/>
    </row>
    <row r="35" spans="1:9" s="1575" customFormat="1" ht="19.5" customHeight="1">
      <c r="A35" s="3741" t="s">
        <v>1198</v>
      </c>
      <c r="B35" s="1570" t="s">
        <v>1572</v>
      </c>
      <c r="C35" s="1571" t="s">
        <v>1604</v>
      </c>
      <c r="D35" s="1572"/>
      <c r="E35" s="1570">
        <v>1</v>
      </c>
      <c r="F35" s="1573" t="s">
        <v>1605</v>
      </c>
      <c r="G35" s="1574"/>
      <c r="H35" s="1566"/>
      <c r="I35" s="1566"/>
    </row>
    <row r="36" spans="1:9" s="1575" customFormat="1" ht="19.5" customHeight="1">
      <c r="A36" s="3741"/>
      <c r="B36" s="3741" t="s">
        <v>1575</v>
      </c>
      <c r="C36" s="1571" t="s">
        <v>1606</v>
      </c>
      <c r="D36" s="1572"/>
      <c r="E36" s="1570">
        <v>1</v>
      </c>
      <c r="F36" s="1573" t="s">
        <v>1607</v>
      </c>
      <c r="G36" s="1574"/>
      <c r="H36" s="1566"/>
      <c r="I36" s="1566"/>
    </row>
    <row r="37" spans="1:9" s="1575" customFormat="1" ht="19.5" customHeight="1">
      <c r="A37" s="3741"/>
      <c r="B37" s="3741"/>
      <c r="C37" s="1571" t="s">
        <v>1608</v>
      </c>
      <c r="D37" s="1572"/>
      <c r="E37" s="1570">
        <v>1.5</v>
      </c>
      <c r="F37" s="1573" t="s">
        <v>1609</v>
      </c>
      <c r="G37" s="1574"/>
      <c r="H37" s="1566"/>
      <c r="I37" s="1566"/>
    </row>
    <row r="38" spans="1:9" s="1575" customFormat="1" ht="19.5" customHeight="1">
      <c r="A38" s="3741"/>
      <c r="B38" s="3741"/>
      <c r="C38" s="1571" t="s">
        <v>1610</v>
      </c>
      <c r="D38" s="1572"/>
      <c r="E38" s="1570">
        <v>1</v>
      </c>
      <c r="F38" s="1573" t="s">
        <v>1611</v>
      </c>
      <c r="G38" s="1574"/>
      <c r="H38" s="1566"/>
      <c r="I38" s="1566"/>
    </row>
    <row r="39" spans="1:9" s="1575" customFormat="1" ht="19.5" customHeight="1">
      <c r="A39" s="3741"/>
      <c r="B39" s="3741"/>
      <c r="C39" s="1571" t="s">
        <v>1612</v>
      </c>
      <c r="D39" s="1572"/>
      <c r="E39" s="1570">
        <v>1</v>
      </c>
      <c r="F39" s="1573" t="s">
        <v>1613</v>
      </c>
      <c r="G39" s="1574"/>
      <c r="H39" s="1566"/>
      <c r="I39" s="1566"/>
    </row>
    <row r="40" spans="1:9" s="1575" customFormat="1" ht="19.5" customHeight="1">
      <c r="A40" s="1576" t="s">
        <v>1614</v>
      </c>
      <c r="B40" s="1576"/>
      <c r="C40" s="1576"/>
      <c r="D40" s="1576"/>
      <c r="E40" s="1576"/>
      <c r="F40" s="1577"/>
      <c r="G40" s="1577"/>
      <c r="H40" s="1566"/>
      <c r="I40" s="1566"/>
    </row>
    <row r="42" spans="1:9" ht="19.5" customHeight="1">
      <c r="A42" s="1578"/>
      <c r="B42" s="1496" t="s">
        <v>1615</v>
      </c>
      <c r="C42" s="1496" t="s">
        <v>1615</v>
      </c>
      <c r="D42" s="1496" t="s">
        <v>1615</v>
      </c>
      <c r="E42" s="1507" t="s">
        <v>1615</v>
      </c>
      <c r="F42" s="1507" t="s">
        <v>1615</v>
      </c>
      <c r="G42" s="1507" t="s">
        <v>1616</v>
      </c>
      <c r="H42" s="1507" t="s">
        <v>1615</v>
      </c>
    </row>
    <row r="43" spans="1:9" ht="19.5" customHeight="1">
      <c r="A43" s="1579"/>
      <c r="B43" s="1507" t="s">
        <v>1195</v>
      </c>
      <c r="C43" s="1507" t="s">
        <v>1195</v>
      </c>
      <c r="D43" s="1507" t="s">
        <v>1195</v>
      </c>
      <c r="E43" s="1507" t="s">
        <v>1195</v>
      </c>
      <c r="F43" s="1496" t="s">
        <v>1196</v>
      </c>
      <c r="G43" s="1496" t="s">
        <v>1198</v>
      </c>
      <c r="H43" s="1496" t="s">
        <v>1617</v>
      </c>
    </row>
    <row r="44" spans="1:9" ht="19.5" customHeight="1">
      <c r="A44" s="1580"/>
      <c r="B44" s="1496">
        <v>1</v>
      </c>
      <c r="C44" s="1496">
        <v>2</v>
      </c>
      <c r="D44" s="1496">
        <v>3</v>
      </c>
      <c r="E44" s="1507">
        <v>4</v>
      </c>
      <c r="F44" s="1568" t="s">
        <v>1618</v>
      </c>
      <c r="G44" s="1568" t="s">
        <v>1618</v>
      </c>
      <c r="H44" s="1568" t="s">
        <v>1618</v>
      </c>
    </row>
    <row r="45" spans="1:9" ht="19.5" customHeight="1">
      <c r="A45" s="1581" t="s">
        <v>1169</v>
      </c>
      <c r="B45" s="1496">
        <v>0.8</v>
      </c>
      <c r="C45" s="1496">
        <v>0.5</v>
      </c>
      <c r="D45" s="1496">
        <v>0.36</v>
      </c>
      <c r="E45" s="1496">
        <v>0.3</v>
      </c>
      <c r="F45" s="1568">
        <v>0.3</v>
      </c>
      <c r="G45" s="1496">
        <v>0.3</v>
      </c>
      <c r="H45" s="1496">
        <v>0.25</v>
      </c>
    </row>
    <row r="46" spans="1:9" ht="19.5" customHeight="1">
      <c r="A46" s="1581" t="s">
        <v>1170</v>
      </c>
      <c r="B46" s="1496">
        <v>0.8</v>
      </c>
      <c r="C46" s="1496">
        <v>0.5</v>
      </c>
      <c r="D46" s="1496">
        <v>0.36</v>
      </c>
      <c r="E46" s="1496">
        <v>0.3</v>
      </c>
      <c r="F46" s="1496">
        <v>0.3</v>
      </c>
      <c r="G46" s="1496">
        <v>0.3</v>
      </c>
      <c r="H46" s="1496">
        <v>0.25</v>
      </c>
    </row>
    <row r="47" spans="1:9" ht="19.5" customHeight="1">
      <c r="A47" s="1581" t="s">
        <v>1171</v>
      </c>
      <c r="B47" s="1496">
        <v>0.7</v>
      </c>
      <c r="C47" s="1496">
        <v>0.4</v>
      </c>
      <c r="D47" s="1496">
        <v>0.28000000000000003</v>
      </c>
      <c r="E47" s="1496">
        <v>0.25</v>
      </c>
      <c r="F47" s="1496">
        <v>0.25</v>
      </c>
      <c r="G47" s="1496">
        <v>0.25</v>
      </c>
      <c r="H47" s="1496">
        <v>0.2</v>
      </c>
    </row>
    <row r="48" spans="1:9" ht="19.5" customHeight="1">
      <c r="A48" s="1581" t="s">
        <v>1172</v>
      </c>
      <c r="B48" s="1496">
        <v>0.7</v>
      </c>
      <c r="C48" s="1496">
        <v>0.4</v>
      </c>
      <c r="D48" s="1496">
        <v>0.28000000000000003</v>
      </c>
      <c r="E48" s="1496">
        <v>0.25</v>
      </c>
      <c r="F48" s="1496">
        <v>0.25</v>
      </c>
      <c r="G48" s="1496">
        <v>0.25</v>
      </c>
      <c r="H48" s="1496">
        <v>0.2</v>
      </c>
    </row>
    <row r="49" spans="1:8" s="1566" customFormat="1" ht="19.5" customHeight="1">
      <c r="A49" s="1581" t="s">
        <v>1173</v>
      </c>
      <c r="B49" s="1496">
        <v>0.7</v>
      </c>
      <c r="C49" s="1496">
        <v>0.4</v>
      </c>
      <c r="D49" s="1496">
        <v>0.28000000000000003</v>
      </c>
      <c r="E49" s="1496">
        <v>0.25</v>
      </c>
      <c r="F49" s="1496">
        <v>0.25</v>
      </c>
      <c r="G49" s="1496">
        <v>0.25</v>
      </c>
      <c r="H49" s="1496">
        <v>0.2</v>
      </c>
    </row>
    <row r="50" spans="1:8" s="1566" customFormat="1" ht="19.5" customHeight="1">
      <c r="A50" s="1581" t="s">
        <v>1174</v>
      </c>
      <c r="B50" s="1496">
        <v>0.7</v>
      </c>
      <c r="C50" s="1496">
        <v>0.4</v>
      </c>
      <c r="D50" s="1496">
        <v>0.28000000000000003</v>
      </c>
      <c r="E50" s="1496">
        <v>0.25</v>
      </c>
      <c r="F50" s="1496">
        <v>0.25</v>
      </c>
      <c r="G50" s="1496">
        <v>0.25</v>
      </c>
      <c r="H50" s="1496">
        <v>0.2</v>
      </c>
    </row>
    <row r="51" spans="1:8" s="1566" customFormat="1" ht="19.5" customHeight="1">
      <c r="A51" s="1581" t="s">
        <v>1175</v>
      </c>
      <c r="B51" s="1496">
        <v>0.7</v>
      </c>
      <c r="C51" s="1496">
        <v>0.4</v>
      </c>
      <c r="D51" s="1496">
        <v>0.28000000000000003</v>
      </c>
      <c r="E51" s="1496">
        <v>0.25</v>
      </c>
      <c r="F51" s="1496">
        <v>0.25</v>
      </c>
      <c r="G51" s="1496">
        <v>0.25</v>
      </c>
      <c r="H51" s="1496">
        <v>0.2</v>
      </c>
    </row>
    <row r="52" spans="1:8" s="1566" customFormat="1" ht="19.5" customHeight="1">
      <c r="A52" s="1581" t="s">
        <v>1176</v>
      </c>
      <c r="B52" s="1496">
        <v>0.6</v>
      </c>
      <c r="C52" s="1496">
        <v>0.3</v>
      </c>
      <c r="D52" s="1496">
        <v>0.2</v>
      </c>
      <c r="E52" s="1496">
        <v>0.2</v>
      </c>
      <c r="F52" s="1496">
        <v>0.2</v>
      </c>
      <c r="G52" s="1496">
        <v>0.2</v>
      </c>
      <c r="H52" s="1496">
        <v>0.15</v>
      </c>
    </row>
    <row r="53" spans="1:8" s="1566" customFormat="1" ht="19.5" customHeight="1">
      <c r="A53" s="1581" t="s">
        <v>1177</v>
      </c>
      <c r="B53" s="1496">
        <v>0.6</v>
      </c>
      <c r="C53" s="1496">
        <v>0.3</v>
      </c>
      <c r="D53" s="1496">
        <v>0.2</v>
      </c>
      <c r="E53" s="1496">
        <v>0.2</v>
      </c>
      <c r="F53" s="1496">
        <v>0.2</v>
      </c>
      <c r="G53" s="1496">
        <v>0.2</v>
      </c>
      <c r="H53" s="1496">
        <v>0.15</v>
      </c>
    </row>
    <row r="54" spans="1:8" s="1566" customFormat="1" ht="19.5" customHeight="1">
      <c r="A54" s="1581" t="s">
        <v>1178</v>
      </c>
      <c r="B54" s="1496">
        <v>0.6</v>
      </c>
      <c r="C54" s="1496">
        <v>0.3</v>
      </c>
      <c r="D54" s="1496">
        <v>0.2</v>
      </c>
      <c r="E54" s="1496">
        <v>0.2</v>
      </c>
      <c r="F54" s="1496">
        <v>0.2</v>
      </c>
      <c r="G54" s="1496">
        <v>0.2</v>
      </c>
      <c r="H54" s="1496">
        <v>0.15</v>
      </c>
    </row>
    <row r="55" spans="1:8" s="1566" customFormat="1" ht="19.5" customHeight="1">
      <c r="A55" s="1581" t="s">
        <v>1179</v>
      </c>
      <c r="B55" s="1496">
        <v>0.6</v>
      </c>
      <c r="C55" s="1496">
        <v>0.3</v>
      </c>
      <c r="D55" s="1496">
        <v>0.2</v>
      </c>
      <c r="E55" s="1496">
        <v>0.2</v>
      </c>
      <c r="F55" s="1496">
        <v>0.2</v>
      </c>
      <c r="G55" s="1496">
        <v>0.2</v>
      </c>
      <c r="H55" s="1496">
        <v>0.15</v>
      </c>
    </row>
    <row r="56" spans="1:8" s="1566" customFormat="1" ht="19.5" customHeight="1">
      <c r="A56" s="1581" t="s">
        <v>1180</v>
      </c>
      <c r="B56" s="1496">
        <v>0.6</v>
      </c>
      <c r="C56" s="1496">
        <v>0.3</v>
      </c>
      <c r="D56" s="1496">
        <v>0.2</v>
      </c>
      <c r="E56" s="1496">
        <v>0.2</v>
      </c>
      <c r="F56" s="1496">
        <v>0.2</v>
      </c>
      <c r="G56" s="1496">
        <v>0.2</v>
      </c>
      <c r="H56" s="1496">
        <v>0.15</v>
      </c>
    </row>
    <row r="58" spans="1:8" s="1566" customFormat="1" ht="19.5" customHeight="1">
      <c r="A58" s="1582"/>
      <c r="B58" s="1564"/>
      <c r="C58" s="1564"/>
      <c r="D58" s="1564" t="s">
        <v>1619</v>
      </c>
      <c r="E58" s="1564"/>
      <c r="F58" s="1564"/>
    </row>
    <row r="59" spans="1:8" s="1566" customFormat="1" ht="19.5" customHeight="1">
      <c r="A59" s="1570" t="s">
        <v>1620</v>
      </c>
      <c r="B59" s="1570" t="s">
        <v>1621</v>
      </c>
      <c r="C59" s="1570" t="s">
        <v>1622</v>
      </c>
      <c r="D59" s="1570" t="s">
        <v>1623</v>
      </c>
      <c r="E59" s="1570" t="s">
        <v>1624</v>
      </c>
      <c r="F59" s="1570" t="s">
        <v>1625</v>
      </c>
    </row>
    <row r="60" spans="1:8" ht="13.5">
      <c r="A60" s="1765"/>
      <c r="B60" s="1765"/>
      <c r="C60" s="1765" t="s">
        <v>1757</v>
      </c>
      <c r="D60" s="1765"/>
      <c r="E60" s="1583" t="s">
        <v>23</v>
      </c>
      <c r="F60" s="1765" t="s">
        <v>23</v>
      </c>
    </row>
    <row r="61" spans="1:8" s="1566" customFormat="1" ht="24">
      <c r="A61" s="1570">
        <v>1</v>
      </c>
      <c r="B61" s="3741" t="s">
        <v>1626</v>
      </c>
      <c r="C61" s="1496" t="s">
        <v>1627</v>
      </c>
      <c r="D61" s="1496" t="s">
        <v>1628</v>
      </c>
      <c r="E61" s="1583">
        <v>0.5</v>
      </c>
      <c r="F61" s="1570">
        <v>80</v>
      </c>
    </row>
    <row r="62" spans="1:8" s="1566" customFormat="1" ht="24">
      <c r="A62" s="1570">
        <v>2</v>
      </c>
      <c r="B62" s="3741"/>
      <c r="C62" s="1496" t="s">
        <v>1629</v>
      </c>
      <c r="D62" s="1496" t="s">
        <v>1630</v>
      </c>
      <c r="E62" s="1583">
        <v>0.5</v>
      </c>
      <c r="F62" s="1570">
        <v>80</v>
      </c>
    </row>
    <row r="63" spans="1:8" s="1566" customFormat="1" ht="36">
      <c r="A63" s="1570">
        <v>3</v>
      </c>
      <c r="B63" s="3741"/>
      <c r="C63" s="1496" t="s">
        <v>1631</v>
      </c>
      <c r="D63" s="1496" t="s">
        <v>1632</v>
      </c>
      <c r="E63" s="1583">
        <v>0.5</v>
      </c>
      <c r="F63" s="1570">
        <v>80</v>
      </c>
    </row>
    <row r="64" spans="1:8" s="1566" customFormat="1" ht="36">
      <c r="A64" s="1570">
        <v>4</v>
      </c>
      <c r="B64" s="3741"/>
      <c r="C64" s="1496" t="s">
        <v>1633</v>
      </c>
      <c r="D64" s="1496" t="s">
        <v>1634</v>
      </c>
      <c r="E64" s="1583">
        <v>0.4</v>
      </c>
      <c r="F64" s="1570">
        <v>60</v>
      </c>
    </row>
    <row r="65" spans="1:6" s="1566" customFormat="1" ht="36">
      <c r="A65" s="1570">
        <v>5</v>
      </c>
      <c r="B65" s="3741"/>
      <c r="C65" s="1496" t="s">
        <v>1635</v>
      </c>
      <c r="D65" s="1496" t="s">
        <v>1636</v>
      </c>
      <c r="E65" s="1583">
        <v>0.2</v>
      </c>
      <c r="F65" s="1570">
        <v>30</v>
      </c>
    </row>
    <row r="66" spans="1:6" s="1566" customFormat="1" ht="36">
      <c r="A66" s="1570">
        <v>6</v>
      </c>
      <c r="B66" s="3741"/>
      <c r="C66" s="1496" t="s">
        <v>1637</v>
      </c>
      <c r="D66" s="1496" t="s">
        <v>1638</v>
      </c>
      <c r="E66" s="1583">
        <v>0.3</v>
      </c>
      <c r="F66" s="1570">
        <v>50</v>
      </c>
    </row>
    <row r="67" spans="1:6" s="1566" customFormat="1" ht="36">
      <c r="A67" s="1570">
        <v>7</v>
      </c>
      <c r="B67" s="3741"/>
      <c r="C67" s="1496" t="s">
        <v>1639</v>
      </c>
      <c r="D67" s="1496" t="s">
        <v>1640</v>
      </c>
      <c r="E67" s="1583">
        <v>0.2</v>
      </c>
      <c r="F67" s="1570">
        <v>30</v>
      </c>
    </row>
    <row r="68" spans="1:6" s="1566" customFormat="1" ht="36">
      <c r="A68" s="1570">
        <v>8</v>
      </c>
      <c r="B68" s="3741"/>
      <c r="C68" s="1496" t="s">
        <v>1641</v>
      </c>
      <c r="D68" s="1496" t="s">
        <v>1642</v>
      </c>
      <c r="E68" s="1583">
        <v>0.2</v>
      </c>
      <c r="F68" s="1570">
        <v>30</v>
      </c>
    </row>
    <row r="69" spans="1:6" s="1566" customFormat="1" ht="36">
      <c r="A69" s="1570">
        <v>9</v>
      </c>
      <c r="B69" s="3741"/>
      <c r="C69" s="1496" t="s">
        <v>1643</v>
      </c>
      <c r="D69" s="1496" t="s">
        <v>1644</v>
      </c>
      <c r="E69" s="1583">
        <v>0.2</v>
      </c>
      <c r="F69" s="1570">
        <v>30</v>
      </c>
    </row>
    <row r="70" spans="1:6" s="1566" customFormat="1" ht="48">
      <c r="A70" s="1570">
        <v>10</v>
      </c>
      <c r="B70" s="3741"/>
      <c r="C70" s="1496" t="s">
        <v>1645</v>
      </c>
      <c r="D70" s="1496" t="s">
        <v>1646</v>
      </c>
      <c r="E70" s="1583">
        <v>0.2</v>
      </c>
      <c r="F70" s="1570">
        <v>30</v>
      </c>
    </row>
    <row r="71" spans="1:6" s="1566" customFormat="1" ht="48">
      <c r="A71" s="1570">
        <v>11</v>
      </c>
      <c r="B71" s="3741"/>
      <c r="C71" s="1496" t="s">
        <v>1647</v>
      </c>
      <c r="D71" s="1496" t="s">
        <v>1648</v>
      </c>
      <c r="E71" s="1583">
        <v>0.2</v>
      </c>
      <c r="F71" s="1570">
        <v>30</v>
      </c>
    </row>
    <row r="72" spans="1:6" s="1566" customFormat="1" ht="36">
      <c r="A72" s="1570">
        <v>12</v>
      </c>
      <c r="B72" s="3741"/>
      <c r="C72" s="1496" t="s">
        <v>1649</v>
      </c>
      <c r="D72" s="1496" t="s">
        <v>1650</v>
      </c>
      <c r="E72" s="1583">
        <v>0.5</v>
      </c>
      <c r="F72" s="1570">
        <v>80</v>
      </c>
    </row>
    <row r="73" spans="1:6" s="1566" customFormat="1" ht="24">
      <c r="A73" s="1570">
        <v>13</v>
      </c>
      <c r="B73" s="3741"/>
      <c r="C73" s="1496" t="s">
        <v>1651</v>
      </c>
      <c r="D73" s="1496" t="s">
        <v>1652</v>
      </c>
      <c r="E73" s="1583">
        <v>0.4</v>
      </c>
      <c r="F73" s="1570">
        <v>60</v>
      </c>
    </row>
    <row r="74" spans="1:6" s="1566" customFormat="1" ht="24">
      <c r="A74" s="1570">
        <v>14</v>
      </c>
      <c r="B74" s="3741"/>
      <c r="C74" s="1496" t="s">
        <v>1653</v>
      </c>
      <c r="D74" s="1496" t="s">
        <v>1654</v>
      </c>
      <c r="E74" s="1583">
        <v>0.2</v>
      </c>
      <c r="F74" s="1570">
        <v>30</v>
      </c>
    </row>
    <row r="75" spans="1:6" s="1566" customFormat="1" ht="24">
      <c r="A75" s="1570">
        <v>15</v>
      </c>
      <c r="B75" s="3741"/>
      <c r="C75" s="1496" t="s">
        <v>1655</v>
      </c>
      <c r="D75" s="1496" t="s">
        <v>1656</v>
      </c>
      <c r="E75" s="1583">
        <v>0.2</v>
      </c>
      <c r="F75" s="1570">
        <v>30</v>
      </c>
    </row>
    <row r="76" spans="1:6" s="1566" customFormat="1" ht="24">
      <c r="A76" s="1570">
        <v>16</v>
      </c>
      <c r="B76" s="3741" t="s">
        <v>1657</v>
      </c>
      <c r="C76" s="1496" t="s">
        <v>1658</v>
      </c>
      <c r="D76" s="1496" t="s">
        <v>1659</v>
      </c>
      <c r="E76" s="1583">
        <v>0.5</v>
      </c>
      <c r="F76" s="1570">
        <v>80</v>
      </c>
    </row>
    <row r="77" spans="1:6" s="1566" customFormat="1" ht="24">
      <c r="A77" s="1570">
        <v>17</v>
      </c>
      <c r="B77" s="3741"/>
      <c r="C77" s="1496" t="s">
        <v>1660</v>
      </c>
      <c r="D77" s="1496" t="s">
        <v>1661</v>
      </c>
      <c r="E77" s="1583">
        <v>0.5</v>
      </c>
      <c r="F77" s="1570">
        <v>80</v>
      </c>
    </row>
    <row r="78" spans="1:6" s="1566" customFormat="1" ht="24">
      <c r="A78" s="1570">
        <v>18</v>
      </c>
      <c r="B78" s="3741"/>
      <c r="C78" s="1496" t="s">
        <v>1662</v>
      </c>
      <c r="D78" s="1496" t="s">
        <v>1663</v>
      </c>
      <c r="E78" s="1583">
        <v>0.2</v>
      </c>
      <c r="F78" s="1570">
        <v>30</v>
      </c>
    </row>
    <row r="79" spans="1:6" s="1566" customFormat="1" ht="24">
      <c r="A79" s="1570">
        <v>19</v>
      </c>
      <c r="B79" s="3741"/>
      <c r="C79" s="1496" t="s">
        <v>1664</v>
      </c>
      <c r="D79" s="1496" t="s">
        <v>1665</v>
      </c>
      <c r="E79" s="1583">
        <v>0.5</v>
      </c>
      <c r="F79" s="1570">
        <v>80</v>
      </c>
    </row>
    <row r="80" spans="1:6" s="1566" customFormat="1" ht="36">
      <c r="A80" s="1570">
        <v>20</v>
      </c>
      <c r="B80" s="3741"/>
      <c r="C80" s="1496" t="s">
        <v>1666</v>
      </c>
      <c r="D80" s="1496" t="s">
        <v>1667</v>
      </c>
      <c r="E80" s="1583">
        <v>0.2</v>
      </c>
      <c r="F80" s="1570">
        <v>30</v>
      </c>
    </row>
    <row r="81" spans="1:6" s="1566" customFormat="1" ht="36">
      <c r="A81" s="1570">
        <v>21</v>
      </c>
      <c r="B81" s="3741"/>
      <c r="C81" s="1496" t="s">
        <v>1668</v>
      </c>
      <c r="D81" s="1496" t="s">
        <v>1669</v>
      </c>
      <c r="E81" s="1583">
        <v>0.2</v>
      </c>
      <c r="F81" s="1570">
        <v>30</v>
      </c>
    </row>
    <row r="82" spans="1:6" s="1566" customFormat="1" ht="48">
      <c r="A82" s="1570">
        <v>22</v>
      </c>
      <c r="B82" s="3741"/>
      <c r="C82" s="1496" t="s">
        <v>1670</v>
      </c>
      <c r="D82" s="1496" t="s">
        <v>1671</v>
      </c>
      <c r="E82" s="1583">
        <v>0.2</v>
      </c>
      <c r="F82" s="1570">
        <v>30</v>
      </c>
    </row>
    <row r="83" spans="1:6" s="1566" customFormat="1" ht="48">
      <c r="A83" s="1570">
        <v>23</v>
      </c>
      <c r="B83" s="3741"/>
      <c r="C83" s="1496" t="s">
        <v>1672</v>
      </c>
      <c r="D83" s="1496" t="s">
        <v>1673</v>
      </c>
      <c r="E83" s="1583">
        <v>0.2</v>
      </c>
      <c r="F83" s="1570">
        <v>30</v>
      </c>
    </row>
    <row r="84" spans="1:6" s="1566" customFormat="1" ht="36">
      <c r="A84" s="1570">
        <v>24</v>
      </c>
      <c r="B84" s="3741"/>
      <c r="C84" s="1496" t="s">
        <v>1674</v>
      </c>
      <c r="D84" s="1496" t="s">
        <v>1675</v>
      </c>
      <c r="E84" s="1583">
        <v>0.2</v>
      </c>
      <c r="F84" s="1570">
        <v>30</v>
      </c>
    </row>
    <row r="85" spans="1:6" s="1566" customFormat="1" ht="36">
      <c r="A85" s="1570">
        <v>25</v>
      </c>
      <c r="B85" s="3741"/>
      <c r="C85" s="1496" t="s">
        <v>1676</v>
      </c>
      <c r="D85" s="1496" t="s">
        <v>1677</v>
      </c>
      <c r="E85" s="1583">
        <v>0.5</v>
      </c>
      <c r="F85" s="1570">
        <v>80</v>
      </c>
    </row>
    <row r="86" spans="1:6" s="1566" customFormat="1" ht="36">
      <c r="A86" s="1570">
        <v>26</v>
      </c>
      <c r="B86" s="3741"/>
      <c r="C86" s="1496" t="s">
        <v>1678</v>
      </c>
      <c r="D86" s="1496" t="s">
        <v>1679</v>
      </c>
      <c r="E86" s="1583">
        <v>0.2</v>
      </c>
      <c r="F86" s="1570">
        <v>30</v>
      </c>
    </row>
    <row r="87" spans="1:6" s="1566" customFormat="1" ht="36">
      <c r="A87" s="1570">
        <v>27</v>
      </c>
      <c r="B87" s="3741"/>
      <c r="C87" s="1496" t="s">
        <v>1680</v>
      </c>
      <c r="D87" s="1496" t="s">
        <v>1681</v>
      </c>
      <c r="E87" s="1583">
        <v>0.2</v>
      </c>
      <c r="F87" s="1570">
        <v>30</v>
      </c>
    </row>
    <row r="88" spans="1:6" s="1566" customFormat="1" ht="36">
      <c r="A88" s="1570">
        <v>28</v>
      </c>
      <c r="B88" s="3741"/>
      <c r="C88" s="1496" t="s">
        <v>1682</v>
      </c>
      <c r="D88" s="1496" t="s">
        <v>1683</v>
      </c>
      <c r="E88" s="1583">
        <v>0.2</v>
      </c>
      <c r="F88" s="1570">
        <v>30</v>
      </c>
    </row>
    <row r="89" spans="1:6" s="1566" customFormat="1" ht="24">
      <c r="A89" s="1570">
        <v>29</v>
      </c>
      <c r="B89" s="3741"/>
      <c r="C89" s="1496" t="s">
        <v>1684</v>
      </c>
      <c r="D89" s="1496" t="s">
        <v>1685</v>
      </c>
      <c r="E89" s="1583">
        <v>0.2</v>
      </c>
      <c r="F89" s="1570">
        <v>30</v>
      </c>
    </row>
    <row r="90" spans="1:6" s="1566" customFormat="1" ht="24">
      <c r="A90" s="1570">
        <v>30</v>
      </c>
      <c r="B90" s="3741"/>
      <c r="C90" s="1496" t="s">
        <v>1686</v>
      </c>
      <c r="D90" s="1496" t="s">
        <v>1687</v>
      </c>
      <c r="E90" s="1583">
        <v>0.2</v>
      </c>
      <c r="F90" s="1570">
        <v>30</v>
      </c>
    </row>
    <row r="91" spans="1:6" s="1566" customFormat="1" ht="36">
      <c r="A91" s="1570">
        <v>31</v>
      </c>
      <c r="B91" s="3741"/>
      <c r="C91" s="1496" t="s">
        <v>1688</v>
      </c>
      <c r="D91" s="1496" t="s">
        <v>1689</v>
      </c>
      <c r="E91" s="1583">
        <v>0.2</v>
      </c>
      <c r="F91" s="1570">
        <v>30</v>
      </c>
    </row>
    <row r="92" spans="1:6" s="1566" customFormat="1" ht="24">
      <c r="A92" s="1570">
        <v>32</v>
      </c>
      <c r="B92" s="3741" t="s">
        <v>1690</v>
      </c>
      <c r="C92" s="1570" t="s">
        <v>1691</v>
      </c>
      <c r="D92" s="1496" t="s">
        <v>1692</v>
      </c>
      <c r="E92" s="1583">
        <v>0.2</v>
      </c>
      <c r="F92" s="1570">
        <v>30</v>
      </c>
    </row>
    <row r="93" spans="1:6" s="1566" customFormat="1" ht="36">
      <c r="A93" s="1570">
        <v>33</v>
      </c>
      <c r="B93" s="3741"/>
      <c r="C93" s="1570" t="s">
        <v>1693</v>
      </c>
      <c r="D93" s="1496" t="s">
        <v>1694</v>
      </c>
      <c r="E93" s="1583">
        <v>0.2</v>
      </c>
      <c r="F93" s="1570">
        <v>30</v>
      </c>
    </row>
    <row r="94" spans="1:6" s="1566" customFormat="1" ht="48">
      <c r="A94" s="1570">
        <v>34</v>
      </c>
      <c r="B94" s="3741"/>
      <c r="C94" s="1570" t="s">
        <v>1695</v>
      </c>
      <c r="D94" s="1496" t="s">
        <v>1696</v>
      </c>
      <c r="E94" s="1583">
        <v>0.2</v>
      </c>
      <c r="F94" s="1570">
        <v>30</v>
      </c>
    </row>
    <row r="95" spans="1:6" s="1566" customFormat="1" ht="36">
      <c r="A95" s="1570">
        <v>35</v>
      </c>
      <c r="B95" s="3741"/>
      <c r="C95" s="1570" t="s">
        <v>1697</v>
      </c>
      <c r="D95" s="1496" t="s">
        <v>1698</v>
      </c>
      <c r="E95" s="1583">
        <v>0.2</v>
      </c>
      <c r="F95" s="1570">
        <v>30</v>
      </c>
    </row>
    <row r="96" spans="1:6" s="1566" customFormat="1" ht="48">
      <c r="A96" s="1570">
        <v>36</v>
      </c>
      <c r="B96" s="3741"/>
      <c r="C96" s="1496" t="s">
        <v>1699</v>
      </c>
      <c r="D96" s="1496" t="s">
        <v>1700</v>
      </c>
      <c r="E96" s="1583">
        <v>0.2</v>
      </c>
      <c r="F96" s="1570">
        <v>30</v>
      </c>
    </row>
    <row r="97" spans="1:6" s="1566" customFormat="1" ht="36">
      <c r="A97" s="1570">
        <v>37</v>
      </c>
      <c r="B97" s="3741"/>
      <c r="C97" s="1570" t="s">
        <v>1701</v>
      </c>
      <c r="D97" s="1496" t="s">
        <v>1702</v>
      </c>
      <c r="E97" s="1583">
        <v>0.2</v>
      </c>
      <c r="F97" s="1570">
        <v>30</v>
      </c>
    </row>
    <row r="98" spans="1:6" s="1566" customFormat="1" ht="36">
      <c r="A98" s="1570">
        <v>38</v>
      </c>
      <c r="B98" s="3741"/>
      <c r="C98" s="1570" t="s">
        <v>1703</v>
      </c>
      <c r="D98" s="1496" t="s">
        <v>1704</v>
      </c>
      <c r="E98" s="1583">
        <v>0.2</v>
      </c>
      <c r="F98" s="1570">
        <v>30</v>
      </c>
    </row>
    <row r="99" spans="1:6" s="1566" customFormat="1" ht="36">
      <c r="A99" s="1570">
        <v>39</v>
      </c>
      <c r="B99" s="3741" t="s">
        <v>1705</v>
      </c>
      <c r="C99" s="1570" t="s">
        <v>1706</v>
      </c>
      <c r="D99" s="1496" t="s">
        <v>1707</v>
      </c>
      <c r="E99" s="1583">
        <v>0.3</v>
      </c>
      <c r="F99" s="1570">
        <v>50</v>
      </c>
    </row>
    <row r="100" spans="1:6" s="1566" customFormat="1" ht="24">
      <c r="A100" s="1570">
        <v>40</v>
      </c>
      <c r="B100" s="3741"/>
      <c r="C100" s="1570" t="s">
        <v>1708</v>
      </c>
      <c r="D100" s="1496" t="s">
        <v>1709</v>
      </c>
      <c r="E100" s="1583">
        <v>0.2</v>
      </c>
      <c r="F100" s="1570">
        <v>30</v>
      </c>
    </row>
    <row r="101" spans="1:6" s="1566" customFormat="1" ht="36">
      <c r="A101" s="1570">
        <v>41</v>
      </c>
      <c r="B101" s="3741"/>
      <c r="C101" s="1570" t="s">
        <v>1710</v>
      </c>
      <c r="D101" s="1496" t="s">
        <v>1707</v>
      </c>
      <c r="E101" s="1583">
        <v>0.2</v>
      </c>
      <c r="F101" s="1570">
        <v>30</v>
      </c>
    </row>
    <row r="102" spans="1:6" s="1566" customFormat="1" ht="48">
      <c r="A102" s="1570">
        <v>42</v>
      </c>
      <c r="B102" s="1570" t="s">
        <v>1711</v>
      </c>
      <c r="C102" s="1496" t="s">
        <v>1712</v>
      </c>
      <c r="D102" s="1496" t="s">
        <v>1713</v>
      </c>
      <c r="E102" s="1583">
        <v>0.2</v>
      </c>
      <c r="F102" s="1570">
        <v>30</v>
      </c>
    </row>
    <row r="103" spans="1:6" s="1566" customFormat="1" ht="24">
      <c r="A103" s="1570">
        <v>43</v>
      </c>
      <c r="B103" s="1570" t="s">
        <v>1714</v>
      </c>
      <c r="C103" s="1570" t="s">
        <v>1715</v>
      </c>
      <c r="D103" s="1496" t="s">
        <v>1716</v>
      </c>
      <c r="E103" s="1583">
        <v>0.2</v>
      </c>
      <c r="F103" s="1570">
        <v>30</v>
      </c>
    </row>
    <row r="104" spans="1:6" s="1566" customFormat="1" ht="36">
      <c r="A104" s="1570">
        <v>44</v>
      </c>
      <c r="B104" s="1570" t="s">
        <v>1717</v>
      </c>
      <c r="C104" s="1570" t="s">
        <v>1718</v>
      </c>
      <c r="D104" s="1496" t="s">
        <v>1719</v>
      </c>
      <c r="E104" s="1583">
        <v>0.2</v>
      </c>
      <c r="F104" s="1570">
        <v>30</v>
      </c>
    </row>
    <row r="105" spans="1:6" s="1566" customFormat="1" ht="36">
      <c r="A105" s="1570">
        <v>45</v>
      </c>
      <c r="B105" s="3741" t="s">
        <v>1720</v>
      </c>
      <c r="C105" s="1570" t="s">
        <v>1721</v>
      </c>
      <c r="D105" s="1496" t="s">
        <v>1722</v>
      </c>
      <c r="E105" s="1583">
        <v>0.2</v>
      </c>
      <c r="F105" s="1570">
        <v>30</v>
      </c>
    </row>
    <row r="106" spans="1:6" s="1566" customFormat="1" ht="36">
      <c r="A106" s="1570">
        <v>46</v>
      </c>
      <c r="B106" s="3741"/>
      <c r="C106" s="1570" t="s">
        <v>1723</v>
      </c>
      <c r="D106" s="1496" t="s">
        <v>1724</v>
      </c>
      <c r="E106" s="1583">
        <v>0.2</v>
      </c>
      <c r="F106" s="1570">
        <v>30</v>
      </c>
    </row>
    <row r="107" spans="1:6" s="1566" customFormat="1" ht="36">
      <c r="A107" s="1570">
        <v>47</v>
      </c>
      <c r="B107" s="3741" t="s">
        <v>1725</v>
      </c>
      <c r="C107" s="1570" t="s">
        <v>1726</v>
      </c>
      <c r="D107" s="1496" t="s">
        <v>1727</v>
      </c>
      <c r="E107" s="1583">
        <v>0.3</v>
      </c>
      <c r="F107" s="1570">
        <v>50</v>
      </c>
    </row>
    <row r="108" spans="1:6" s="1566" customFormat="1" ht="36">
      <c r="A108" s="1570">
        <v>48</v>
      </c>
      <c r="B108" s="3741"/>
      <c r="C108" s="1570" t="s">
        <v>1728</v>
      </c>
      <c r="D108" s="1496" t="s">
        <v>1729</v>
      </c>
      <c r="E108" s="1583">
        <v>0.2</v>
      </c>
      <c r="F108" s="1570">
        <v>30</v>
      </c>
    </row>
    <row r="109" spans="1:6" s="1566" customFormat="1" ht="36">
      <c r="A109" s="1570">
        <v>49</v>
      </c>
      <c r="B109" s="1570" t="s">
        <v>1730</v>
      </c>
      <c r="C109" s="1570" t="s">
        <v>1731</v>
      </c>
      <c r="D109" s="1496" t="s">
        <v>1732</v>
      </c>
      <c r="E109" s="1583">
        <v>0.2</v>
      </c>
      <c r="F109" s="1570">
        <v>30</v>
      </c>
    </row>
    <row r="110" spans="1:6" s="1566" customFormat="1" ht="36">
      <c r="A110" s="1570">
        <v>50</v>
      </c>
      <c r="B110" s="1570" t="s">
        <v>1733</v>
      </c>
      <c r="C110" s="1570" t="s">
        <v>1734</v>
      </c>
      <c r="D110" s="1496" t="s">
        <v>1735</v>
      </c>
      <c r="E110" s="1583">
        <v>0.2</v>
      </c>
      <c r="F110" s="1570">
        <v>30</v>
      </c>
    </row>
    <row r="111" spans="1:6" s="1566" customFormat="1" ht="36">
      <c r="A111" s="1570">
        <v>51</v>
      </c>
      <c r="B111" s="3741" t="s">
        <v>1736</v>
      </c>
      <c r="C111" s="1570" t="s">
        <v>1737</v>
      </c>
      <c r="D111" s="1496" t="s">
        <v>1738</v>
      </c>
      <c r="E111" s="1583">
        <v>0.2</v>
      </c>
      <c r="F111" s="1570">
        <v>30</v>
      </c>
    </row>
    <row r="112" spans="1:6" s="1566" customFormat="1" ht="24">
      <c r="A112" s="1570">
        <v>52</v>
      </c>
      <c r="B112" s="3741"/>
      <c r="C112" s="1570" t="s">
        <v>1739</v>
      </c>
      <c r="D112" s="1496" t="s">
        <v>1740</v>
      </c>
      <c r="E112" s="1583">
        <v>0.2</v>
      </c>
      <c r="F112" s="1570">
        <v>30</v>
      </c>
    </row>
    <row r="113" spans="1:6" s="1566" customFormat="1" ht="24">
      <c r="A113" s="1570">
        <v>53</v>
      </c>
      <c r="B113" s="3741"/>
      <c r="C113" s="1570" t="s">
        <v>1741</v>
      </c>
      <c r="D113" s="1496" t="s">
        <v>1742</v>
      </c>
      <c r="E113" s="1583">
        <v>0.2</v>
      </c>
      <c r="F113" s="1570">
        <v>30</v>
      </c>
    </row>
    <row r="114" spans="1:6" ht="36">
      <c r="A114" s="1570">
        <v>54</v>
      </c>
      <c r="B114" s="1570" t="s">
        <v>1743</v>
      </c>
      <c r="C114" s="1570" t="s">
        <v>1744</v>
      </c>
      <c r="D114" s="1496" t="s">
        <v>1745</v>
      </c>
      <c r="E114" s="1583">
        <v>0.2</v>
      </c>
      <c r="F114" s="1570">
        <v>30</v>
      </c>
    </row>
    <row r="115" spans="1:6" ht="24">
      <c r="A115" s="1570">
        <v>55</v>
      </c>
      <c r="B115" s="1570" t="s">
        <v>1746</v>
      </c>
      <c r="C115" s="1570" t="s">
        <v>1747</v>
      </c>
      <c r="D115" s="1496" t="s">
        <v>1748</v>
      </c>
      <c r="E115" s="1583">
        <v>0.2</v>
      </c>
      <c r="F115" s="1570">
        <v>30</v>
      </c>
    </row>
    <row r="116" spans="1:6" ht="24">
      <c r="A116" s="1570">
        <v>56</v>
      </c>
      <c r="B116" s="3741" t="s">
        <v>1749</v>
      </c>
      <c r="C116" s="1570" t="s">
        <v>1750</v>
      </c>
      <c r="D116" s="1496" t="s">
        <v>1751</v>
      </c>
      <c r="E116" s="1583">
        <v>0.2</v>
      </c>
      <c r="F116" s="1570">
        <v>30</v>
      </c>
    </row>
    <row r="117" spans="1:6" ht="36">
      <c r="A117" s="1570">
        <v>57</v>
      </c>
      <c r="B117" s="3741"/>
      <c r="C117" s="1570" t="s">
        <v>1752</v>
      </c>
      <c r="D117" s="1496" t="s">
        <v>1753</v>
      </c>
      <c r="E117" s="1583">
        <v>0.2</v>
      </c>
      <c r="F117" s="1570">
        <v>30</v>
      </c>
    </row>
    <row r="118" spans="1:6" ht="36">
      <c r="A118" s="1570">
        <v>58</v>
      </c>
      <c r="B118" s="1570" t="s">
        <v>1754</v>
      </c>
      <c r="C118" s="1570" t="s">
        <v>1755</v>
      </c>
      <c r="D118" s="1496" t="s">
        <v>1756</v>
      </c>
      <c r="E118" s="1583">
        <v>0.2</v>
      </c>
      <c r="F118" s="1570">
        <v>30</v>
      </c>
    </row>
    <row r="119" spans="1:6" ht="13.5">
      <c r="A119" s="1570"/>
      <c r="B119" s="1570"/>
      <c r="C119" s="1570" t="s">
        <v>1757</v>
      </c>
      <c r="D119" s="1570"/>
      <c r="E119" s="1583" t="s">
        <v>1567</v>
      </c>
      <c r="F119" s="1570"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2029</v>
      </c>
      <c r="B1" s="1961"/>
      <c r="C1" s="1961"/>
      <c r="D1" s="1961"/>
      <c r="E1" s="1961"/>
    </row>
    <row r="2" spans="1:5" ht="78" customHeight="1">
      <c r="A2" s="33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7"/>
      <c r="C2" s="3397"/>
      <c r="D2" s="3397"/>
      <c r="E2" s="3397"/>
    </row>
    <row r="3" spans="1:5" ht="18.75">
      <c r="A3" s="3398" t="str">
        <f>IF(项目基本情况!B9="房地产市场价值","估价结果一览表（市场价值不需“结果表-1”）","估价结果一览表")</f>
        <v>估价结果一览表</v>
      </c>
      <c r="B3" s="3398"/>
      <c r="C3" s="3398"/>
      <c r="D3" s="3398"/>
      <c r="E3" s="3398"/>
    </row>
    <row r="4" spans="1:5" ht="19.5" thickBot="1">
      <c r="A4" s="1973"/>
      <c r="B4" s="3396" t="s">
        <v>2034</v>
      </c>
      <c r="C4" s="3396"/>
      <c r="D4" s="3396"/>
      <c r="E4" s="1973"/>
    </row>
    <row r="5" spans="1:5" ht="16.5" thickTop="1">
      <c r="A5" s="1961"/>
      <c r="B5" s="3394" t="s">
        <v>2030</v>
      </c>
      <c r="C5" s="1963" t="s">
        <v>2035</v>
      </c>
      <c r="D5" s="1964">
        <f ca="1">结果表!H101</f>
        <v>6914</v>
      </c>
      <c r="E5" s="1961"/>
    </row>
    <row r="6" spans="1:5" ht="15.75">
      <c r="A6" s="1961"/>
      <c r="B6" s="3394"/>
      <c r="C6" s="1963" t="s">
        <v>2873</v>
      </c>
      <c r="D6" s="1964" t="str">
        <f ca="1">NUMBERSTRING(INT(D5*10000),2)&amp;"元整"</f>
        <v>陆仟玖佰壹拾肆万元整</v>
      </c>
      <c r="E6" s="1961"/>
    </row>
    <row r="7" spans="1:5" ht="15.75">
      <c r="A7" s="1961"/>
      <c r="B7" s="3399"/>
      <c r="C7" s="1965" t="s">
        <v>2036</v>
      </c>
      <c r="D7" s="1966">
        <f ca="1">结果表!H102</f>
        <v>32939</v>
      </c>
      <c r="E7" s="1961"/>
    </row>
    <row r="8" spans="1:5" ht="15.75">
      <c r="A8" s="1961"/>
      <c r="B8" s="3400" t="str">
        <f>结果表!E103</f>
        <v>2.估价师知悉的法定优先受偿款</v>
      </c>
      <c r="C8" s="1967" t="s">
        <v>2037</v>
      </c>
      <c r="D8" s="1966">
        <f>结果表!H103</f>
        <v>0</v>
      </c>
      <c r="E8" s="1961"/>
    </row>
    <row r="9" spans="1:5" ht="15.75">
      <c r="A9" s="1961"/>
      <c r="B9" s="3402"/>
      <c r="C9" s="1963" t="s">
        <v>2873</v>
      </c>
      <c r="D9" s="1964" t="str">
        <f>NUMBERSTRING(INT(D8*10000),2)&amp;"元整"</f>
        <v>零元整</v>
      </c>
      <c r="E9" s="1961"/>
    </row>
    <row r="10" spans="1:5" ht="15">
      <c r="A10" s="1961"/>
      <c r="B10" s="1968" t="s">
        <v>2031</v>
      </c>
      <c r="C10" s="1969" t="s">
        <v>2037</v>
      </c>
      <c r="D10" s="1970">
        <f>结果表!H104</f>
        <v>0</v>
      </c>
      <c r="E10" s="1961"/>
    </row>
    <row r="11" spans="1:5" ht="15">
      <c r="A11" s="1961"/>
      <c r="B11" s="1968" t="s">
        <v>2032</v>
      </c>
      <c r="C11" s="1969" t="s">
        <v>2037</v>
      </c>
      <c r="D11" s="1970">
        <f>结果表!H105</f>
        <v>0</v>
      </c>
      <c r="E11" s="1961"/>
    </row>
    <row r="12" spans="1:5" ht="15">
      <c r="A12" s="1961"/>
      <c r="B12" s="1968" t="s">
        <v>2033</v>
      </c>
      <c r="C12" s="1969" t="s">
        <v>2037</v>
      </c>
      <c r="D12" s="1970">
        <f>结果表!H106</f>
        <v>0</v>
      </c>
      <c r="E12" s="1961"/>
    </row>
    <row r="13" spans="1:5" ht="15.75">
      <c r="A13" s="1961"/>
      <c r="B13" s="3393" t="str">
        <f>结果表!E107</f>
        <v>3.房地产抵押价值</v>
      </c>
      <c r="C13" s="1971" t="s">
        <v>2035</v>
      </c>
      <c r="D13" s="1974">
        <f ca="1">结果表!H107</f>
        <v>6914</v>
      </c>
      <c r="E13" s="1961"/>
    </row>
    <row r="14" spans="1:5" ht="15.75">
      <c r="A14" s="1961"/>
      <c r="B14" s="3394"/>
      <c r="C14" s="1963" t="s">
        <v>2873</v>
      </c>
      <c r="D14" s="1964" t="str">
        <f ca="1">NUMBERSTRING(INT(D13*10000),2)&amp;"元整"</f>
        <v>陆仟玖佰壹拾肆万元整</v>
      </c>
      <c r="E14" s="1961"/>
    </row>
    <row r="15" spans="1:5" ht="15">
      <c r="A15" s="1961"/>
      <c r="B15" s="3399"/>
      <c r="C15" s="1965" t="s">
        <v>2036</v>
      </c>
      <c r="D15" s="2076">
        <f ca="1">结果表!H108</f>
        <v>32939</v>
      </c>
      <c r="E15" s="1961"/>
    </row>
    <row r="16" spans="1:5" ht="14.25">
      <c r="A16" s="1961"/>
      <c r="B16" s="3400" t="str">
        <f>结果表!E109</f>
        <v>——</v>
      </c>
      <c r="C16" s="1971" t="s">
        <v>2035</v>
      </c>
      <c r="D16" s="2077" t="str">
        <f>结果表!H109</f>
        <v>——</v>
      </c>
      <c r="E16" s="1961"/>
    </row>
    <row r="17" spans="1:5" ht="15.75">
      <c r="A17" s="1961"/>
      <c r="B17" s="3401"/>
      <c r="C17" s="1963" t="s">
        <v>2873</v>
      </c>
      <c r="D17" s="1964" t="e">
        <f>NUMBERSTRING(INT(D16*10000),2)&amp;"元整"</f>
        <v>#VALUE!</v>
      </c>
      <c r="E17" s="1961"/>
    </row>
    <row r="18" spans="1:5" ht="15">
      <c r="A18" s="1961"/>
      <c r="B18" s="3402"/>
      <c r="C18" s="1965" t="s">
        <v>2036</v>
      </c>
      <c r="D18" s="2076" t="str">
        <f>结果表!H110</f>
        <v>——</v>
      </c>
      <c r="E18" s="1961"/>
    </row>
    <row r="19" spans="1:5" ht="15.75">
      <c r="A19" s="1961"/>
      <c r="B19" s="3393" t="str">
        <f>结果表!E111</f>
        <v>——</v>
      </c>
      <c r="C19" s="1971" t="s">
        <v>2035</v>
      </c>
      <c r="D19" s="1966" t="str">
        <f>结果表!H111</f>
        <v>——</v>
      </c>
      <c r="E19" s="1961"/>
    </row>
    <row r="20" spans="1:5" ht="15.75">
      <c r="A20" s="1961"/>
      <c r="B20" s="3394"/>
      <c r="C20" s="1963" t="s">
        <v>2873</v>
      </c>
      <c r="D20" s="1964" t="e">
        <f>NUMBERSTRING(INT(D19*10000),2)&amp;"元整"</f>
        <v>#VALUE!</v>
      </c>
      <c r="E20" s="1961"/>
    </row>
    <row r="21" spans="1:5" ht="15.75" thickBot="1">
      <c r="A21" s="1961"/>
      <c r="B21" s="3395"/>
      <c r="C21" s="2078" t="s">
        <v>2036</v>
      </c>
      <c r="D21" s="2079" t="str">
        <f>结果表!H112</f>
        <v>——</v>
      </c>
      <c r="E21" s="1961"/>
    </row>
    <row r="22" spans="1:5" ht="14.25" thickTop="1">
      <c r="A22" s="1961"/>
      <c r="B22" s="1972" t="s">
        <v>2061</v>
      </c>
      <c r="C22" s="1961"/>
      <c r="D22" s="1961"/>
      <c r="E22" s="1961"/>
    </row>
    <row r="23" spans="1:5">
      <c r="A23" s="1961"/>
      <c r="B23" s="1961"/>
      <c r="C23" s="1961"/>
      <c r="D23" s="1961"/>
      <c r="E23" s="1961"/>
    </row>
    <row r="24" spans="1:5" ht="18.75">
      <c r="A24" s="1992"/>
      <c r="B24" s="1993" t="s">
        <v>2042</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1767</v>
      </c>
      <c r="B1" s="1594"/>
      <c r="C1" s="1594"/>
      <c r="D1" s="1594"/>
      <c r="E1" s="1594"/>
      <c r="F1" s="1594"/>
      <c r="G1" s="1594"/>
      <c r="H1" s="1594"/>
      <c r="I1" s="1594"/>
      <c r="J1" s="1594"/>
      <c r="K1" s="1594"/>
      <c r="L1" s="1594"/>
      <c r="M1" s="1594"/>
      <c r="N1" s="1594"/>
    </row>
    <row r="2" spans="1:14">
      <c r="A2" s="1596" t="s">
        <v>1764</v>
      </c>
      <c r="B2" s="1597" t="s">
        <v>1169</v>
      </c>
      <c r="C2" s="1597" t="s">
        <v>1170</v>
      </c>
      <c r="D2" s="1597" t="s">
        <v>1171</v>
      </c>
      <c r="E2" s="1597" t="s">
        <v>1172</v>
      </c>
      <c r="F2" s="1597" t="s">
        <v>1173</v>
      </c>
      <c r="G2" s="1597" t="s">
        <v>1174</v>
      </c>
      <c r="H2" s="1598" t="s">
        <v>1175</v>
      </c>
      <c r="I2" s="1598" t="s">
        <v>1176</v>
      </c>
      <c r="J2" s="1599" t="s">
        <v>1177</v>
      </c>
      <c r="K2" s="1599" t="s">
        <v>1178</v>
      </c>
      <c r="L2" s="1599" t="s">
        <v>1179</v>
      </c>
      <c r="M2" s="1599" t="s">
        <v>1180</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1773</v>
      </c>
      <c r="B103" s="1594"/>
      <c r="C103" s="1594"/>
      <c r="D103" s="1594"/>
      <c r="E103" s="1594"/>
      <c r="F103" s="1594"/>
      <c r="G103" s="1594"/>
      <c r="H103" s="1594"/>
      <c r="I103" s="1594"/>
      <c r="J103" s="1594"/>
      <c r="K103" s="1594"/>
      <c r="L103" s="1594"/>
      <c r="M103" s="1594"/>
      <c r="N103" s="1594"/>
    </row>
    <row r="104" spans="1:14" ht="14.25">
      <c r="A104" s="1596" t="s">
        <v>1764</v>
      </c>
      <c r="B104" s="1597" t="s">
        <v>1169</v>
      </c>
      <c r="C104" s="1597" t="s">
        <v>1170</v>
      </c>
      <c r="D104" s="1597" t="s">
        <v>1171</v>
      </c>
      <c r="E104" s="1597" t="s">
        <v>1172</v>
      </c>
      <c r="F104" s="1597" t="s">
        <v>1173</v>
      </c>
      <c r="G104" s="1597" t="s">
        <v>1174</v>
      </c>
      <c r="H104" s="1598" t="s">
        <v>1175</v>
      </c>
      <c r="I104" s="1598" t="s">
        <v>1176</v>
      </c>
      <c r="J104" s="1599" t="s">
        <v>1177</v>
      </c>
      <c r="K104" s="1599" t="s">
        <v>1178</v>
      </c>
      <c r="L104" s="1599" t="s">
        <v>1179</v>
      </c>
      <c r="M104" s="1599" t="s">
        <v>1180</v>
      </c>
      <c r="N104" s="1594">
        <f>SUMPRODUCT((A105:A204=ROUNDDOWN('基准地价修正-2层'!G3,1))*(B104:M104='基准地价修正-2层'!G2)*(B105:M204))</f>
        <v>0.73070000000000002</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1774</v>
      </c>
      <c r="B205" s="1594"/>
      <c r="C205" s="1594"/>
      <c r="D205" s="1594"/>
      <c r="E205" s="1594"/>
      <c r="F205" s="1594"/>
      <c r="G205" s="1594"/>
      <c r="H205" s="1594"/>
      <c r="I205" s="1594"/>
      <c r="J205" s="1594"/>
      <c r="K205" s="1594"/>
      <c r="L205" s="1594"/>
      <c r="M205" s="1594"/>
    </row>
    <row r="206" spans="1:13">
      <c r="A206" s="1596" t="s">
        <v>1764</v>
      </c>
      <c r="B206" s="1597" t="s">
        <v>1169</v>
      </c>
      <c r="C206" s="1597" t="s">
        <v>1170</v>
      </c>
      <c r="D206" s="1597" t="s">
        <v>1171</v>
      </c>
      <c r="E206" s="1597" t="s">
        <v>1172</v>
      </c>
      <c r="F206" s="1597" t="s">
        <v>1173</v>
      </c>
      <c r="G206" s="1597" t="s">
        <v>1174</v>
      </c>
      <c r="H206" s="1598" t="s">
        <v>1175</v>
      </c>
      <c r="I206" s="1598" t="s">
        <v>1176</v>
      </c>
      <c r="J206" s="1599" t="s">
        <v>1177</v>
      </c>
      <c r="K206" s="1599" t="s">
        <v>1178</v>
      </c>
      <c r="L206" s="1599" t="s">
        <v>1179</v>
      </c>
      <c r="M206" s="1599" t="s">
        <v>1180</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1775</v>
      </c>
      <c r="B307" s="1594"/>
      <c r="C307" s="1594"/>
      <c r="D307" s="1594"/>
      <c r="E307" s="1594"/>
      <c r="F307" s="1594"/>
      <c r="G307" s="1594"/>
      <c r="H307" s="1594"/>
      <c r="I307" s="1594"/>
      <c r="J307" s="1594"/>
      <c r="K307" s="1594"/>
      <c r="L307" s="1594"/>
      <c r="M307" s="1594"/>
    </row>
    <row r="308" spans="1:13">
      <c r="A308" s="1596" t="s">
        <v>1764</v>
      </c>
      <c r="B308" s="1597" t="s">
        <v>1169</v>
      </c>
      <c r="C308" s="1597" t="s">
        <v>1170</v>
      </c>
      <c r="D308" s="1597" t="s">
        <v>1171</v>
      </c>
      <c r="E308" s="1597" t="s">
        <v>1172</v>
      </c>
      <c r="F308" s="1597" t="s">
        <v>1173</v>
      </c>
      <c r="G308" s="1597" t="s">
        <v>1174</v>
      </c>
      <c r="H308" s="1598" t="s">
        <v>1175</v>
      </c>
      <c r="I308" s="1598" t="s">
        <v>1176</v>
      </c>
      <c r="J308" s="1599" t="s">
        <v>1177</v>
      </c>
      <c r="K308" s="1599" t="s">
        <v>1178</v>
      </c>
      <c r="L308" s="1599" t="s">
        <v>1179</v>
      </c>
      <c r="M308" s="1599" t="s">
        <v>1180</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18" sqref="F18"/>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0" t="s">
        <v>3058</v>
      </c>
    </row>
    <row r="2" spans="1:5" ht="14.25">
      <c r="A2" s="3338" t="s">
        <v>210</v>
      </c>
      <c r="B2" s="3335" t="e">
        <f ca="1">SUMIF(B6:B13,"&lt;&gt;#ref!",B6:B13)</f>
        <v>#DIV/0!</v>
      </c>
      <c r="C2" s="3338" t="s">
        <v>2670</v>
      </c>
      <c r="D2" s="3338" t="s">
        <v>3054</v>
      </c>
      <c r="E2" s="3335" t="e">
        <f ca="1">SUM(E6:E13)</f>
        <v>#REF!</v>
      </c>
    </row>
    <row r="3" spans="1:5" ht="14.25">
      <c r="A3" s="3338" t="s">
        <v>8</v>
      </c>
      <c r="B3" s="3335" t="e">
        <f ca="1">ROUND(B2*10000/E2,0)</f>
        <v>#DIV/0!</v>
      </c>
      <c r="C3" s="3338" t="s">
        <v>2671</v>
      </c>
      <c r="D3" s="3336"/>
      <c r="E3" s="3336"/>
    </row>
    <row r="4" spans="1:5" ht="14.25">
      <c r="A4" s="3339"/>
      <c r="B4" s="3336"/>
      <c r="C4" s="3336"/>
      <c r="D4" s="3336"/>
      <c r="E4" s="3336"/>
    </row>
    <row r="5" spans="1:5" ht="28.5">
      <c r="A5" s="3340" t="s">
        <v>3057</v>
      </c>
      <c r="B5" s="3338" t="s">
        <v>3055</v>
      </c>
      <c r="C5" s="3335"/>
      <c r="D5" s="3336"/>
      <c r="E5" s="3338" t="s">
        <v>3056</v>
      </c>
    </row>
    <row r="6" spans="1:5" ht="14.25">
      <c r="A6" s="3341" t="s">
        <v>3095</v>
      </c>
      <c r="B6" s="3337" t="e">
        <f ca="1">SUMIF(INDIRECT("'"&amp;A6&amp;"'"&amp;"!A:A"),"总价",INDIRECT("'"&amp;A6&amp;"'"&amp;"!B:B"))</f>
        <v>#DIV/0!</v>
      </c>
      <c r="C6" s="3338" t="s">
        <v>2670</v>
      </c>
      <c r="D6" s="3336"/>
      <c r="E6" s="2786">
        <f ca="1">SUMIF(INDIRECT("'"&amp;A6&amp;"'"&amp;"!C:C"),"建筑面积",INDIRECT("'"&amp;A6&amp;"'"&amp;"!D:D"))</f>
        <v>2099.0100000000002</v>
      </c>
    </row>
    <row r="7" spans="1:5" ht="14.25">
      <c r="A7" s="3341" t="s">
        <v>3097</v>
      </c>
      <c r="B7" s="3337" t="e">
        <f ca="1">SUMIF(INDIRECT("'"&amp;A7&amp;"'"&amp;"!A:A"),"总价",INDIRECT("'"&amp;A7&amp;"'"&amp;"!B:B"))</f>
        <v>#DIV/0!</v>
      </c>
      <c r="C7" s="3338" t="s">
        <v>2670</v>
      </c>
      <c r="D7" s="3336"/>
      <c r="E7" s="2786">
        <f t="shared" ref="E7:E13" ca="1" si="0">SUMIF(INDIRECT("'"&amp;A7&amp;"'"&amp;"!C:C"),"建筑面积",INDIRECT("'"&amp;A7&amp;"'"&amp;"!D:D"))</f>
        <v>0</v>
      </c>
    </row>
    <row r="8" spans="1:5" ht="14.25">
      <c r="A8" s="3341"/>
      <c r="B8" s="3337" t="e">
        <f t="shared" ref="B8:B13" ca="1" si="1">SUMIF(INDIRECT("'"&amp;A8&amp;"'"&amp;"!A:A"),"总价",INDIRECT("'"&amp;A8&amp;"'"&amp;"!B:B"))</f>
        <v>#REF!</v>
      </c>
      <c r="C8" s="3338" t="s">
        <v>2670</v>
      </c>
      <c r="D8" s="3336"/>
      <c r="E8" s="2786" t="e">
        <f t="shared" ca="1" si="0"/>
        <v>#REF!</v>
      </c>
    </row>
    <row r="9" spans="1:5" ht="14.25">
      <c r="A9" s="3341"/>
      <c r="B9" s="3337" t="e">
        <f t="shared" ca="1" si="1"/>
        <v>#REF!</v>
      </c>
      <c r="C9" s="3338" t="s">
        <v>2670</v>
      </c>
      <c r="D9" s="3336"/>
      <c r="E9" s="2786" t="e">
        <f t="shared" ca="1" si="0"/>
        <v>#REF!</v>
      </c>
    </row>
    <row r="10" spans="1:5" ht="14.25">
      <c r="A10" s="3341"/>
      <c r="B10" s="3337" t="e">
        <f t="shared" ca="1" si="1"/>
        <v>#REF!</v>
      </c>
      <c r="C10" s="3338" t="s">
        <v>2670</v>
      </c>
      <c r="D10" s="3336"/>
      <c r="E10" s="2786" t="e">
        <f t="shared" ca="1" si="0"/>
        <v>#REF!</v>
      </c>
    </row>
    <row r="11" spans="1:5" ht="14.25">
      <c r="A11" s="3341"/>
      <c r="B11" s="3337" t="e">
        <f t="shared" ca="1" si="1"/>
        <v>#REF!</v>
      </c>
      <c r="C11" s="3338" t="s">
        <v>2670</v>
      </c>
      <c r="D11" s="3336"/>
      <c r="E11" s="2786" t="e">
        <f t="shared" ca="1" si="0"/>
        <v>#REF!</v>
      </c>
    </row>
    <row r="12" spans="1:5" ht="14.25">
      <c r="A12" s="3341"/>
      <c r="B12" s="3337" t="e">
        <f t="shared" ca="1" si="1"/>
        <v>#REF!</v>
      </c>
      <c r="C12" s="3338" t="s">
        <v>2670</v>
      </c>
      <c r="D12" s="3336"/>
      <c r="E12" s="2786" t="e">
        <f t="shared" ca="1" si="0"/>
        <v>#REF!</v>
      </c>
    </row>
    <row r="13" spans="1:5" ht="14.25">
      <c r="A13" s="3341"/>
      <c r="B13" s="3337" t="e">
        <f t="shared" ca="1" si="1"/>
        <v>#REF!</v>
      </c>
      <c r="C13" s="3338" t="s">
        <v>2670</v>
      </c>
      <c r="D13" s="3336"/>
      <c r="E13" s="278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6" customFormat="1">
      <c r="B1" s="3756" t="s">
        <v>2712</v>
      </c>
      <c r="C1" s="3756"/>
      <c r="D1" s="3756"/>
      <c r="E1" s="3756"/>
      <c r="F1" s="3756"/>
      <c r="G1" s="3752" t="s">
        <v>2713</v>
      </c>
      <c r="H1" s="3752"/>
      <c r="I1" s="3752"/>
      <c r="J1" s="3752"/>
      <c r="K1" s="3752"/>
      <c r="L1" s="3752"/>
      <c r="N1" s="3752" t="s">
        <v>2714</v>
      </c>
      <c r="O1" s="3752"/>
      <c r="P1" s="3752"/>
      <c r="Q1" s="3752"/>
      <c r="R1" s="2897"/>
      <c r="S1" s="3752" t="s">
        <v>2715</v>
      </c>
      <c r="T1" s="3752"/>
      <c r="U1" s="3752"/>
      <c r="V1" s="3752"/>
      <c r="X1" s="3751" t="s">
        <v>2716</v>
      </c>
      <c r="Y1" s="3752"/>
      <c r="Z1" s="3752"/>
      <c r="AA1" s="3752"/>
      <c r="AB1" s="3752"/>
      <c r="AD1" s="3751" t="s">
        <v>2717</v>
      </c>
      <c r="AE1" s="3752"/>
      <c r="AF1" s="3752"/>
      <c r="AG1" s="3752"/>
      <c r="AH1" s="3752"/>
    </row>
    <row r="2" spans="1:34" s="2898" customFormat="1" ht="14.25" thickBot="1">
      <c r="B2" s="2899" t="s">
        <v>2718</v>
      </c>
      <c r="C2" s="2899" t="s">
        <v>2719</v>
      </c>
      <c r="D2" s="2900" t="s">
        <v>2720</v>
      </c>
      <c r="E2" s="2900" t="s">
        <v>2721</v>
      </c>
      <c r="F2" s="2899" t="s">
        <v>2722</v>
      </c>
      <c r="G2" s="2901"/>
      <c r="H2" s="2902"/>
      <c r="I2" s="2899" t="s">
        <v>2718</v>
      </c>
      <c r="J2" s="2900" t="s">
        <v>3059</v>
      </c>
      <c r="K2" s="2900" t="s">
        <v>1843</v>
      </c>
      <c r="L2" s="2899" t="s">
        <v>2722</v>
      </c>
      <c r="N2" s="2899" t="s">
        <v>2718</v>
      </c>
      <c r="O2" s="2900" t="s">
        <v>3059</v>
      </c>
      <c r="P2" s="2900" t="s">
        <v>1843</v>
      </c>
      <c r="Q2" s="2899" t="s">
        <v>2722</v>
      </c>
      <c r="R2" s="2903"/>
      <c r="S2" s="2899" t="s">
        <v>2718</v>
      </c>
      <c r="T2" s="2900" t="s">
        <v>3059</v>
      </c>
      <c r="U2" s="2900" t="s">
        <v>1843</v>
      </c>
      <c r="V2" s="2899" t="s">
        <v>2722</v>
      </c>
      <c r="X2" s="2899" t="s">
        <v>2718</v>
      </c>
      <c r="Y2" s="2899" t="s">
        <v>2719</v>
      </c>
      <c r="Z2" s="2900" t="s">
        <v>2720</v>
      </c>
      <c r="AA2" s="2900" t="s">
        <v>2721</v>
      </c>
      <c r="AB2" s="2899" t="s">
        <v>2722</v>
      </c>
      <c r="AD2" s="2899" t="s">
        <v>2718</v>
      </c>
      <c r="AE2" s="2899" t="s">
        <v>2719</v>
      </c>
      <c r="AF2" s="2900" t="s">
        <v>2720</v>
      </c>
      <c r="AG2" s="2900" t="s">
        <v>2721</v>
      </c>
      <c r="AH2" s="2899" t="s">
        <v>2722</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1.3963000000000001</v>
      </c>
      <c r="Y3" s="2910">
        <f>ROUND(SUMPRODUCT(PRODUCT(1+O3:O$18)),4)</f>
        <v>1.2401</v>
      </c>
      <c r="Z3" s="2910">
        <f t="shared" ref="Z3:Z16" si="0">Y3</f>
        <v>1.2401</v>
      </c>
      <c r="AA3" s="2910">
        <f>ROUND(SUMPRODUCT(PRODUCT(1+P3:P$18)),4)</f>
        <v>1.4508000000000001</v>
      </c>
      <c r="AB3" s="2910">
        <f>ROUND(SUMPRODUCT(PRODUCT(1+Q3:Q$18)),4)</f>
        <v>1.2094</v>
      </c>
      <c r="AD3" s="2911">
        <f>ROUND(AVERAGE(I3:I$19)/100,4)</f>
        <v>2.46E-2</v>
      </c>
      <c r="AE3" s="2911">
        <f>ROUND(AVERAGE(J3:J$19)/100,4)</f>
        <v>1.6E-2</v>
      </c>
      <c r="AF3" s="2911">
        <f t="shared" ref="AF3:AF17" si="1">AE3</f>
        <v>1.6E-2</v>
      </c>
      <c r="AG3" s="2911">
        <f>ROUND(AVERAGE(K3:K$19)/100,4)</f>
        <v>2.75E-2</v>
      </c>
      <c r="AH3" s="2911">
        <f>ROUND(AVERAGE(L3:L$19)/100,4)</f>
        <v>1.37E-2</v>
      </c>
    </row>
    <row r="4" spans="1:34" s="2896" customFormat="1">
      <c r="A4" s="2912" t="s">
        <v>2723</v>
      </c>
      <c r="B4" s="2913"/>
      <c r="C4" s="2913"/>
      <c r="D4" s="2913"/>
      <c r="E4" s="2913"/>
      <c r="F4" s="2913"/>
      <c r="G4" s="3757">
        <v>2017</v>
      </c>
      <c r="H4" s="2914">
        <v>4</v>
      </c>
      <c r="I4" s="2914"/>
      <c r="J4" s="2914"/>
      <c r="K4" s="2914"/>
      <c r="L4" s="2915"/>
      <c r="N4" s="2916"/>
      <c r="O4" s="2897"/>
      <c r="P4" s="2897"/>
      <c r="Q4" s="2897"/>
      <c r="R4" s="2897"/>
      <c r="S4" s="2916"/>
      <c r="T4" s="2897"/>
      <c r="U4" s="2897"/>
      <c r="V4" s="2897"/>
      <c r="X4" s="2910">
        <f>ROUND(SUMPRODUCT(PRODUCT(1+N4:N$18)),4)</f>
        <v>1.3963000000000001</v>
      </c>
      <c r="Y4" s="2910">
        <f>ROUND(SUMPRODUCT(PRODUCT(1+O4:O$18)),4)</f>
        <v>1.2401</v>
      </c>
      <c r="Z4" s="2910">
        <f t="shared" si="0"/>
        <v>1.2401</v>
      </c>
      <c r="AA4" s="2910">
        <f>ROUND(SUMPRODUCT(PRODUCT(1+P4:P$18)),4)</f>
        <v>1.4508000000000001</v>
      </c>
      <c r="AB4" s="2910">
        <f>ROUND(SUMPRODUCT(PRODUCT(1+Q4:Q$18)),4)</f>
        <v>1.2094</v>
      </c>
      <c r="AD4" s="2911">
        <f>ROUND(AVERAGE(I4:I$19)/100,4)</f>
        <v>2.46E-2</v>
      </c>
      <c r="AE4" s="2911">
        <f>ROUND(AVERAGE(J4:J$19)/100,4)</f>
        <v>1.6E-2</v>
      </c>
      <c r="AF4" s="2911">
        <f t="shared" si="1"/>
        <v>1.6E-2</v>
      </c>
      <c r="AG4" s="2911">
        <f>ROUND(AVERAGE(K4:K$19)/100,4)</f>
        <v>2.75E-2</v>
      </c>
      <c r="AH4" s="2911">
        <f>ROUND(AVERAGE(L4:L$19)/100,4)</f>
        <v>1.37E-2</v>
      </c>
    </row>
    <row r="5" spans="1:34" s="3235" customFormat="1">
      <c r="A5" s="3233" t="s">
        <v>2724</v>
      </c>
      <c r="B5" s="3346">
        <f t="shared" ref="B5:B6" si="2">B6*(1+N5)</f>
        <v>429.62688667359998</v>
      </c>
      <c r="C5" s="3346">
        <f t="shared" ref="C5:C6" si="3">C6*(1+O5)</f>
        <v>318.97763788800006</v>
      </c>
      <c r="D5" s="3346">
        <f t="shared" ref="D5:D6" si="4">C5</f>
        <v>318.97763788800006</v>
      </c>
      <c r="E5" s="3346">
        <f t="shared" ref="E5:E6" si="5">E6*(1+P5)</f>
        <v>613.03761713879999</v>
      </c>
      <c r="F5" s="3346">
        <f t="shared" ref="F5:F6" si="6">F6*(1+Q5)</f>
        <v>278.506175276448</v>
      </c>
      <c r="G5" s="3754"/>
      <c r="H5" s="3234">
        <v>3</v>
      </c>
      <c r="I5" s="2919">
        <f>ROUND(AVERAGE(I6:I19),2)</f>
        <v>2.46</v>
      </c>
      <c r="J5" s="2919">
        <f>ROUND(AVERAGE(J6:J19),2)</f>
        <v>1.6</v>
      </c>
      <c r="K5" s="2919">
        <f>ROUND(AVERAGE(K6:K19),2)</f>
        <v>2.75</v>
      </c>
      <c r="L5" s="2919">
        <f>ROUND(AVERAGE(L6:L19),2)</f>
        <v>1.37</v>
      </c>
      <c r="N5" s="2921">
        <f>I5/100</f>
        <v>2.46E-2</v>
      </c>
      <c r="O5" s="2921">
        <f t="shared" ref="O5" si="7">J5/100</f>
        <v>1.6E-2</v>
      </c>
      <c r="P5" s="2921">
        <f t="shared" ref="P5" si="8">K5/100</f>
        <v>2.75E-2</v>
      </c>
      <c r="Q5" s="2921">
        <f t="shared" ref="Q5" si="9">L5/100</f>
        <v>1.37E-2</v>
      </c>
      <c r="R5" s="3236"/>
      <c r="S5" s="3237"/>
      <c r="T5" s="3236"/>
      <c r="U5" s="3236"/>
      <c r="V5" s="3236"/>
      <c r="W5" s="2922" t="s">
        <v>2726</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3">
        <f>ROUND(AVERAGE(I5:I$19)/100,4)</f>
        <v>2.46E-2</v>
      </c>
      <c r="AE5" s="2923">
        <f>ROUND(AVERAGE(J5:J$19)/100,4)</f>
        <v>1.6E-2</v>
      </c>
      <c r="AF5" s="2923">
        <f t="shared" si="1"/>
        <v>1.6E-2</v>
      </c>
      <c r="AG5" s="2923">
        <f>ROUND(AVERAGE(K5:K$19)/100,4)</f>
        <v>2.75E-2</v>
      </c>
      <c r="AH5" s="2923">
        <f>ROUND(AVERAGE(L5:L$19)/100,4)</f>
        <v>1.37E-2</v>
      </c>
    </row>
    <row r="6" spans="1:34" s="3235" customFormat="1">
      <c r="A6" s="2912" t="s">
        <v>3060</v>
      </c>
      <c r="B6" s="2932">
        <f t="shared" si="2"/>
        <v>419.31181600000002</v>
      </c>
      <c r="C6" s="2932">
        <f t="shared" si="3"/>
        <v>313.95436800000004</v>
      </c>
      <c r="D6" s="2932">
        <f t="shared" si="4"/>
        <v>313.95436800000004</v>
      </c>
      <c r="E6" s="2932">
        <f t="shared" si="5"/>
        <v>596.63028431999999</v>
      </c>
      <c r="F6" s="2932">
        <f t="shared" si="6"/>
        <v>274.74220703999998</v>
      </c>
      <c r="G6" s="3754"/>
      <c r="H6" s="2918">
        <v>2</v>
      </c>
      <c r="I6" s="2918">
        <v>3.4</v>
      </c>
      <c r="J6" s="2918">
        <v>2</v>
      </c>
      <c r="K6" s="2918">
        <v>3.82</v>
      </c>
      <c r="L6" s="2934">
        <v>1.68</v>
      </c>
      <c r="M6" s="2926"/>
      <c r="N6" s="2927">
        <f>I6/100</f>
        <v>3.4000000000000002E-2</v>
      </c>
      <c r="O6" s="2928">
        <f t="shared" ref="O6" si="10">J6/100</f>
        <v>0.02</v>
      </c>
      <c r="P6" s="2928">
        <f t="shared" ref="P6" si="11">K6/100</f>
        <v>3.8199999999999998E-2</v>
      </c>
      <c r="Q6" s="2928">
        <f t="shared" ref="Q6" si="12">L6/100</f>
        <v>1.6799999999999999E-2</v>
      </c>
      <c r="R6" s="2929"/>
      <c r="S6" s="2930"/>
      <c r="T6" s="2931"/>
      <c r="U6" s="2931"/>
      <c r="V6" s="2931"/>
      <c r="W6" s="2904"/>
      <c r="X6" s="3343">
        <f>ROUND(SUMPRODUCT(PRODUCT(1+N6:N$18)),4)</f>
        <v>1.3628</v>
      </c>
      <c r="Y6" s="3343">
        <f>ROUND(SUMPRODUCT(PRODUCT(1+O6:O$18)),4)</f>
        <v>1.2205999999999999</v>
      </c>
      <c r="Z6" s="3343">
        <f t="shared" si="0"/>
        <v>1.2205999999999999</v>
      </c>
      <c r="AA6" s="3343">
        <f>ROUND(SUMPRODUCT(PRODUCT(1+P6:P$18)),4)</f>
        <v>1.4118999999999999</v>
      </c>
      <c r="AB6" s="3343">
        <f>ROUND(SUMPRODUCT(PRODUCT(1+Q6:Q$18)),4)</f>
        <v>1.1930000000000001</v>
      </c>
      <c r="AC6" s="2904"/>
      <c r="AD6" s="3344">
        <f>ROUND(AVERAGE(I6:I$19)/100,4)</f>
        <v>2.46E-2</v>
      </c>
      <c r="AE6" s="3344">
        <f>ROUND(AVERAGE(J6:J$19)/100,4)</f>
        <v>1.6E-2</v>
      </c>
      <c r="AF6" s="3344">
        <f t="shared" si="1"/>
        <v>1.6E-2</v>
      </c>
      <c r="AG6" s="3344">
        <f>ROUND(AVERAGE(K6:K$19)/100,4)</f>
        <v>2.75E-2</v>
      </c>
      <c r="AH6" s="3344">
        <f>ROUND(AVERAGE(L6:L$19)/100,4)</f>
        <v>1.37E-2</v>
      </c>
    </row>
    <row r="7" spans="1:34" s="2920" customFormat="1" ht="13.5" thickBot="1">
      <c r="A7" s="2912" t="s">
        <v>2725</v>
      </c>
      <c r="B7" s="2932">
        <f>B8*(1+N7)</f>
        <v>405.524</v>
      </c>
      <c r="C7" s="2932">
        <f>C8*(1+O7)</f>
        <v>307.79840000000002</v>
      </c>
      <c r="D7" s="2932">
        <f>C7</f>
        <v>307.79840000000002</v>
      </c>
      <c r="E7" s="2932">
        <f>E8*(1+P7)</f>
        <v>574.67759999999998</v>
      </c>
      <c r="F7" s="2932">
        <f>F8*(1+Q7)</f>
        <v>270.20280000000002</v>
      </c>
      <c r="G7" s="3755"/>
      <c r="H7" s="2917">
        <v>1</v>
      </c>
      <c r="I7" s="2917">
        <v>3.45</v>
      </c>
      <c r="J7" s="2917">
        <v>1.92</v>
      </c>
      <c r="K7" s="2917">
        <v>3.92</v>
      </c>
      <c r="L7" s="2933">
        <v>1.58</v>
      </c>
      <c r="M7" s="2926"/>
      <c r="N7" s="2927">
        <f>I7/100</f>
        <v>3.4500000000000003E-2</v>
      </c>
      <c r="O7" s="2928">
        <f t="shared" ref="O7:Q22" si="13">J7/100</f>
        <v>1.9199999999999998E-2</v>
      </c>
      <c r="P7" s="2928">
        <f t="shared" si="13"/>
        <v>3.9199999999999999E-2</v>
      </c>
      <c r="Q7" s="2928">
        <f t="shared" si="13"/>
        <v>1.5800000000000002E-2</v>
      </c>
      <c r="R7" s="2929"/>
      <c r="S7" s="2927">
        <f>B7/B8-1</f>
        <v>3.4499999999999975E-2</v>
      </c>
      <c r="T7" s="2928">
        <f t="shared" ref="T7:V7" si="14">C7/C8-1</f>
        <v>1.9200000000000106E-2</v>
      </c>
      <c r="U7" s="2928">
        <f t="shared" si="14"/>
        <v>1.9200000000000106E-2</v>
      </c>
      <c r="V7" s="2928">
        <f t="shared" si="14"/>
        <v>3.9199999999999902E-2</v>
      </c>
      <c r="W7" s="3345"/>
      <c r="X7" s="3343">
        <f>ROUND(SUMPRODUCT(PRODUCT(1+N7:N$18)),4)</f>
        <v>1.3180000000000001</v>
      </c>
      <c r="Y7" s="3343">
        <f>ROUND(SUMPRODUCT(PRODUCT(1+O7:O$18)),4)</f>
        <v>1.1966000000000001</v>
      </c>
      <c r="Z7" s="3343">
        <f t="shared" si="0"/>
        <v>1.1966000000000001</v>
      </c>
      <c r="AA7" s="3343">
        <f>ROUND(SUMPRODUCT(PRODUCT(1+P7:P$18)),4)</f>
        <v>1.36</v>
      </c>
      <c r="AB7" s="3343">
        <f>ROUND(SUMPRODUCT(PRODUCT(1+Q7:Q$18)),4)</f>
        <v>1.1733</v>
      </c>
      <c r="AC7" s="3345"/>
      <c r="AD7" s="3344">
        <f>ROUND(AVERAGE(I7:I$19)/100,4)</f>
        <v>2.3900000000000001E-2</v>
      </c>
      <c r="AE7" s="3344">
        <f>ROUND(AVERAGE(J7:J$19)/100,4)</f>
        <v>1.5699999999999999E-2</v>
      </c>
      <c r="AF7" s="3344">
        <f t="shared" si="1"/>
        <v>1.5699999999999999E-2</v>
      </c>
      <c r="AG7" s="3344">
        <f>ROUND(AVERAGE(K7:K$19)/100,4)</f>
        <v>2.6599999999999999E-2</v>
      </c>
      <c r="AH7" s="3344">
        <f>ROUND(AVERAGE(L7:L$19)/100,4)</f>
        <v>1.34E-2</v>
      </c>
    </row>
    <row r="8" spans="1:34">
      <c r="A8" s="2912" t="s">
        <v>1158</v>
      </c>
      <c r="B8" s="2924">
        <v>392</v>
      </c>
      <c r="C8" s="2924">
        <v>302</v>
      </c>
      <c r="D8" s="2924">
        <f>C8</f>
        <v>302</v>
      </c>
      <c r="E8" s="2924">
        <v>553</v>
      </c>
      <c r="F8" s="2925">
        <v>266</v>
      </c>
      <c r="G8" s="3757">
        <v>2016</v>
      </c>
      <c r="H8" s="2914">
        <v>4</v>
      </c>
      <c r="I8" s="2914">
        <v>4.5599999999999996</v>
      </c>
      <c r="J8" s="2914">
        <v>2.15</v>
      </c>
      <c r="K8" s="2914">
        <v>5.32</v>
      </c>
      <c r="L8" s="2915">
        <v>1.57</v>
      </c>
      <c r="N8" s="2927">
        <f>I8/100</f>
        <v>4.5599999999999995E-2</v>
      </c>
      <c r="O8" s="2928">
        <f t="shared" si="13"/>
        <v>2.1499999999999998E-2</v>
      </c>
      <c r="P8" s="2928">
        <f t="shared" si="13"/>
        <v>5.3200000000000004E-2</v>
      </c>
      <c r="Q8" s="2928">
        <f t="shared" si="13"/>
        <v>1.5700000000000002E-2</v>
      </c>
      <c r="R8" s="2929"/>
      <c r="S8" s="2930"/>
      <c r="T8" s="2931"/>
      <c r="U8" s="2931"/>
      <c r="V8" s="2931"/>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1157</v>
      </c>
      <c r="B9" s="2932">
        <f t="shared" ref="B9:C11" si="15">B8/(1+N8)</f>
        <v>374.90436113236416</v>
      </c>
      <c r="C9" s="2932">
        <f t="shared" si="15"/>
        <v>295.64366128242779</v>
      </c>
      <c r="D9" s="2932">
        <f t="shared" ref="D9:D68" si="16">C9</f>
        <v>295.64366128242779</v>
      </c>
      <c r="E9" s="2932">
        <f t="shared" ref="E9:F11" si="17">E8/(1+P8)</f>
        <v>525.06646410938095</v>
      </c>
      <c r="F9" s="2932">
        <f t="shared" si="17"/>
        <v>261.88835286009646</v>
      </c>
      <c r="G9" s="3754"/>
      <c r="H9" s="2917">
        <v>3</v>
      </c>
      <c r="I9" s="2917">
        <v>4.12</v>
      </c>
      <c r="J9" s="2917">
        <v>2</v>
      </c>
      <c r="K9" s="2917">
        <v>4.79</v>
      </c>
      <c r="L9" s="2933">
        <v>1.97</v>
      </c>
      <c r="N9" s="2927">
        <f t="shared" ref="N9:Q43" si="18">I9/100</f>
        <v>4.1200000000000001E-2</v>
      </c>
      <c r="O9" s="2928">
        <f t="shared" si="13"/>
        <v>0.02</v>
      </c>
      <c r="P9" s="2928">
        <f t="shared" si="13"/>
        <v>4.7899999999999998E-2</v>
      </c>
      <c r="Q9" s="2928">
        <f t="shared" si="13"/>
        <v>1.9699999999999999E-2</v>
      </c>
      <c r="R9" s="2929"/>
      <c r="S9" s="2927"/>
      <c r="T9" s="2928"/>
      <c r="U9" s="2928"/>
      <c r="V9" s="2928"/>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1147</v>
      </c>
      <c r="B10" s="2932">
        <f t="shared" si="15"/>
        <v>360.06949782209392</v>
      </c>
      <c r="C10" s="2932">
        <f t="shared" si="15"/>
        <v>289.84672674747821</v>
      </c>
      <c r="D10" s="2932">
        <f t="shared" si="16"/>
        <v>289.84672674747821</v>
      </c>
      <c r="E10" s="2932">
        <f t="shared" si="17"/>
        <v>501.06543001181495</v>
      </c>
      <c r="F10" s="2932">
        <f t="shared" si="17"/>
        <v>256.82882500744967</v>
      </c>
      <c r="G10" s="3754"/>
      <c r="H10" s="2918">
        <v>2</v>
      </c>
      <c r="I10" s="2918">
        <v>3.85</v>
      </c>
      <c r="J10" s="2918">
        <v>1.95</v>
      </c>
      <c r="K10" s="2918">
        <v>4.4800000000000004</v>
      </c>
      <c r="L10" s="2934">
        <v>1.41</v>
      </c>
      <c r="N10" s="2927">
        <f t="shared" si="18"/>
        <v>3.85E-2</v>
      </c>
      <c r="O10" s="2928">
        <f t="shared" si="13"/>
        <v>1.95E-2</v>
      </c>
      <c r="P10" s="2928">
        <f t="shared" si="13"/>
        <v>4.4800000000000006E-2</v>
      </c>
      <c r="Q10" s="2928">
        <f t="shared" si="13"/>
        <v>1.41E-2</v>
      </c>
      <c r="R10" s="2929"/>
      <c r="S10" s="2927"/>
      <c r="T10" s="2928"/>
      <c r="U10" s="2928"/>
      <c r="V10" s="2928"/>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1156</v>
      </c>
      <c r="B11" s="2932">
        <f t="shared" si="15"/>
        <v>346.720748986128</v>
      </c>
      <c r="C11" s="2932">
        <f t="shared" si="15"/>
        <v>284.30282172386285</v>
      </c>
      <c r="D11" s="2932">
        <f t="shared" si="16"/>
        <v>284.30282172386285</v>
      </c>
      <c r="E11" s="2932">
        <f t="shared" si="17"/>
        <v>479.58023546306947</v>
      </c>
      <c r="F11" s="2932">
        <f t="shared" si="17"/>
        <v>253.25788877571213</v>
      </c>
      <c r="G11" s="3755"/>
      <c r="H11" s="2917">
        <v>1</v>
      </c>
      <c r="I11" s="2917">
        <v>4.09</v>
      </c>
      <c r="J11" s="2917">
        <v>2.93</v>
      </c>
      <c r="K11" s="2917">
        <v>4.54</v>
      </c>
      <c r="L11" s="2933">
        <v>1.48</v>
      </c>
      <c r="N11" s="2927">
        <f t="shared" si="18"/>
        <v>4.0899999999999999E-2</v>
      </c>
      <c r="O11" s="2928">
        <f t="shared" si="13"/>
        <v>2.9300000000000003E-2</v>
      </c>
      <c r="P11" s="2928">
        <f t="shared" si="13"/>
        <v>4.5400000000000003E-2</v>
      </c>
      <c r="Q11" s="2928">
        <f t="shared" si="13"/>
        <v>1.4800000000000001E-2</v>
      </c>
      <c r="R11" s="2929"/>
      <c r="S11" s="2935">
        <f>B11/B12-1</f>
        <v>4.1203450408792808E-2</v>
      </c>
      <c r="T11" s="2936">
        <f>C11/C12-1</f>
        <v>2.6363977342465095E-2</v>
      </c>
      <c r="U11" s="2936">
        <f>E11/E12-1</f>
        <v>4.4837114298626357E-2</v>
      </c>
      <c r="V11" s="2936">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1155</v>
      </c>
      <c r="B12" s="2924">
        <v>333</v>
      </c>
      <c r="C12" s="2924">
        <v>277</v>
      </c>
      <c r="D12" s="2924">
        <f t="shared" si="16"/>
        <v>277</v>
      </c>
      <c r="E12" s="2924">
        <v>459</v>
      </c>
      <c r="F12" s="2925">
        <v>249</v>
      </c>
      <c r="G12" s="3753">
        <v>2015</v>
      </c>
      <c r="H12" s="2937">
        <v>4</v>
      </c>
      <c r="I12" s="2937">
        <v>1.63</v>
      </c>
      <c r="J12" s="2937">
        <v>1.1100000000000001</v>
      </c>
      <c r="K12" s="2937">
        <v>1.77</v>
      </c>
      <c r="L12" s="2938">
        <v>1.89</v>
      </c>
      <c r="N12" s="2939">
        <f t="shared" si="18"/>
        <v>1.6299999999999999E-2</v>
      </c>
      <c r="O12" s="2940">
        <f t="shared" si="13"/>
        <v>1.11E-2</v>
      </c>
      <c r="P12" s="2940">
        <f t="shared" si="13"/>
        <v>1.77E-2</v>
      </c>
      <c r="Q12" s="2940">
        <f t="shared" si="13"/>
        <v>1.89E-2</v>
      </c>
      <c r="R12" s="2929"/>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1154</v>
      </c>
      <c r="B13" s="2932">
        <f t="shared" ref="B13:C15" si="19">B12/(1+N12)</f>
        <v>327.65915576109415</v>
      </c>
      <c r="C13" s="2932">
        <f t="shared" si="19"/>
        <v>273.95905449510434</v>
      </c>
      <c r="D13" s="2932">
        <f t="shared" si="16"/>
        <v>273.95905449510434</v>
      </c>
      <c r="E13" s="2932">
        <f t="shared" ref="E13:F15" si="20">E12/(1+P12)</f>
        <v>451.01699911565294</v>
      </c>
      <c r="F13" s="2932">
        <f t="shared" si="20"/>
        <v>244.38119540681129</v>
      </c>
      <c r="G13" s="3754"/>
      <c r="H13" s="2942">
        <v>3</v>
      </c>
      <c r="I13" s="2942">
        <v>1.65</v>
      </c>
      <c r="J13" s="2942">
        <v>0.92</v>
      </c>
      <c r="K13" s="2942">
        <v>1.88</v>
      </c>
      <c r="L13" s="2943">
        <v>1.26</v>
      </c>
      <c r="N13" s="2927">
        <f t="shared" si="18"/>
        <v>1.6500000000000001E-2</v>
      </c>
      <c r="O13" s="2944">
        <f t="shared" si="13"/>
        <v>9.1999999999999998E-3</v>
      </c>
      <c r="P13" s="2944">
        <f t="shared" si="13"/>
        <v>1.8799999999999997E-2</v>
      </c>
      <c r="Q13" s="2944">
        <f t="shared" si="13"/>
        <v>1.26E-2</v>
      </c>
      <c r="R13" s="2929"/>
      <c r="S13" s="2927"/>
      <c r="T13" s="2928"/>
      <c r="U13" s="2928"/>
      <c r="V13" s="2928"/>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1153</v>
      </c>
      <c r="B14" s="2932">
        <f t="shared" si="19"/>
        <v>322.34053690220776</v>
      </c>
      <c r="C14" s="2932">
        <f t="shared" si="19"/>
        <v>271.46160770422546</v>
      </c>
      <c r="D14" s="2932">
        <f t="shared" si="16"/>
        <v>271.46160770422546</v>
      </c>
      <c r="E14" s="2932">
        <f t="shared" si="20"/>
        <v>442.69434542172456</v>
      </c>
      <c r="F14" s="2932">
        <f t="shared" si="20"/>
        <v>241.34030753190925</v>
      </c>
      <c r="G14" s="3754"/>
      <c r="H14" s="2918">
        <v>2</v>
      </c>
      <c r="I14" s="2918">
        <v>0.77</v>
      </c>
      <c r="J14" s="2918">
        <v>0.69</v>
      </c>
      <c r="K14" s="2918">
        <v>0.8</v>
      </c>
      <c r="L14" s="2934">
        <v>0.88</v>
      </c>
      <c r="N14" s="2927">
        <f t="shared" si="18"/>
        <v>7.7000000000000002E-3</v>
      </c>
      <c r="O14" s="2944">
        <f t="shared" si="13"/>
        <v>6.8999999999999999E-3</v>
      </c>
      <c r="P14" s="2944">
        <f t="shared" si="13"/>
        <v>8.0000000000000002E-3</v>
      </c>
      <c r="Q14" s="2944">
        <f t="shared" si="13"/>
        <v>8.8000000000000005E-3</v>
      </c>
      <c r="R14" s="2929"/>
      <c r="S14" s="2927"/>
      <c r="T14" s="2928"/>
      <c r="U14" s="2928"/>
      <c r="V14" s="2928"/>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1152</v>
      </c>
      <c r="B15" s="2932">
        <f t="shared" si="19"/>
        <v>319.87748030386797</v>
      </c>
      <c r="C15" s="2932">
        <f t="shared" si="19"/>
        <v>269.60135833173649</v>
      </c>
      <c r="D15" s="2932">
        <f t="shared" si="16"/>
        <v>269.60135833173649</v>
      </c>
      <c r="E15" s="2932">
        <f t="shared" si="20"/>
        <v>439.18089823583784</v>
      </c>
      <c r="F15" s="2932">
        <f t="shared" si="20"/>
        <v>239.23503918706311</v>
      </c>
      <c r="G15" s="3755"/>
      <c r="H15" s="2917">
        <v>1</v>
      </c>
      <c r="I15" s="2917">
        <v>0.51</v>
      </c>
      <c r="J15" s="2917">
        <v>0.54</v>
      </c>
      <c r="K15" s="2917">
        <v>0.48</v>
      </c>
      <c r="L15" s="2933">
        <v>0.93</v>
      </c>
      <c r="N15" s="2935">
        <f t="shared" si="18"/>
        <v>5.1000000000000004E-3</v>
      </c>
      <c r="O15" s="2936">
        <f t="shared" si="13"/>
        <v>5.4000000000000003E-3</v>
      </c>
      <c r="P15" s="2936">
        <f t="shared" si="13"/>
        <v>4.7999999999999996E-3</v>
      </c>
      <c r="Q15" s="2936">
        <f t="shared" si="13"/>
        <v>9.300000000000001E-3</v>
      </c>
      <c r="R15" s="2929"/>
      <c r="S15" s="2935">
        <f>B15/B16-1</f>
        <v>5.9040261127922822E-3</v>
      </c>
      <c r="T15" s="2936">
        <f>C15/C16-1</f>
        <v>5.9752176557332781E-3</v>
      </c>
      <c r="U15" s="2936">
        <f>E15/E16-1</f>
        <v>4.9906138119859556E-3</v>
      </c>
      <c r="V15" s="2936">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1151</v>
      </c>
      <c r="B16" s="2945">
        <v>318</v>
      </c>
      <c r="C16" s="2945">
        <v>268</v>
      </c>
      <c r="D16" s="2945">
        <f t="shared" si="16"/>
        <v>268</v>
      </c>
      <c r="E16" s="2945">
        <v>437</v>
      </c>
      <c r="F16" s="2946">
        <v>237</v>
      </c>
      <c r="G16" s="3753">
        <v>2014</v>
      </c>
      <c r="H16" s="2937">
        <v>4</v>
      </c>
      <c r="I16" s="2937">
        <v>0.21</v>
      </c>
      <c r="J16" s="2937">
        <v>0.41</v>
      </c>
      <c r="K16" s="2937">
        <v>0.12</v>
      </c>
      <c r="L16" s="2938">
        <v>0.89</v>
      </c>
      <c r="N16" s="2927">
        <f t="shared" si="18"/>
        <v>2.0999999999999999E-3</v>
      </c>
      <c r="O16" s="2928">
        <f t="shared" si="13"/>
        <v>4.0999999999999995E-3</v>
      </c>
      <c r="P16" s="2928">
        <f t="shared" si="13"/>
        <v>1.1999999999999999E-3</v>
      </c>
      <c r="Q16" s="2928">
        <f t="shared" si="13"/>
        <v>8.8999999999999999E-3</v>
      </c>
      <c r="R16" s="2929"/>
      <c r="S16" s="2930"/>
      <c r="T16" s="2931"/>
      <c r="U16" s="2931"/>
      <c r="V16" s="2931"/>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1150</v>
      </c>
      <c r="B17" s="2932">
        <f t="shared" ref="B17:C19" si="21">B16/(1+N16)</f>
        <v>317.33359944117353</v>
      </c>
      <c r="C17" s="2932">
        <f t="shared" si="21"/>
        <v>266.90568668459315</v>
      </c>
      <c r="D17" s="2932">
        <f t="shared" si="16"/>
        <v>266.90568668459315</v>
      </c>
      <c r="E17" s="2932">
        <f t="shared" ref="E17:F19" si="22">E16/(1+P16)</f>
        <v>436.47622852576905</v>
      </c>
      <c r="F17" s="2932">
        <f t="shared" si="22"/>
        <v>234.90930716622066</v>
      </c>
      <c r="G17" s="3754"/>
      <c r="H17" s="2947">
        <v>3</v>
      </c>
      <c r="I17" s="2947">
        <v>0.83</v>
      </c>
      <c r="J17" s="2947">
        <v>1.47</v>
      </c>
      <c r="K17" s="2947">
        <v>0.65</v>
      </c>
      <c r="L17" s="2948">
        <v>0.72</v>
      </c>
      <c r="N17" s="2927">
        <f t="shared" si="18"/>
        <v>8.3000000000000001E-3</v>
      </c>
      <c r="O17" s="2928">
        <f t="shared" si="13"/>
        <v>1.47E-2</v>
      </c>
      <c r="P17" s="2928">
        <f t="shared" si="13"/>
        <v>6.5000000000000006E-3</v>
      </c>
      <c r="Q17" s="2928">
        <f t="shared" si="13"/>
        <v>7.1999999999999998E-3</v>
      </c>
      <c r="R17" s="2929"/>
      <c r="S17" s="2927"/>
      <c r="T17" s="2928"/>
      <c r="U17" s="2928"/>
      <c r="V17" s="2928"/>
      <c r="X17" s="2910">
        <f>ROUND(SUMPRODUCT(PRODUCT(1+N17:N$18)),4)</f>
        <v>1.0325</v>
      </c>
      <c r="Y17" s="2910">
        <f>ROUND(SUMPRODUCT(PRODUCT(1+O17:O$18)),4)</f>
        <v>1.0353000000000001</v>
      </c>
      <c r="Z17" s="2910">
        <f t="shared" ref="Z17:Z18" si="23">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1149</v>
      </c>
      <c r="B18" s="2932">
        <f t="shared" si="21"/>
        <v>314.72141172386546</v>
      </c>
      <c r="C18" s="2932">
        <f t="shared" si="21"/>
        <v>263.03901319069001</v>
      </c>
      <c r="D18" s="2932">
        <f t="shared" si="16"/>
        <v>263.03901319069001</v>
      </c>
      <c r="E18" s="2932">
        <f t="shared" si="22"/>
        <v>433.65745506782821</v>
      </c>
      <c r="F18" s="2932">
        <f t="shared" si="22"/>
        <v>233.23005080045735</v>
      </c>
      <c r="G18" s="3754"/>
      <c r="H18" s="2937">
        <v>2</v>
      </c>
      <c r="I18" s="2937">
        <v>2.4</v>
      </c>
      <c r="J18" s="2937">
        <v>2.0299999999999998</v>
      </c>
      <c r="K18" s="2937">
        <v>2.59</v>
      </c>
      <c r="L18" s="2938">
        <v>1.52</v>
      </c>
      <c r="N18" s="2927">
        <f t="shared" si="18"/>
        <v>2.4E-2</v>
      </c>
      <c r="O18" s="2928">
        <f t="shared" si="13"/>
        <v>2.0299999999999999E-2</v>
      </c>
      <c r="P18" s="2928">
        <f t="shared" si="13"/>
        <v>2.5899999999999999E-2</v>
      </c>
      <c r="Q18" s="2928">
        <f t="shared" si="13"/>
        <v>1.52E-2</v>
      </c>
      <c r="R18" s="2929"/>
      <c r="S18" s="2927"/>
      <c r="T18" s="2928"/>
      <c r="U18" s="2928"/>
      <c r="V18" s="2928"/>
      <c r="X18" s="2910">
        <f>1+N18</f>
        <v>1.024</v>
      </c>
      <c r="Y18" s="2910">
        <f>1+O18</f>
        <v>1.0203</v>
      </c>
      <c r="Z18" s="2910">
        <f t="shared" si="23"/>
        <v>1.0203</v>
      </c>
      <c r="AA18" s="2910">
        <f>1+P18</f>
        <v>1.0259</v>
      </c>
      <c r="AB18" s="2910">
        <f>1+Q18</f>
        <v>1.0152000000000001</v>
      </c>
      <c r="AD18" s="2911">
        <f>ROUND(AVERAGE(I18:I$19)/100,4)</f>
        <v>2.69E-2</v>
      </c>
      <c r="AE18" s="2911">
        <f>ROUND(AVERAGE(J18:J$19)/100,4)</f>
        <v>2.1899999999999999E-2</v>
      </c>
      <c r="AF18" s="2911">
        <f t="shared" ref="AF18" si="24">AE18</f>
        <v>2.1899999999999999E-2</v>
      </c>
      <c r="AG18" s="2911">
        <f>ROUND(AVERAGE(K18:K$19)/100,4)</f>
        <v>2.9399999999999999E-2</v>
      </c>
      <c r="AH18" s="2911">
        <f>ROUND(AVERAGE(L18:L$19)/100,4)</f>
        <v>1.44E-2</v>
      </c>
    </row>
    <row r="19" spans="1:34" s="2953" customFormat="1" ht="13.5" thickBot="1">
      <c r="A19" s="2949" t="s">
        <v>1148</v>
      </c>
      <c r="B19" s="2950">
        <f t="shared" si="21"/>
        <v>307.34512863658733</v>
      </c>
      <c r="C19" s="2950">
        <f t="shared" si="21"/>
        <v>257.80556031626975</v>
      </c>
      <c r="D19" s="2950">
        <f t="shared" si="16"/>
        <v>257.80556031626975</v>
      </c>
      <c r="E19" s="2950">
        <f t="shared" si="22"/>
        <v>422.70928459677179</v>
      </c>
      <c r="F19" s="2950">
        <f t="shared" si="22"/>
        <v>229.73803270336617</v>
      </c>
      <c r="G19" s="3755"/>
      <c r="H19" s="2951">
        <v>1</v>
      </c>
      <c r="I19" s="2951">
        <v>2.97</v>
      </c>
      <c r="J19" s="2951">
        <v>2.34</v>
      </c>
      <c r="K19" s="2951">
        <v>3.28</v>
      </c>
      <c r="L19" s="2952">
        <v>1.36</v>
      </c>
      <c r="N19" s="2954">
        <f t="shared" si="18"/>
        <v>2.9700000000000001E-2</v>
      </c>
      <c r="O19" s="2955">
        <f t="shared" si="13"/>
        <v>2.3399999999999997E-2</v>
      </c>
      <c r="P19" s="2955">
        <f t="shared" si="13"/>
        <v>3.2799999999999996E-2</v>
      </c>
      <c r="Q19" s="2955">
        <f t="shared" si="13"/>
        <v>1.3600000000000001E-2</v>
      </c>
      <c r="R19" s="2956"/>
      <c r="S19" s="2957">
        <f>B19/B20-1</f>
        <v>2.7910129219355539E-2</v>
      </c>
      <c r="T19" s="2958">
        <f>C19/C20-1</f>
        <v>2.3037937762975247E-2</v>
      </c>
      <c r="U19" s="2958">
        <f>E19/E20-1</f>
        <v>3.3519033243940788E-2</v>
      </c>
      <c r="V19" s="2958">
        <f>F19/F20-1</f>
        <v>1.2061818076502862E-2</v>
      </c>
      <c r="W19" s="2959" t="s">
        <v>2727</v>
      </c>
      <c r="X19" s="2960">
        <v>1</v>
      </c>
      <c r="Y19" s="2960">
        <v>1</v>
      </c>
      <c r="Z19" s="2960">
        <v>1</v>
      </c>
      <c r="AA19" s="2960">
        <v>1</v>
      </c>
      <c r="AB19" s="2960">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2" t="s">
        <v>2728</v>
      </c>
      <c r="B20" s="2924">
        <v>299</v>
      </c>
      <c r="C20" s="2924">
        <v>252</v>
      </c>
      <c r="D20" s="2924">
        <f t="shared" si="16"/>
        <v>252</v>
      </c>
      <c r="E20" s="2924">
        <v>409</v>
      </c>
      <c r="F20" s="2925">
        <v>227</v>
      </c>
      <c r="G20" s="3758">
        <v>2013</v>
      </c>
      <c r="H20" s="2961">
        <v>4</v>
      </c>
      <c r="I20" s="2961">
        <v>1.83</v>
      </c>
      <c r="J20" s="2961">
        <v>1.68</v>
      </c>
      <c r="K20" s="2961">
        <v>1.97</v>
      </c>
      <c r="L20" s="2962">
        <v>0.87</v>
      </c>
      <c r="N20" s="2939">
        <f t="shared" si="18"/>
        <v>1.83E-2</v>
      </c>
      <c r="O20" s="2940">
        <f t="shared" si="13"/>
        <v>1.6799999999999999E-2</v>
      </c>
      <c r="P20" s="2940">
        <f t="shared" si="13"/>
        <v>1.9699999999999999E-2</v>
      </c>
      <c r="Q20" s="2940">
        <f t="shared" si="13"/>
        <v>8.6999999999999994E-3</v>
      </c>
      <c r="R20" s="2929"/>
      <c r="S20" s="2930"/>
      <c r="T20" s="2931"/>
      <c r="U20" s="2931"/>
      <c r="V20" s="2931"/>
      <c r="X20" s="2931"/>
      <c r="Y20" s="2931"/>
      <c r="Z20" s="2931"/>
    </row>
    <row r="21" spans="1:34">
      <c r="A21" s="2912" t="s">
        <v>2729</v>
      </c>
      <c r="B21" s="2932">
        <f t="shared" ref="B21:C23" si="25">B20/(1+N20)</f>
        <v>293.62663262299913</v>
      </c>
      <c r="C21" s="2932">
        <f t="shared" si="25"/>
        <v>247.83634933123525</v>
      </c>
      <c r="D21" s="2932">
        <f t="shared" si="16"/>
        <v>247.83634933123525</v>
      </c>
      <c r="E21" s="2932">
        <f t="shared" ref="E21:F23" si="26">E20/(1+P20)</f>
        <v>401.09836226341076</v>
      </c>
      <c r="F21" s="2932">
        <f t="shared" si="26"/>
        <v>225.04213343908003</v>
      </c>
      <c r="G21" s="3759"/>
      <c r="H21" s="2942">
        <v>3</v>
      </c>
      <c r="I21" s="2942">
        <v>1.86</v>
      </c>
      <c r="J21" s="2942">
        <v>1.72</v>
      </c>
      <c r="K21" s="2942">
        <v>1.98</v>
      </c>
      <c r="L21" s="2943">
        <v>0.88</v>
      </c>
      <c r="N21" s="2927">
        <f t="shared" si="18"/>
        <v>1.8600000000000002E-2</v>
      </c>
      <c r="O21" s="2944">
        <f t="shared" si="13"/>
        <v>1.72E-2</v>
      </c>
      <c r="P21" s="2944">
        <f t="shared" si="13"/>
        <v>1.9799999999999998E-2</v>
      </c>
      <c r="Q21" s="2944">
        <f t="shared" si="13"/>
        <v>8.8000000000000005E-3</v>
      </c>
      <c r="R21" s="2929"/>
      <c r="S21" s="2927"/>
      <c r="T21" s="2928"/>
      <c r="U21" s="2928"/>
      <c r="V21" s="2928"/>
    </row>
    <row r="22" spans="1:34">
      <c r="A22" s="2912" t="s">
        <v>2730</v>
      </c>
      <c r="B22" s="2932">
        <f t="shared" si="25"/>
        <v>288.2649053828776</v>
      </c>
      <c r="C22" s="2932">
        <f t="shared" si="25"/>
        <v>243.64564425013293</v>
      </c>
      <c r="D22" s="2932">
        <f t="shared" si="16"/>
        <v>243.64564425013293</v>
      </c>
      <c r="E22" s="2932">
        <f t="shared" si="26"/>
        <v>393.31080825986544</v>
      </c>
      <c r="F22" s="2932">
        <f t="shared" si="26"/>
        <v>223.07903790551154</v>
      </c>
      <c r="G22" s="3759"/>
      <c r="H22" s="2918">
        <v>2</v>
      </c>
      <c r="I22" s="2918">
        <v>2.04</v>
      </c>
      <c r="J22" s="2918">
        <v>2.33</v>
      </c>
      <c r="K22" s="2918">
        <v>2.0699999999999998</v>
      </c>
      <c r="L22" s="2934">
        <v>0.69</v>
      </c>
      <c r="N22" s="2927">
        <f t="shared" si="18"/>
        <v>2.0400000000000001E-2</v>
      </c>
      <c r="O22" s="2944">
        <f t="shared" si="13"/>
        <v>2.3300000000000001E-2</v>
      </c>
      <c r="P22" s="2944">
        <f t="shared" si="13"/>
        <v>2.07E-2</v>
      </c>
      <c r="Q22" s="2944">
        <f t="shared" si="13"/>
        <v>6.8999999999999999E-3</v>
      </c>
      <c r="R22" s="2929"/>
      <c r="S22" s="2927"/>
      <c r="T22" s="2928"/>
      <c r="U22" s="2928"/>
      <c r="V22" s="2928"/>
      <c r="X22" s="2963"/>
      <c r="Y22" s="2964"/>
    </row>
    <row r="23" spans="1:34">
      <c r="A23" s="2912" t="s">
        <v>2731</v>
      </c>
      <c r="B23" s="2932">
        <f t="shared" si="25"/>
        <v>282.50186729015837</v>
      </c>
      <c r="C23" s="2932">
        <f t="shared" si="25"/>
        <v>238.09796174155468</v>
      </c>
      <c r="D23" s="2932">
        <f t="shared" si="16"/>
        <v>238.09796174155468</v>
      </c>
      <c r="E23" s="2932">
        <f t="shared" si="26"/>
        <v>385.33438646014054</v>
      </c>
      <c r="F23" s="2932">
        <f t="shared" si="26"/>
        <v>221.55034055567739</v>
      </c>
      <c r="G23" s="3760"/>
      <c r="H23" s="2917">
        <v>1</v>
      </c>
      <c r="I23" s="2917">
        <v>1.67</v>
      </c>
      <c r="J23" s="2917">
        <v>1.31</v>
      </c>
      <c r="K23" s="2917">
        <v>1.85</v>
      </c>
      <c r="L23" s="2933">
        <v>0.96</v>
      </c>
      <c r="N23" s="2935">
        <f t="shared" si="18"/>
        <v>1.67E-2</v>
      </c>
      <c r="O23" s="2936">
        <f t="shared" si="18"/>
        <v>1.3100000000000001E-2</v>
      </c>
      <c r="P23" s="2936">
        <f t="shared" si="18"/>
        <v>1.8500000000000003E-2</v>
      </c>
      <c r="Q23" s="2936">
        <f t="shared" si="18"/>
        <v>9.5999999999999992E-3</v>
      </c>
      <c r="R23" s="2929"/>
      <c r="S23" s="2935">
        <f>B23/B24-1</f>
        <v>1.6193767230785472E-2</v>
      </c>
      <c r="T23" s="2936">
        <f>C23/C24-1</f>
        <v>1.7512657015190891E-2</v>
      </c>
      <c r="U23" s="2936">
        <f>E23/E24-1</f>
        <v>1.6713420739157048E-2</v>
      </c>
      <c r="V23" s="2936">
        <f>F23/F24-1</f>
        <v>7.0470025258062563E-3</v>
      </c>
      <c r="X23" s="2965"/>
      <c r="Y23" s="2911"/>
      <c r="Z23" s="2911"/>
    </row>
    <row r="24" spans="1:34" ht="13.5" thickBot="1">
      <c r="A24" s="2912" t="s">
        <v>2732</v>
      </c>
      <c r="B24" s="2966">
        <v>278</v>
      </c>
      <c r="C24" s="2966">
        <v>234</v>
      </c>
      <c r="D24" s="2966">
        <f t="shared" si="16"/>
        <v>234</v>
      </c>
      <c r="E24" s="2966">
        <v>379</v>
      </c>
      <c r="F24" s="2967">
        <v>220</v>
      </c>
      <c r="G24" s="3753">
        <v>2012</v>
      </c>
      <c r="H24" s="2937">
        <v>4</v>
      </c>
      <c r="I24" s="2937">
        <v>0.91</v>
      </c>
      <c r="J24" s="2937">
        <v>0.68</v>
      </c>
      <c r="K24" s="2937">
        <v>0.98</v>
      </c>
      <c r="L24" s="2938">
        <v>0.9</v>
      </c>
      <c r="N24" s="2927">
        <f t="shared" si="18"/>
        <v>9.1000000000000004E-3</v>
      </c>
      <c r="O24" s="2928">
        <f t="shared" si="18"/>
        <v>6.8000000000000005E-3</v>
      </c>
      <c r="P24" s="2928">
        <f t="shared" si="18"/>
        <v>9.7999999999999997E-3</v>
      </c>
      <c r="Q24" s="2928">
        <f t="shared" si="18"/>
        <v>9.0000000000000011E-3</v>
      </c>
      <c r="R24" s="2929"/>
      <c r="S24" s="2930"/>
      <c r="T24" s="2931"/>
      <c r="U24" s="2931"/>
      <c r="V24" s="2931"/>
      <c r="X24" s="2931"/>
      <c r="Y24" s="2931"/>
      <c r="Z24" s="2931"/>
    </row>
    <row r="25" spans="1:34">
      <c r="A25" s="2912" t="s">
        <v>2733</v>
      </c>
      <c r="B25" s="2932">
        <f>B24/(1+N24)</f>
        <v>275.49301357645425</v>
      </c>
      <c r="C25" s="2932">
        <f>C24/(1+O24)</f>
        <v>232.41954707985698</v>
      </c>
      <c r="D25" s="2932">
        <f t="shared" si="16"/>
        <v>232.41954707985698</v>
      </c>
      <c r="E25" s="2932">
        <f t="shared" ref="E25:F27" si="27">E24/(1+P24)</f>
        <v>375.32184591008121</v>
      </c>
      <c r="F25" s="2932">
        <f t="shared" si="27"/>
        <v>218.03766105054513</v>
      </c>
      <c r="G25" s="3754"/>
      <c r="H25" s="2942">
        <v>3</v>
      </c>
      <c r="I25" s="2942">
        <v>0.09</v>
      </c>
      <c r="J25" s="2942">
        <v>0.28999999999999998</v>
      </c>
      <c r="K25" s="2942">
        <v>-0.01</v>
      </c>
      <c r="L25" s="2943">
        <v>0.57999999999999996</v>
      </c>
      <c r="N25" s="2927">
        <f t="shared" si="18"/>
        <v>8.9999999999999998E-4</v>
      </c>
      <c r="O25" s="2928">
        <f t="shared" si="18"/>
        <v>2.8999999999999998E-3</v>
      </c>
      <c r="P25" s="2928">
        <f t="shared" si="18"/>
        <v>-1E-4</v>
      </c>
      <c r="Q25" s="2928">
        <f t="shared" si="18"/>
        <v>5.7999999999999996E-3</v>
      </c>
      <c r="R25" s="2929"/>
      <c r="S25" s="2927"/>
      <c r="T25" s="2928"/>
      <c r="U25" s="2928"/>
      <c r="V25" s="2928"/>
    </row>
    <row r="26" spans="1:34">
      <c r="A26" s="2912" t="s">
        <v>2734</v>
      </c>
      <c r="B26" s="2932">
        <f>B25/(1+N25)</f>
        <v>275.24529281292263</v>
      </c>
      <c r="C26" s="2932">
        <f>C25/(1+O25)</f>
        <v>231.74747938962707</v>
      </c>
      <c r="D26" s="2932">
        <f t="shared" si="16"/>
        <v>231.74747938962707</v>
      </c>
      <c r="E26" s="2932">
        <f t="shared" si="27"/>
        <v>375.35938184826603</v>
      </c>
      <c r="F26" s="2932">
        <f t="shared" si="27"/>
        <v>216.78033510692495</v>
      </c>
      <c r="G26" s="3754"/>
      <c r="H26" s="2918">
        <v>2</v>
      </c>
      <c r="I26" s="2918">
        <v>0.02</v>
      </c>
      <c r="J26" s="2918">
        <v>0.12</v>
      </c>
      <c r="K26" s="2918">
        <v>-0.08</v>
      </c>
      <c r="L26" s="2934">
        <v>1.24</v>
      </c>
      <c r="N26" s="2927">
        <f t="shared" si="18"/>
        <v>2.0000000000000001E-4</v>
      </c>
      <c r="O26" s="2928">
        <f t="shared" si="18"/>
        <v>1.1999999999999999E-3</v>
      </c>
      <c r="P26" s="2928">
        <f t="shared" si="18"/>
        <v>-8.0000000000000004E-4</v>
      </c>
      <c r="Q26" s="2928">
        <f t="shared" si="18"/>
        <v>1.24E-2</v>
      </c>
      <c r="R26" s="2929"/>
      <c r="S26" s="2927"/>
      <c r="T26" s="2928"/>
      <c r="U26" s="2928"/>
      <c r="V26" s="2928"/>
    </row>
    <row r="27" spans="1:34" ht="13.5" thickBot="1">
      <c r="A27" s="2912" t="s">
        <v>2735</v>
      </c>
      <c r="B27" s="2932">
        <f>B26/(1+N26)</f>
        <v>275.19025476197027</v>
      </c>
      <c r="C27" s="2968">
        <v>232</v>
      </c>
      <c r="D27" s="2968">
        <f t="shared" si="16"/>
        <v>232</v>
      </c>
      <c r="E27" s="2932">
        <f t="shared" si="27"/>
        <v>375.65990977608692</v>
      </c>
      <c r="F27" s="2932">
        <f t="shared" si="27"/>
        <v>214.12518283971252</v>
      </c>
      <c r="G27" s="3755"/>
      <c r="H27" s="2917">
        <v>1</v>
      </c>
      <c r="I27" s="2917">
        <v>0.02</v>
      </c>
      <c r="J27" s="2917">
        <v>0.13</v>
      </c>
      <c r="K27" s="2917">
        <v>-0.04</v>
      </c>
      <c r="L27" s="2933">
        <v>0.46</v>
      </c>
      <c r="N27" s="2927">
        <f t="shared" si="18"/>
        <v>2.0000000000000001E-4</v>
      </c>
      <c r="O27" s="2928">
        <f t="shared" si="18"/>
        <v>1.2999999999999999E-3</v>
      </c>
      <c r="P27" s="2928">
        <f t="shared" si="18"/>
        <v>-4.0000000000000002E-4</v>
      </c>
      <c r="Q27" s="2928">
        <f t="shared" si="18"/>
        <v>4.5999999999999999E-3</v>
      </c>
      <c r="R27" s="2929"/>
      <c r="S27" s="2935">
        <f>B27/B28-1</f>
        <v>6.9183549807361189E-4</v>
      </c>
      <c r="T27" s="2936">
        <f>C27/C28-1</f>
        <v>0</v>
      </c>
      <c r="U27" s="2936">
        <f>E27/E28-1</f>
        <v>-9.0449527636460303E-4</v>
      </c>
      <c r="V27" s="2936">
        <f>F27/F28-1</f>
        <v>5.2825485432512753E-3</v>
      </c>
      <c r="X27" s="2911"/>
      <c r="Y27" s="2911"/>
      <c r="Z27" s="2911"/>
    </row>
    <row r="28" spans="1:34" ht="13.5" thickBot="1">
      <c r="A28" s="2912" t="s">
        <v>2736</v>
      </c>
      <c r="B28" s="2924">
        <v>275</v>
      </c>
      <c r="C28" s="2924">
        <v>232</v>
      </c>
      <c r="D28" s="2924">
        <f t="shared" si="16"/>
        <v>232</v>
      </c>
      <c r="E28" s="2924">
        <v>376</v>
      </c>
      <c r="F28" s="2925">
        <v>213</v>
      </c>
      <c r="G28" s="3753">
        <v>2011</v>
      </c>
      <c r="H28" s="2937">
        <v>4</v>
      </c>
      <c r="I28" s="2937">
        <v>-0.2</v>
      </c>
      <c r="J28" s="2937">
        <v>0.04</v>
      </c>
      <c r="K28" s="2937">
        <v>-0.34</v>
      </c>
      <c r="L28" s="2938">
        <v>0.46</v>
      </c>
      <c r="N28" s="2939">
        <f t="shared" si="18"/>
        <v>-2E-3</v>
      </c>
      <c r="O28" s="2940">
        <f t="shared" si="18"/>
        <v>4.0000000000000002E-4</v>
      </c>
      <c r="P28" s="2940">
        <f t="shared" si="18"/>
        <v>-3.4000000000000002E-3</v>
      </c>
      <c r="Q28" s="2940">
        <f t="shared" si="18"/>
        <v>4.5999999999999999E-3</v>
      </c>
      <c r="R28" s="2929"/>
      <c r="S28" s="2930"/>
      <c r="T28" s="2931"/>
      <c r="U28" s="2931"/>
      <c r="V28" s="2931"/>
      <c r="X28" s="2931"/>
      <c r="Y28" s="2931"/>
      <c r="Z28" s="2931"/>
    </row>
    <row r="29" spans="1:34">
      <c r="A29" s="2912" t="s">
        <v>2737</v>
      </c>
      <c r="B29" s="2932">
        <f t="shared" ref="B29:C31" si="28">B28/(1+N28)</f>
        <v>275.55110220440883</v>
      </c>
      <c r="C29" s="2932">
        <f t="shared" si="28"/>
        <v>231.90723710515795</v>
      </c>
      <c r="D29" s="2932">
        <f t="shared" si="16"/>
        <v>231.90723710515795</v>
      </c>
      <c r="E29" s="2932">
        <f t="shared" ref="E29:F31" si="29">E28/(1+P28)</f>
        <v>377.28276138872161</v>
      </c>
      <c r="F29" s="2932">
        <f t="shared" si="29"/>
        <v>212.02468644236512</v>
      </c>
      <c r="G29" s="3754">
        <v>2011</v>
      </c>
      <c r="H29" s="2942">
        <v>3</v>
      </c>
      <c r="I29" s="2942">
        <v>0.13</v>
      </c>
      <c r="J29" s="2942">
        <v>0.75</v>
      </c>
      <c r="K29" s="2942">
        <v>-0.08</v>
      </c>
      <c r="L29" s="2943">
        <v>0.53</v>
      </c>
      <c r="N29" s="2927">
        <f t="shared" si="18"/>
        <v>1.2999999999999999E-3</v>
      </c>
      <c r="O29" s="2944">
        <f t="shared" si="18"/>
        <v>7.4999999999999997E-3</v>
      </c>
      <c r="P29" s="2944">
        <f t="shared" si="18"/>
        <v>-8.0000000000000004E-4</v>
      </c>
      <c r="Q29" s="2944">
        <f t="shared" si="18"/>
        <v>5.3E-3</v>
      </c>
      <c r="R29" s="2929"/>
      <c r="S29" s="2927"/>
      <c r="T29" s="2928"/>
      <c r="U29" s="2928"/>
      <c r="V29" s="2928"/>
    </row>
    <row r="30" spans="1:34">
      <c r="A30" s="2912" t="s">
        <v>2738</v>
      </c>
      <c r="B30" s="2932">
        <f t="shared" si="28"/>
        <v>275.19335084830601</v>
      </c>
      <c r="C30" s="2932">
        <f t="shared" si="28"/>
        <v>230.18088050139744</v>
      </c>
      <c r="D30" s="2932">
        <f t="shared" si="16"/>
        <v>230.18088050139744</v>
      </c>
      <c r="E30" s="2932">
        <f t="shared" si="29"/>
        <v>377.58482925212331</v>
      </c>
      <c r="F30" s="2932">
        <f t="shared" si="29"/>
        <v>210.90687997847917</v>
      </c>
      <c r="G30" s="3754">
        <v>2011</v>
      </c>
      <c r="H30" s="2918">
        <v>2</v>
      </c>
      <c r="I30" s="2918">
        <v>-0.4</v>
      </c>
      <c r="J30" s="2918">
        <v>0.17</v>
      </c>
      <c r="K30" s="2918">
        <v>-0.57999999999999996</v>
      </c>
      <c r="L30" s="2934">
        <v>-0.2</v>
      </c>
      <c r="N30" s="2927">
        <f t="shared" si="18"/>
        <v>-4.0000000000000001E-3</v>
      </c>
      <c r="O30" s="2944">
        <f t="shared" si="18"/>
        <v>1.7000000000000001E-3</v>
      </c>
      <c r="P30" s="2944">
        <f t="shared" si="18"/>
        <v>-5.7999999999999996E-3</v>
      </c>
      <c r="Q30" s="2944">
        <f t="shared" si="18"/>
        <v>-2E-3</v>
      </c>
      <c r="R30" s="2929"/>
      <c r="S30" s="2927"/>
      <c r="T30" s="2928"/>
      <c r="U30" s="2928"/>
      <c r="V30" s="2928"/>
    </row>
    <row r="31" spans="1:34" ht="13.5" thickBot="1">
      <c r="A31" s="2912" t="s">
        <v>2739</v>
      </c>
      <c r="B31" s="2932">
        <f t="shared" si="28"/>
        <v>276.29854502841971</v>
      </c>
      <c r="C31" s="2932">
        <f t="shared" si="28"/>
        <v>229.79023709833027</v>
      </c>
      <c r="D31" s="2932">
        <f t="shared" si="16"/>
        <v>229.79023709833027</v>
      </c>
      <c r="E31" s="2932">
        <f t="shared" si="29"/>
        <v>379.78759731655936</v>
      </c>
      <c r="F31" s="2932">
        <f t="shared" si="29"/>
        <v>211.32953905659235</v>
      </c>
      <c r="G31" s="3755">
        <v>2011</v>
      </c>
      <c r="H31" s="2917">
        <v>1</v>
      </c>
      <c r="I31" s="2917">
        <v>2.65</v>
      </c>
      <c r="J31" s="2917">
        <v>3.76</v>
      </c>
      <c r="K31" s="2917">
        <v>1.89</v>
      </c>
      <c r="L31" s="2933">
        <v>7.95</v>
      </c>
      <c r="N31" s="2935">
        <f t="shared" si="18"/>
        <v>2.6499999999999999E-2</v>
      </c>
      <c r="O31" s="2936">
        <f t="shared" si="18"/>
        <v>3.7599999999999995E-2</v>
      </c>
      <c r="P31" s="2936">
        <f t="shared" si="18"/>
        <v>1.89E-2</v>
      </c>
      <c r="Q31" s="2936">
        <f t="shared" si="18"/>
        <v>7.9500000000000001E-2</v>
      </c>
      <c r="R31" s="2929"/>
      <c r="S31" s="2935">
        <f>B31/B32-1</f>
        <v>2.713213765211786E-2</v>
      </c>
      <c r="T31" s="2936">
        <f>C31/C32-1</f>
        <v>3.9774828499231862E-2</v>
      </c>
      <c r="U31" s="2936">
        <f>E31/E32-1</f>
        <v>1.8197311840641772E-2</v>
      </c>
      <c r="V31" s="2936">
        <f>F31/F32-1</f>
        <v>7.8211933962205826E-2</v>
      </c>
      <c r="X31" s="2911"/>
      <c r="Y31" s="2911"/>
      <c r="Z31" s="2911"/>
    </row>
    <row r="32" spans="1:34" ht="13.5" thickBot="1">
      <c r="A32" s="2912" t="s">
        <v>2740</v>
      </c>
      <c r="B32" s="2924">
        <v>269</v>
      </c>
      <c r="C32" s="2924">
        <v>221</v>
      </c>
      <c r="D32" s="2924">
        <f t="shared" si="16"/>
        <v>221</v>
      </c>
      <c r="E32" s="2924">
        <v>373</v>
      </c>
      <c r="F32" s="2925">
        <v>196</v>
      </c>
      <c r="G32" s="3753">
        <v>2010</v>
      </c>
      <c r="H32" s="2937">
        <v>4</v>
      </c>
      <c r="I32" s="2937">
        <v>5.72</v>
      </c>
      <c r="J32" s="2937">
        <v>6.57</v>
      </c>
      <c r="K32" s="2937">
        <v>5.72</v>
      </c>
      <c r="L32" s="2938">
        <v>2.72</v>
      </c>
      <c r="N32" s="2927">
        <f t="shared" si="18"/>
        <v>5.7200000000000001E-2</v>
      </c>
      <c r="O32" s="2928">
        <f t="shared" si="18"/>
        <v>6.5700000000000008E-2</v>
      </c>
      <c r="P32" s="2928">
        <f t="shared" si="18"/>
        <v>5.7200000000000001E-2</v>
      </c>
      <c r="Q32" s="2928">
        <f t="shared" si="18"/>
        <v>2.7200000000000002E-2</v>
      </c>
      <c r="R32" s="2929"/>
      <c r="S32" s="2930"/>
      <c r="T32" s="2931"/>
      <c r="U32" s="2931"/>
      <c r="V32" s="2931"/>
      <c r="X32" s="2931"/>
      <c r="Y32" s="2931"/>
      <c r="Z32" s="2931"/>
    </row>
    <row r="33" spans="1:26">
      <c r="A33" s="2912" t="s">
        <v>2741</v>
      </c>
      <c r="B33" s="2932">
        <f t="shared" ref="B33:C35" si="30">B32/(1+N32)</f>
        <v>254.44570563753314</v>
      </c>
      <c r="C33" s="2932">
        <f t="shared" si="30"/>
        <v>207.37543398705074</v>
      </c>
      <c r="D33" s="2932">
        <f t="shared" si="16"/>
        <v>207.37543398705074</v>
      </c>
      <c r="E33" s="2932">
        <f t="shared" ref="E33:F35" si="31">E32/(1+P32)</f>
        <v>352.81876655315932</v>
      </c>
      <c r="F33" s="2932">
        <f t="shared" si="31"/>
        <v>190.809968847352</v>
      </c>
      <c r="G33" s="3754">
        <v>2010</v>
      </c>
      <c r="H33" s="2942">
        <v>3</v>
      </c>
      <c r="I33" s="2942">
        <v>4.7300000000000004</v>
      </c>
      <c r="J33" s="2942">
        <v>3.9</v>
      </c>
      <c r="K33" s="2942">
        <v>5.03</v>
      </c>
      <c r="L33" s="2943">
        <v>4.21</v>
      </c>
      <c r="N33" s="2927">
        <f t="shared" si="18"/>
        <v>4.7300000000000002E-2</v>
      </c>
      <c r="O33" s="2928">
        <f t="shared" si="18"/>
        <v>3.9E-2</v>
      </c>
      <c r="P33" s="2928">
        <f t="shared" si="18"/>
        <v>5.0300000000000004E-2</v>
      </c>
      <c r="Q33" s="2928">
        <f t="shared" si="18"/>
        <v>4.2099999999999999E-2</v>
      </c>
      <c r="R33" s="2929"/>
      <c r="S33" s="2927"/>
      <c r="T33" s="2928"/>
      <c r="U33" s="2928"/>
      <c r="V33" s="2928"/>
    </row>
    <row r="34" spans="1:26">
      <c r="A34" s="2912" t="s">
        <v>2742</v>
      </c>
      <c r="B34" s="2932">
        <f t="shared" si="30"/>
        <v>242.95398227588385</v>
      </c>
      <c r="C34" s="2932">
        <f t="shared" si="30"/>
        <v>199.59137053614126</v>
      </c>
      <c r="D34" s="2932">
        <f t="shared" si="16"/>
        <v>199.59137053614126</v>
      </c>
      <c r="E34" s="2932">
        <f t="shared" si="31"/>
        <v>335.92189522342125</v>
      </c>
      <c r="F34" s="2932">
        <f t="shared" si="31"/>
        <v>183.10139991109489</v>
      </c>
      <c r="G34" s="3754">
        <v>2010</v>
      </c>
      <c r="H34" s="2918">
        <v>2</v>
      </c>
      <c r="I34" s="2918">
        <v>4.6900000000000004</v>
      </c>
      <c r="J34" s="2918">
        <v>3.55</v>
      </c>
      <c r="K34" s="2918">
        <v>5.07</v>
      </c>
      <c r="L34" s="2934">
        <v>4.2300000000000004</v>
      </c>
      <c r="N34" s="2927">
        <f t="shared" si="18"/>
        <v>4.6900000000000004E-2</v>
      </c>
      <c r="O34" s="2928">
        <f t="shared" si="18"/>
        <v>3.5499999999999997E-2</v>
      </c>
      <c r="P34" s="2928">
        <f t="shared" si="18"/>
        <v>5.0700000000000002E-2</v>
      </c>
      <c r="Q34" s="2928">
        <f t="shared" si="18"/>
        <v>4.2300000000000004E-2</v>
      </c>
      <c r="R34" s="2929"/>
      <c r="S34" s="2927"/>
      <c r="T34" s="2928"/>
      <c r="U34" s="2928"/>
      <c r="V34" s="2928"/>
    </row>
    <row r="35" spans="1:26" ht="13.5" thickBot="1">
      <c r="A35" s="2912" t="s">
        <v>2743</v>
      </c>
      <c r="B35" s="2932">
        <f t="shared" si="30"/>
        <v>232.06990378821649</v>
      </c>
      <c r="C35" s="2932">
        <f t="shared" si="30"/>
        <v>192.74878854286936</v>
      </c>
      <c r="D35" s="2932">
        <f t="shared" si="16"/>
        <v>192.74878854286936</v>
      </c>
      <c r="E35" s="2932">
        <f t="shared" si="31"/>
        <v>319.71247284992984</v>
      </c>
      <c r="F35" s="2932">
        <f t="shared" si="31"/>
        <v>175.67053622862409</v>
      </c>
      <c r="G35" s="3755">
        <v>2010</v>
      </c>
      <c r="H35" s="2917">
        <v>1</v>
      </c>
      <c r="I35" s="2917">
        <v>5.4</v>
      </c>
      <c r="J35" s="2917">
        <v>3.2</v>
      </c>
      <c r="K35" s="2917">
        <v>6.16</v>
      </c>
      <c r="L35" s="2933">
        <v>4.51</v>
      </c>
      <c r="N35" s="2927">
        <f t="shared" si="18"/>
        <v>5.4000000000000006E-2</v>
      </c>
      <c r="O35" s="2928">
        <f t="shared" si="18"/>
        <v>3.2000000000000001E-2</v>
      </c>
      <c r="P35" s="2928">
        <f t="shared" si="18"/>
        <v>6.1600000000000002E-2</v>
      </c>
      <c r="Q35" s="2928">
        <f t="shared" si="18"/>
        <v>4.5100000000000001E-2</v>
      </c>
      <c r="R35" s="2929"/>
      <c r="S35" s="2935">
        <f>B35/B36-1</f>
        <v>5.4863199037347599E-2</v>
      </c>
      <c r="T35" s="2936">
        <f>C35/C36-1</f>
        <v>3.0742184721226584E-2</v>
      </c>
      <c r="U35" s="2936">
        <f>E35/E36-1</f>
        <v>6.2167683886810154E-2</v>
      </c>
      <c r="V35" s="2936">
        <f>F35/F36-1</f>
        <v>4.5657953741810031E-2</v>
      </c>
      <c r="X35" s="2911"/>
      <c r="Y35" s="2911"/>
      <c r="Z35" s="2911"/>
    </row>
    <row r="36" spans="1:26" ht="13.5" thickBot="1">
      <c r="A36" s="2912" t="s">
        <v>2744</v>
      </c>
      <c r="B36" s="2924">
        <v>220</v>
      </c>
      <c r="C36" s="2924">
        <v>187</v>
      </c>
      <c r="D36" s="2924">
        <f t="shared" si="16"/>
        <v>187</v>
      </c>
      <c r="E36" s="2924">
        <v>301</v>
      </c>
      <c r="F36" s="2925">
        <v>168</v>
      </c>
      <c r="G36" s="3753">
        <v>2009</v>
      </c>
      <c r="H36" s="2937">
        <v>4</v>
      </c>
      <c r="I36" s="2937">
        <v>2.2999999999999998</v>
      </c>
      <c r="J36" s="2937">
        <v>1.04</v>
      </c>
      <c r="K36" s="2937">
        <v>2.84</v>
      </c>
      <c r="L36" s="2938">
        <v>0.67</v>
      </c>
      <c r="N36" s="2939">
        <f t="shared" si="18"/>
        <v>2.3E-2</v>
      </c>
      <c r="O36" s="2940">
        <f t="shared" si="18"/>
        <v>1.04E-2</v>
      </c>
      <c r="P36" s="2940">
        <f t="shared" si="18"/>
        <v>2.8399999999999998E-2</v>
      </c>
      <c r="Q36" s="2940">
        <f t="shared" si="18"/>
        <v>6.7000000000000002E-3</v>
      </c>
      <c r="R36" s="2929"/>
      <c r="S36" s="2930"/>
      <c r="T36" s="2931"/>
      <c r="U36" s="2931"/>
      <c r="V36" s="2931"/>
      <c r="X36" s="2931"/>
      <c r="Y36" s="2931"/>
      <c r="Z36" s="2931"/>
    </row>
    <row r="37" spans="1:26">
      <c r="A37" s="2912" t="s">
        <v>2745</v>
      </c>
      <c r="B37" s="2932">
        <f t="shared" ref="B37:C39" si="32">B36/(1+N36)</f>
        <v>215.05376344086022</v>
      </c>
      <c r="C37" s="2932">
        <f t="shared" si="32"/>
        <v>185.0752177355503</v>
      </c>
      <c r="D37" s="2932">
        <f t="shared" si="16"/>
        <v>185.0752177355503</v>
      </c>
      <c r="E37" s="2932">
        <f t="shared" ref="E37:F39" si="33">E36/(1+P36)</f>
        <v>292.68767016725008</v>
      </c>
      <c r="F37" s="2932">
        <f t="shared" si="33"/>
        <v>166.88189132810174</v>
      </c>
      <c r="G37" s="3754">
        <v>2009</v>
      </c>
      <c r="H37" s="2942">
        <v>3</v>
      </c>
      <c r="I37" s="2942">
        <v>2.1</v>
      </c>
      <c r="J37" s="2942">
        <v>1.86</v>
      </c>
      <c r="K37" s="2942">
        <v>2.29</v>
      </c>
      <c r="L37" s="2943">
        <v>0.85</v>
      </c>
      <c r="N37" s="2927">
        <f t="shared" si="18"/>
        <v>2.1000000000000001E-2</v>
      </c>
      <c r="O37" s="2944">
        <f t="shared" si="18"/>
        <v>1.8600000000000002E-2</v>
      </c>
      <c r="P37" s="2944">
        <f t="shared" si="18"/>
        <v>2.29E-2</v>
      </c>
      <c r="Q37" s="2944">
        <f t="shared" si="18"/>
        <v>8.5000000000000006E-3</v>
      </c>
      <c r="R37" s="2929"/>
      <c r="S37" s="2927"/>
      <c r="T37" s="2928"/>
      <c r="U37" s="2928"/>
      <c r="V37" s="2928"/>
    </row>
    <row r="38" spans="1:26">
      <c r="A38" s="2912" t="s">
        <v>2746</v>
      </c>
      <c r="B38" s="2932">
        <f t="shared" si="32"/>
        <v>210.630522469011</v>
      </c>
      <c r="C38" s="2932">
        <f t="shared" si="32"/>
        <v>181.69567812247232</v>
      </c>
      <c r="D38" s="2932">
        <f t="shared" si="16"/>
        <v>181.69567812247232</v>
      </c>
      <c r="E38" s="2932">
        <f t="shared" si="33"/>
        <v>286.13517466736738</v>
      </c>
      <c r="F38" s="2932">
        <f t="shared" si="33"/>
        <v>165.47535084591149</v>
      </c>
      <c r="G38" s="3754">
        <v>2009</v>
      </c>
      <c r="H38" s="2918">
        <v>2</v>
      </c>
      <c r="I38" s="2918">
        <v>0.86</v>
      </c>
      <c r="J38" s="2918">
        <v>-1.1299999999999999</v>
      </c>
      <c r="K38" s="2918">
        <v>1.79</v>
      </c>
      <c r="L38" s="2934">
        <v>-2.0699999999999998</v>
      </c>
      <c r="N38" s="2927">
        <f t="shared" si="18"/>
        <v>8.6E-3</v>
      </c>
      <c r="O38" s="2944">
        <f t="shared" si="18"/>
        <v>-1.1299999999999999E-2</v>
      </c>
      <c r="P38" s="2944">
        <f t="shared" si="18"/>
        <v>1.7899999999999999E-2</v>
      </c>
      <c r="Q38" s="2944">
        <f t="shared" si="18"/>
        <v>-2.07E-2</v>
      </c>
      <c r="R38" s="2929"/>
      <c r="S38" s="2927"/>
      <c r="T38" s="2928"/>
      <c r="U38" s="2928"/>
      <c r="V38" s="2928"/>
    </row>
    <row r="39" spans="1:26">
      <c r="A39" s="2912" t="s">
        <v>2747</v>
      </c>
      <c r="B39" s="2932">
        <f t="shared" si="32"/>
        <v>208.83454537875372</v>
      </c>
      <c r="C39" s="2932">
        <f t="shared" si="32"/>
        <v>183.77230517090351</v>
      </c>
      <c r="D39" s="2932">
        <f t="shared" si="16"/>
        <v>183.77230517090351</v>
      </c>
      <c r="E39" s="2932">
        <f t="shared" si="33"/>
        <v>281.10342338870947</v>
      </c>
      <c r="F39" s="2932">
        <f t="shared" si="33"/>
        <v>168.97309388942256</v>
      </c>
      <c r="G39" s="3755">
        <v>2009</v>
      </c>
      <c r="H39" s="2917">
        <v>1</v>
      </c>
      <c r="I39" s="2917">
        <v>-2.64</v>
      </c>
      <c r="J39" s="2917">
        <v>-2.5299999999999998</v>
      </c>
      <c r="K39" s="2917">
        <v>-3.02</v>
      </c>
      <c r="L39" s="2933">
        <v>1.52</v>
      </c>
      <c r="N39" s="2935">
        <f t="shared" si="18"/>
        <v>-2.64E-2</v>
      </c>
      <c r="O39" s="2936">
        <f t="shared" si="18"/>
        <v>-2.53E-2</v>
      </c>
      <c r="P39" s="2936">
        <f t="shared" si="18"/>
        <v>-3.0200000000000001E-2</v>
      </c>
      <c r="Q39" s="2936">
        <f t="shared" si="18"/>
        <v>1.52E-2</v>
      </c>
      <c r="R39" s="2929"/>
      <c r="S39" s="2935">
        <f>B39/B40-1</f>
        <v>-2.4137638417038754E-2</v>
      </c>
      <c r="T39" s="2936">
        <f>C39/C40-1</f>
        <v>-2.248773845264096E-2</v>
      </c>
      <c r="U39" s="2936">
        <f>E39/E40-1</f>
        <v>-2.7323794502735366E-2</v>
      </c>
      <c r="V39" s="2936">
        <f>F39/F40-1</f>
        <v>1.7910204153148035E-2</v>
      </c>
      <c r="X39" s="2911"/>
      <c r="Y39" s="2911"/>
      <c r="Z39" s="2911"/>
    </row>
    <row r="40" spans="1:26" ht="13.5" thickBot="1">
      <c r="A40" s="2912" t="s">
        <v>2748</v>
      </c>
      <c r="B40" s="2966">
        <v>214</v>
      </c>
      <c r="C40" s="2966">
        <v>188</v>
      </c>
      <c r="D40" s="2966">
        <f t="shared" si="16"/>
        <v>188</v>
      </c>
      <c r="E40" s="2966">
        <v>289</v>
      </c>
      <c r="F40" s="2967">
        <v>166</v>
      </c>
      <c r="G40" s="3753">
        <v>2008</v>
      </c>
      <c r="H40" s="2937">
        <v>4</v>
      </c>
      <c r="I40" s="2937">
        <v>1.73</v>
      </c>
      <c r="J40" s="2937">
        <v>0.03</v>
      </c>
      <c r="K40" s="2937">
        <v>2.59</v>
      </c>
      <c r="L40" s="2938">
        <v>-1.66</v>
      </c>
      <c r="N40" s="2927">
        <f t="shared" si="18"/>
        <v>1.7299999999999999E-2</v>
      </c>
      <c r="O40" s="2928">
        <f t="shared" si="18"/>
        <v>2.9999999999999997E-4</v>
      </c>
      <c r="P40" s="2928">
        <f t="shared" si="18"/>
        <v>2.5899999999999999E-2</v>
      </c>
      <c r="Q40" s="2928">
        <f t="shared" si="18"/>
        <v>-1.66E-2</v>
      </c>
      <c r="R40" s="2929"/>
      <c r="S40" s="2930"/>
      <c r="T40" s="2931"/>
      <c r="U40" s="2931"/>
      <c r="V40" s="2931"/>
      <c r="X40" s="2931"/>
      <c r="Y40" s="2931"/>
      <c r="Z40" s="2931"/>
    </row>
    <row r="41" spans="1:26">
      <c r="A41" s="2912" t="s">
        <v>2749</v>
      </c>
      <c r="B41" s="2932">
        <f t="shared" ref="B41:C43" si="34">B40/(1+N40)</f>
        <v>210.36075887152265</v>
      </c>
      <c r="C41" s="2932">
        <f t="shared" si="34"/>
        <v>187.94361691492554</v>
      </c>
      <c r="D41" s="2932">
        <f t="shared" si="16"/>
        <v>187.94361691492554</v>
      </c>
      <c r="E41" s="2932">
        <f t="shared" ref="E41:F43" si="35">E40/(1+P40)</f>
        <v>281.70386977288234</v>
      </c>
      <c r="F41" s="2932">
        <f t="shared" si="35"/>
        <v>168.80211511083994</v>
      </c>
      <c r="G41" s="3754">
        <v>2008</v>
      </c>
      <c r="H41" s="2942">
        <v>3</v>
      </c>
      <c r="I41" s="2942">
        <v>1.96</v>
      </c>
      <c r="J41" s="2942">
        <v>2.36</v>
      </c>
      <c r="K41" s="2942">
        <v>1.82</v>
      </c>
      <c r="L41" s="2943">
        <v>2.2200000000000002</v>
      </c>
      <c r="N41" s="2927">
        <f t="shared" si="18"/>
        <v>1.9599999999999999E-2</v>
      </c>
      <c r="O41" s="2928">
        <f t="shared" si="18"/>
        <v>2.3599999999999999E-2</v>
      </c>
      <c r="P41" s="2928">
        <f t="shared" si="18"/>
        <v>1.8200000000000001E-2</v>
      </c>
      <c r="Q41" s="2928">
        <f t="shared" si="18"/>
        <v>2.2200000000000001E-2</v>
      </c>
      <c r="R41" s="2929"/>
      <c r="S41" s="2927"/>
      <c r="T41" s="2928"/>
      <c r="U41" s="2928"/>
      <c r="V41" s="2928"/>
    </row>
    <row r="42" spans="1:26">
      <c r="A42" s="2912" t="s">
        <v>2750</v>
      </c>
      <c r="B42" s="2932">
        <f t="shared" si="34"/>
        <v>206.31694671589116</v>
      </c>
      <c r="C42" s="2932">
        <f t="shared" si="34"/>
        <v>183.61041121036101</v>
      </c>
      <c r="D42" s="2932">
        <f t="shared" si="16"/>
        <v>183.61041121036101</v>
      </c>
      <c r="E42" s="2932">
        <f t="shared" si="35"/>
        <v>276.66850301795557</v>
      </c>
      <c r="F42" s="2932">
        <f t="shared" si="35"/>
        <v>165.1360938278614</v>
      </c>
      <c r="G42" s="3754">
        <v>2008</v>
      </c>
      <c r="H42" s="2918">
        <v>2</v>
      </c>
      <c r="I42" s="2918">
        <v>4.93</v>
      </c>
      <c r="J42" s="2918">
        <v>7.38</v>
      </c>
      <c r="K42" s="2918">
        <v>3.98</v>
      </c>
      <c r="L42" s="2934">
        <v>6.86</v>
      </c>
      <c r="N42" s="2927">
        <f t="shared" si="18"/>
        <v>4.9299999999999997E-2</v>
      </c>
      <c r="O42" s="2928">
        <f t="shared" si="18"/>
        <v>7.3800000000000004E-2</v>
      </c>
      <c r="P42" s="2928">
        <f t="shared" si="18"/>
        <v>3.9800000000000002E-2</v>
      </c>
      <c r="Q42" s="2928">
        <f t="shared" si="18"/>
        <v>6.8600000000000008E-2</v>
      </c>
      <c r="R42" s="2929"/>
      <c r="S42" s="2927"/>
      <c r="T42" s="2928"/>
      <c r="U42" s="2928"/>
      <c r="V42" s="2928"/>
    </row>
    <row r="43" spans="1:26" s="2972" customFormat="1" ht="13.5" thickBot="1">
      <c r="A43" s="2912" t="s">
        <v>2751</v>
      </c>
      <c r="B43" s="2969">
        <f t="shared" si="34"/>
        <v>196.62341248059772</v>
      </c>
      <c r="C43" s="2969">
        <f t="shared" si="34"/>
        <v>170.99125648199012</v>
      </c>
      <c r="D43" s="2969">
        <f t="shared" si="16"/>
        <v>170.99125648199012</v>
      </c>
      <c r="E43" s="2969">
        <f t="shared" si="35"/>
        <v>266.07857570490052</v>
      </c>
      <c r="F43" s="2969">
        <f t="shared" si="35"/>
        <v>154.53499328828505</v>
      </c>
      <c r="G43" s="3755">
        <v>2008</v>
      </c>
      <c r="H43" s="2970">
        <v>1</v>
      </c>
      <c r="I43" s="2970">
        <v>4.1399999999999997</v>
      </c>
      <c r="J43" s="2970">
        <v>3.45</v>
      </c>
      <c r="K43" s="2970">
        <v>4.95</v>
      </c>
      <c r="L43" s="2971">
        <v>4.82</v>
      </c>
      <c r="N43" s="2973">
        <f t="shared" si="18"/>
        <v>4.1399999999999999E-2</v>
      </c>
      <c r="O43" s="2974">
        <f t="shared" si="18"/>
        <v>3.4500000000000003E-2</v>
      </c>
      <c r="P43" s="2974">
        <f t="shared" si="18"/>
        <v>4.9500000000000002E-2</v>
      </c>
      <c r="Q43" s="2974">
        <f t="shared" si="18"/>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2" t="s">
        <v>2752</v>
      </c>
      <c r="B44" s="2924">
        <v>188</v>
      </c>
      <c r="C44" s="2924">
        <v>165</v>
      </c>
      <c r="D44" s="2924">
        <f t="shared" si="16"/>
        <v>165</v>
      </c>
      <c r="E44" s="2924">
        <v>254</v>
      </c>
      <c r="F44" s="2925">
        <v>148</v>
      </c>
      <c r="G44" s="3753">
        <v>2007</v>
      </c>
      <c r="H44" s="2977">
        <v>4</v>
      </c>
      <c r="I44" s="2977">
        <v>5.51</v>
      </c>
      <c r="J44" s="2977">
        <v>4.8899999999999997</v>
      </c>
      <c r="K44" s="2977">
        <v>6.43</v>
      </c>
      <c r="L44" s="2978">
        <v>5.36</v>
      </c>
      <c r="N44" s="2979">
        <f t="shared" ref="N44:O47" si="36">B44/B45-1</f>
        <v>4.1339718365245526E-2</v>
      </c>
      <c r="O44" s="2980">
        <f t="shared" si="36"/>
        <v>4.0324492593776018E-2</v>
      </c>
      <c r="P44" s="2980">
        <f t="shared" ref="P44:Q47" si="37">E44/E45-1</f>
        <v>6.1625555347990968E-2</v>
      </c>
      <c r="Q44" s="2980">
        <f t="shared" si="37"/>
        <v>4.6757569250590603E-2</v>
      </c>
      <c r="R44" s="2929"/>
      <c r="S44" s="2930"/>
      <c r="T44" s="2931"/>
      <c r="U44" s="2931"/>
      <c r="V44" s="2931"/>
      <c r="X44" s="2931"/>
      <c r="Y44" s="2931"/>
      <c r="Z44" s="2931"/>
    </row>
    <row r="45" spans="1:26">
      <c r="A45" s="2912" t="s">
        <v>2753</v>
      </c>
      <c r="B45" s="2932">
        <f t="shared" ref="B45:C47" si="38">B46+(B$44-B$48)*I45/SUM(I$44:I$47)</f>
        <v>180.5366651097618</v>
      </c>
      <c r="C45" s="2932">
        <f t="shared" si="38"/>
        <v>158.60435967302453</v>
      </c>
      <c r="D45" s="2932">
        <f t="shared" si="16"/>
        <v>158.60435967302453</v>
      </c>
      <c r="E45" s="2932">
        <f t="shared" ref="E45:F47" si="39">E46+(E$44-E$48)*K45/SUM(K$44:K$47)</f>
        <v>239.25573260785075</v>
      </c>
      <c r="F45" s="2932">
        <f t="shared" si="39"/>
        <v>141.38899430740037</v>
      </c>
      <c r="G45" s="3754">
        <v>2007</v>
      </c>
      <c r="H45" s="2942">
        <v>3</v>
      </c>
      <c r="I45" s="2942">
        <v>8.65</v>
      </c>
      <c r="J45" s="2942">
        <v>8.06</v>
      </c>
      <c r="K45" s="2942">
        <v>9.94</v>
      </c>
      <c r="L45" s="2943">
        <v>5.8</v>
      </c>
      <c r="N45" s="2979">
        <f t="shared" si="36"/>
        <v>6.940217571740015E-2</v>
      </c>
      <c r="O45" s="2980">
        <f t="shared" si="36"/>
        <v>7.1197482471153428E-2</v>
      </c>
      <c r="P45" s="2980">
        <f t="shared" si="37"/>
        <v>0.10529679922579582</v>
      </c>
      <c r="Q45" s="2980">
        <f t="shared" si="37"/>
        <v>5.3292245059512133E-2</v>
      </c>
      <c r="R45" s="2929"/>
      <c r="S45" s="2927"/>
      <c r="T45" s="2928"/>
      <c r="U45" s="2928"/>
      <c r="V45" s="2928"/>
      <c r="X45" s="2981"/>
      <c r="Y45" s="2981"/>
      <c r="Z45" s="2981"/>
    </row>
    <row r="46" spans="1:26">
      <c r="A46" s="2912" t="s">
        <v>2754</v>
      </c>
      <c r="B46" s="2932">
        <f t="shared" si="38"/>
        <v>168.82017748715555</v>
      </c>
      <c r="C46" s="2932">
        <f t="shared" si="38"/>
        <v>148.06267029972753</v>
      </c>
      <c r="D46" s="2932">
        <f t="shared" si="16"/>
        <v>148.06267029972753</v>
      </c>
      <c r="E46" s="2932">
        <f t="shared" si="39"/>
        <v>216.46288379323747</v>
      </c>
      <c r="F46" s="2932">
        <f t="shared" si="39"/>
        <v>134.23529411764704</v>
      </c>
      <c r="G46" s="3754">
        <v>2007</v>
      </c>
      <c r="H46" s="2918">
        <v>2</v>
      </c>
      <c r="I46" s="2918">
        <v>3.67</v>
      </c>
      <c r="J46" s="2918">
        <v>2.3199999999999998</v>
      </c>
      <c r="K46" s="2918">
        <v>5.0199999999999996</v>
      </c>
      <c r="L46" s="2934">
        <v>6.71</v>
      </c>
      <c r="N46" s="2979">
        <f t="shared" si="36"/>
        <v>3.0339138143848032E-2</v>
      </c>
      <c r="O46" s="2980">
        <f t="shared" si="36"/>
        <v>2.0922341588790472E-2</v>
      </c>
      <c r="P46" s="2980">
        <f t="shared" si="37"/>
        <v>5.6164796592717003E-2</v>
      </c>
      <c r="Q46" s="2980">
        <f t="shared" si="37"/>
        <v>6.5704536723887319E-2</v>
      </c>
      <c r="R46" s="2929"/>
      <c r="S46" s="2927"/>
      <c r="T46" s="2928"/>
      <c r="U46" s="2928"/>
      <c r="V46" s="2928"/>
      <c r="X46" s="2981"/>
      <c r="Y46" s="2981"/>
      <c r="Z46" s="2981"/>
    </row>
    <row r="47" spans="1:26">
      <c r="A47" s="2912" t="s">
        <v>2755</v>
      </c>
      <c r="B47" s="2932">
        <f t="shared" si="38"/>
        <v>163.84913591779542</v>
      </c>
      <c r="C47" s="2932">
        <f t="shared" si="38"/>
        <v>145.0283378746594</v>
      </c>
      <c r="D47" s="2932">
        <f t="shared" si="16"/>
        <v>145.0283378746594</v>
      </c>
      <c r="E47" s="2932">
        <f t="shared" si="39"/>
        <v>204.95180722891567</v>
      </c>
      <c r="F47" s="2932">
        <f t="shared" si="39"/>
        <v>125.95920303605313</v>
      </c>
      <c r="G47" s="3755">
        <v>2007</v>
      </c>
      <c r="H47" s="2917">
        <v>1</v>
      </c>
      <c r="I47" s="2917">
        <v>3.58</v>
      </c>
      <c r="J47" s="2917">
        <v>3.08</v>
      </c>
      <c r="K47" s="2917">
        <v>4.34</v>
      </c>
      <c r="L47" s="2933">
        <v>3.21</v>
      </c>
      <c r="N47" s="2982">
        <f t="shared" si="36"/>
        <v>3.0497710174814063E-2</v>
      </c>
      <c r="O47" s="2983">
        <f t="shared" si="36"/>
        <v>2.8569772160704998E-2</v>
      </c>
      <c r="P47" s="2983">
        <f t="shared" si="37"/>
        <v>5.1034908866234296E-2</v>
      </c>
      <c r="Q47" s="2983">
        <f t="shared" si="37"/>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2" t="s">
        <v>2756</v>
      </c>
      <c r="B48" s="2945">
        <v>159</v>
      </c>
      <c r="C48" s="2945">
        <v>141</v>
      </c>
      <c r="D48" s="2945">
        <f t="shared" si="16"/>
        <v>141</v>
      </c>
      <c r="E48" s="2945">
        <v>195</v>
      </c>
      <c r="F48" s="2946">
        <v>122</v>
      </c>
      <c r="G48" s="3753">
        <v>2006</v>
      </c>
      <c r="H48" s="2937">
        <v>4</v>
      </c>
      <c r="I48" s="2937">
        <v>3.79</v>
      </c>
      <c r="J48" s="2937">
        <v>2.21</v>
      </c>
      <c r="K48" s="2937">
        <v>5.65</v>
      </c>
      <c r="L48" s="2938">
        <v>5.41</v>
      </c>
      <c r="N48" s="2979">
        <f t="shared" ref="N48:O51" si="40">I48/SUM(I$48:I$51)*(B$48/B$52-1)</f>
        <v>7.245466462748526E-2</v>
      </c>
      <c r="O48" s="2980">
        <f t="shared" si="40"/>
        <v>2.3237230038062766E-2</v>
      </c>
      <c r="P48" s="2980">
        <f t="shared" ref="P48:Q51" si="41">K48/SUM(K$48:K$51)*(E$48/E$52-1)</f>
        <v>0.16146893866323722</v>
      </c>
      <c r="Q48" s="2980">
        <f t="shared" si="41"/>
        <v>5.0755230321793784E-2</v>
      </c>
      <c r="R48" s="2929"/>
      <c r="S48" s="2930"/>
      <c r="T48" s="2931"/>
      <c r="U48" s="2931"/>
      <c r="V48" s="2931"/>
      <c r="X48" s="2981"/>
      <c r="Y48" s="2981"/>
      <c r="Z48" s="2981"/>
    </row>
    <row r="49" spans="1:26">
      <c r="A49" s="2912" t="s">
        <v>2757</v>
      </c>
      <c r="B49" s="2932">
        <f t="shared" ref="B49:C51" si="42">B50+(B$48-B$52)*I49/SUM(I$48:I$51)</f>
        <v>149.00125628140702</v>
      </c>
      <c r="C49" s="2932">
        <f t="shared" si="42"/>
        <v>137.95592286501378</v>
      </c>
      <c r="D49" s="2932">
        <f t="shared" si="16"/>
        <v>137.95592286501378</v>
      </c>
      <c r="E49" s="2932">
        <f t="shared" ref="E49:F51" si="43">E50+(E$48-E$52)*K49/SUM(K$48:K$51)</f>
        <v>169.97231450719823</v>
      </c>
      <c r="F49" s="2932">
        <f t="shared" si="43"/>
        <v>116.21390374331551</v>
      </c>
      <c r="G49" s="3754">
        <v>2006</v>
      </c>
      <c r="H49" s="2942">
        <v>3</v>
      </c>
      <c r="I49" s="2942">
        <v>0.92</v>
      </c>
      <c r="J49" s="2942">
        <v>1.08</v>
      </c>
      <c r="K49" s="2942">
        <v>0.73</v>
      </c>
      <c r="L49" s="2943">
        <v>1.08</v>
      </c>
      <c r="N49" s="2979">
        <f t="shared" si="40"/>
        <v>1.7587939698492462E-2</v>
      </c>
      <c r="O49" s="2980">
        <f t="shared" si="40"/>
        <v>1.1355750425840628E-2</v>
      </c>
      <c r="P49" s="2980">
        <f t="shared" si="41"/>
        <v>2.0862358446754544E-2</v>
      </c>
      <c r="Q49" s="2980">
        <f t="shared" si="41"/>
        <v>1.0132282578103011E-2</v>
      </c>
      <c r="R49" s="2929"/>
      <c r="S49" s="2927"/>
      <c r="T49" s="2928"/>
      <c r="U49" s="2928"/>
      <c r="V49" s="2928"/>
      <c r="X49" s="2981"/>
      <c r="Y49" s="2981"/>
      <c r="Z49" s="2981"/>
    </row>
    <row r="50" spans="1:26">
      <c r="A50" s="2912" t="s">
        <v>2758</v>
      </c>
      <c r="B50" s="2932">
        <f t="shared" si="42"/>
        <v>146.57412060301507</v>
      </c>
      <c r="C50" s="2932">
        <f t="shared" si="42"/>
        <v>136.46831955922866</v>
      </c>
      <c r="D50" s="2932">
        <f t="shared" si="16"/>
        <v>136.46831955922866</v>
      </c>
      <c r="E50" s="2932">
        <f t="shared" si="43"/>
        <v>166.73864894795128</v>
      </c>
      <c r="F50" s="2932">
        <f t="shared" si="43"/>
        <v>115.05882352941177</v>
      </c>
      <c r="G50" s="3754">
        <v>2006</v>
      </c>
      <c r="H50" s="2918">
        <v>2</v>
      </c>
      <c r="I50" s="2918">
        <v>0.96</v>
      </c>
      <c r="J50" s="2918">
        <v>0.25</v>
      </c>
      <c r="K50" s="2918">
        <v>1.9</v>
      </c>
      <c r="L50" s="2934">
        <v>0.95</v>
      </c>
      <c r="N50" s="2979">
        <f t="shared" si="40"/>
        <v>1.8352632728861701E-2</v>
      </c>
      <c r="O50" s="2980">
        <f t="shared" si="40"/>
        <v>2.6286459319075526E-3</v>
      </c>
      <c r="P50" s="2980">
        <f t="shared" si="41"/>
        <v>5.4299289107991269E-2</v>
      </c>
      <c r="Q50" s="2980">
        <f t="shared" si="41"/>
        <v>8.9126559714794995E-3</v>
      </c>
      <c r="R50" s="2929"/>
      <c r="S50" s="2927"/>
      <c r="T50" s="2928"/>
      <c r="U50" s="2928"/>
      <c r="V50" s="2928"/>
      <c r="X50" s="2981"/>
      <c r="Y50" s="2981"/>
      <c r="Z50" s="2981"/>
    </row>
    <row r="51" spans="1:26">
      <c r="A51" s="2912" t="s">
        <v>2759</v>
      </c>
      <c r="B51" s="2932">
        <f t="shared" si="42"/>
        <v>144.04145728643215</v>
      </c>
      <c r="C51" s="2932">
        <f t="shared" si="42"/>
        <v>136.12396694214877</v>
      </c>
      <c r="D51" s="2932">
        <f t="shared" si="16"/>
        <v>136.12396694214877</v>
      </c>
      <c r="E51" s="2932">
        <f t="shared" si="43"/>
        <v>158.32225913621264</v>
      </c>
      <c r="F51" s="2932">
        <f t="shared" si="43"/>
        <v>114.04278074866311</v>
      </c>
      <c r="G51" s="3755">
        <v>2006</v>
      </c>
      <c r="H51" s="2917">
        <v>1</v>
      </c>
      <c r="I51" s="2917">
        <v>2.29</v>
      </c>
      <c r="J51" s="2917">
        <v>3.72</v>
      </c>
      <c r="K51" s="2917">
        <v>0.75</v>
      </c>
      <c r="L51" s="2933">
        <v>0.04</v>
      </c>
      <c r="N51" s="2982">
        <f t="shared" si="40"/>
        <v>4.3778675988638847E-2</v>
      </c>
      <c r="O51" s="2983">
        <f t="shared" si="40"/>
        <v>3.9114251466784385E-2</v>
      </c>
      <c r="P51" s="2983">
        <f t="shared" si="41"/>
        <v>2.1433929911049188E-2</v>
      </c>
      <c r="Q51" s="2983">
        <f t="shared" si="41"/>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2" t="s">
        <v>2760</v>
      </c>
      <c r="B52" s="2945">
        <v>138</v>
      </c>
      <c r="C52" s="2945">
        <v>131</v>
      </c>
      <c r="D52" s="2945">
        <f t="shared" si="16"/>
        <v>131</v>
      </c>
      <c r="E52" s="2945">
        <v>155</v>
      </c>
      <c r="F52" s="2946">
        <v>114</v>
      </c>
      <c r="G52" s="3753">
        <v>2005</v>
      </c>
      <c r="H52" s="2937">
        <v>4</v>
      </c>
      <c r="I52" s="2937">
        <v>3.29</v>
      </c>
      <c r="J52" s="2937">
        <v>1.44</v>
      </c>
      <c r="K52" s="2937">
        <v>0.66</v>
      </c>
      <c r="L52" s="2938">
        <v>7.78</v>
      </c>
      <c r="N52" s="2979">
        <f t="shared" ref="N52:O55" si="44">I52/SUM(I$52:I$55)*(B$52/B$56-1)</f>
        <v>9.9404603216919935E-2</v>
      </c>
      <c r="O52" s="2980">
        <f t="shared" si="44"/>
        <v>4.7636550760861554E-2</v>
      </c>
      <c r="P52" s="2980">
        <f t="shared" ref="P52:Q55" si="45">K52/SUM(K$52:K$55)*(E$52/E$56-1)</f>
        <v>8.3756345177664976E-2</v>
      </c>
      <c r="Q52" s="2980">
        <f t="shared" si="45"/>
        <v>5.2148766661559584E-2</v>
      </c>
      <c r="R52" s="2929"/>
      <c r="S52" s="2930"/>
      <c r="T52" s="2931"/>
      <c r="U52" s="2931"/>
      <c r="V52" s="2931"/>
      <c r="X52" s="2981"/>
      <c r="Y52" s="2981"/>
      <c r="Z52" s="2981"/>
    </row>
    <row r="53" spans="1:26">
      <c r="A53" s="2912" t="s">
        <v>2761</v>
      </c>
      <c r="B53" s="2932">
        <f t="shared" ref="B53:C55" si="46">B54+(B$52-B$56)*I53/SUM(I$52:I$55)</f>
        <v>125.9720430107527</v>
      </c>
      <c r="C53" s="2932">
        <f t="shared" si="46"/>
        <v>125.1883408071749</v>
      </c>
      <c r="D53" s="2932">
        <f t="shared" si="16"/>
        <v>125.1883408071749</v>
      </c>
      <c r="E53" s="2932">
        <f t="shared" ref="E53:F55" si="47">E54+(E$52-E$56)*K53/SUM(K$52:K$55)</f>
        <v>144.61421319796952</v>
      </c>
      <c r="F53" s="2932">
        <f t="shared" si="47"/>
        <v>108.42008196721311</v>
      </c>
      <c r="G53" s="3754">
        <v>2005</v>
      </c>
      <c r="H53" s="2942">
        <v>3</v>
      </c>
      <c r="I53" s="2942">
        <v>0.46</v>
      </c>
      <c r="J53" s="2942">
        <v>0.32</v>
      </c>
      <c r="K53" s="2942">
        <v>0.42</v>
      </c>
      <c r="L53" s="2943">
        <v>0.64</v>
      </c>
      <c r="N53" s="2979">
        <f t="shared" si="44"/>
        <v>1.3898515951301874E-2</v>
      </c>
      <c r="O53" s="2980">
        <f t="shared" si="44"/>
        <v>1.0585900169080346E-2</v>
      </c>
      <c r="P53" s="2980">
        <f t="shared" si="45"/>
        <v>5.3299492385786795E-2</v>
      </c>
      <c r="Q53" s="2980">
        <f t="shared" si="45"/>
        <v>4.2898728359123568E-3</v>
      </c>
      <c r="R53" s="2929"/>
      <c r="S53" s="2927"/>
      <c r="T53" s="2928"/>
      <c r="U53" s="2928"/>
      <c r="V53" s="2928"/>
      <c r="X53" s="2981"/>
      <c r="Y53" s="2981"/>
      <c r="Z53" s="2981"/>
    </row>
    <row r="54" spans="1:26">
      <c r="A54" s="2912" t="s">
        <v>2762</v>
      </c>
      <c r="B54" s="2932">
        <f t="shared" si="46"/>
        <v>124.29032258064517</v>
      </c>
      <c r="C54" s="2932">
        <f t="shared" si="46"/>
        <v>123.8968609865471</v>
      </c>
      <c r="D54" s="2932">
        <f t="shared" si="16"/>
        <v>123.8968609865471</v>
      </c>
      <c r="E54" s="2932">
        <f t="shared" si="47"/>
        <v>138.00507614213197</v>
      </c>
      <c r="F54" s="2932">
        <f t="shared" si="47"/>
        <v>107.96106557377048</v>
      </c>
      <c r="G54" s="3754">
        <v>2005</v>
      </c>
      <c r="H54" s="2918">
        <v>2</v>
      </c>
      <c r="I54" s="2918">
        <v>0.47</v>
      </c>
      <c r="J54" s="2918">
        <v>0.1</v>
      </c>
      <c r="K54" s="2918">
        <v>0.52</v>
      </c>
      <c r="L54" s="2934">
        <v>0.79</v>
      </c>
      <c r="N54" s="2979">
        <f t="shared" si="44"/>
        <v>1.420065760241713E-2</v>
      </c>
      <c r="O54" s="2980">
        <f t="shared" si="44"/>
        <v>3.3080938028376083E-3</v>
      </c>
      <c r="P54" s="2980">
        <f t="shared" si="45"/>
        <v>6.598984771573603E-2</v>
      </c>
      <c r="Q54" s="2980">
        <f t="shared" si="45"/>
        <v>5.2953117818293153E-3</v>
      </c>
      <c r="R54" s="2929"/>
      <c r="S54" s="2927"/>
      <c r="T54" s="2928"/>
      <c r="U54" s="2928"/>
      <c r="V54" s="2928"/>
      <c r="X54" s="2981"/>
      <c r="Y54" s="2981"/>
      <c r="Z54" s="2981"/>
    </row>
    <row r="55" spans="1:26">
      <c r="A55" s="2912" t="s">
        <v>2763</v>
      </c>
      <c r="B55" s="2932">
        <f t="shared" si="46"/>
        <v>122.57204301075269</v>
      </c>
      <c r="C55" s="2932">
        <f t="shared" si="46"/>
        <v>123.4932735426009</v>
      </c>
      <c r="D55" s="2932">
        <f t="shared" si="16"/>
        <v>123.4932735426009</v>
      </c>
      <c r="E55" s="2932">
        <f t="shared" si="47"/>
        <v>129.82233502538071</v>
      </c>
      <c r="F55" s="2932">
        <f t="shared" si="47"/>
        <v>107.39446721311475</v>
      </c>
      <c r="G55" s="3755">
        <v>2005</v>
      </c>
      <c r="H55" s="2917">
        <v>1</v>
      </c>
      <c r="I55" s="2917">
        <v>0.43</v>
      </c>
      <c r="J55" s="2917">
        <v>0.37</v>
      </c>
      <c r="K55" s="2917">
        <v>0.37</v>
      </c>
      <c r="L55" s="2933">
        <v>0.55000000000000004</v>
      </c>
      <c r="N55" s="2982">
        <f t="shared" si="44"/>
        <v>1.2992090997956099E-2</v>
      </c>
      <c r="O55" s="2983">
        <f t="shared" si="44"/>
        <v>1.2239947070499151E-2</v>
      </c>
      <c r="P55" s="2983">
        <f t="shared" si="45"/>
        <v>4.6954314720812178E-2</v>
      </c>
      <c r="Q55" s="2983">
        <f t="shared" si="45"/>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2" t="s">
        <v>2764</v>
      </c>
      <c r="B56" s="2966">
        <v>121</v>
      </c>
      <c r="C56" s="2966">
        <v>122</v>
      </c>
      <c r="D56" s="2966">
        <f t="shared" si="16"/>
        <v>122</v>
      </c>
      <c r="E56" s="2966">
        <v>124</v>
      </c>
      <c r="F56" s="2967">
        <v>107</v>
      </c>
      <c r="G56" s="3753">
        <v>2004</v>
      </c>
      <c r="H56" s="2937">
        <v>4</v>
      </c>
      <c r="I56" s="2937">
        <v>0.33</v>
      </c>
      <c r="J56" s="2937">
        <v>0.5</v>
      </c>
      <c r="K56" s="2937">
        <v>0.5</v>
      </c>
      <c r="L56" s="2938">
        <v>0</v>
      </c>
      <c r="N56" s="2979">
        <f t="shared" ref="N56:O59" si="48">I56/SUM(I$56:I$59)*(B$56/B$60-1)</f>
        <v>1.3391770148526898E-2</v>
      </c>
      <c r="O56" s="2980">
        <f t="shared" si="48"/>
        <v>1.063264221158958E-2</v>
      </c>
      <c r="P56" s="2980">
        <f t="shared" ref="P56:Q59" si="49">K56/SUM(K$56:K$59)*(E$56/E$60-1)</f>
        <v>2.2244466688911134E-2</v>
      </c>
      <c r="Q56" s="2980">
        <f t="shared" si="49"/>
        <v>0</v>
      </c>
      <c r="R56" s="2929"/>
      <c r="S56" s="2930"/>
      <c r="T56" s="2931"/>
      <c r="U56" s="2931"/>
      <c r="V56" s="2931"/>
      <c r="X56" s="2981"/>
      <c r="Y56" s="2981"/>
      <c r="Z56" s="2981"/>
    </row>
    <row r="57" spans="1:26">
      <c r="A57" s="2912" t="s">
        <v>2765</v>
      </c>
      <c r="B57" s="2932">
        <f t="shared" ref="B57:C59" si="50">B58+(B$56-B$60)*I57/SUM(I$56:I$59)</f>
        <v>119.51351351351352</v>
      </c>
      <c r="C57" s="2932">
        <f t="shared" si="50"/>
        <v>120.7878787878788</v>
      </c>
      <c r="D57" s="2932">
        <f t="shared" si="16"/>
        <v>120.7878787878788</v>
      </c>
      <c r="E57" s="2932">
        <f t="shared" ref="E57:F59" si="51">E58+(E$56-E$60)*K57/SUM(K$56:K$59)</f>
        <v>121.5975975975976</v>
      </c>
      <c r="F57" s="2932">
        <f t="shared" si="51"/>
        <v>107</v>
      </c>
      <c r="G57" s="3754">
        <v>2004</v>
      </c>
      <c r="H57" s="2942">
        <v>3</v>
      </c>
      <c r="I57" s="2942">
        <v>0.56000000000000005</v>
      </c>
      <c r="J57" s="2942">
        <v>0.8</v>
      </c>
      <c r="K57" s="2942">
        <v>0.83</v>
      </c>
      <c r="L57" s="2943">
        <v>0.06</v>
      </c>
      <c r="N57" s="2979">
        <f t="shared" si="48"/>
        <v>2.2725428130833527E-2</v>
      </c>
      <c r="O57" s="2980">
        <f t="shared" si="48"/>
        <v>1.7012227538543329E-2</v>
      </c>
      <c r="P57" s="2980">
        <f t="shared" si="49"/>
        <v>3.6925814703592477E-2</v>
      </c>
      <c r="Q57" s="2980">
        <f t="shared" si="49"/>
        <v>2.8846153846153744E-2</v>
      </c>
      <c r="R57" s="2929"/>
      <c r="S57" s="2927"/>
      <c r="T57" s="2928"/>
      <c r="U57" s="2928"/>
      <c r="V57" s="2928"/>
      <c r="X57" s="2981"/>
      <c r="Y57" s="2981"/>
      <c r="Z57" s="2981"/>
    </row>
    <row r="58" spans="1:26">
      <c r="A58" s="2912" t="s">
        <v>2766</v>
      </c>
      <c r="B58" s="2932">
        <f t="shared" si="50"/>
        <v>116.99099099099099</v>
      </c>
      <c r="C58" s="2932">
        <f t="shared" si="50"/>
        <v>118.84848484848486</v>
      </c>
      <c r="D58" s="2932">
        <f t="shared" si="16"/>
        <v>118.84848484848486</v>
      </c>
      <c r="E58" s="2932">
        <f t="shared" si="51"/>
        <v>117.60960960960961</v>
      </c>
      <c r="F58" s="2932">
        <f t="shared" si="51"/>
        <v>104</v>
      </c>
      <c r="G58" s="3754">
        <v>2004</v>
      </c>
      <c r="H58" s="2918">
        <v>2</v>
      </c>
      <c r="I58" s="2918">
        <v>1</v>
      </c>
      <c r="J58" s="2918">
        <v>1.5</v>
      </c>
      <c r="K58" s="2918">
        <v>1.5</v>
      </c>
      <c r="L58" s="2934">
        <v>0</v>
      </c>
      <c r="N58" s="2979">
        <f t="shared" si="48"/>
        <v>4.0581121662202721E-2</v>
      </c>
      <c r="O58" s="2980">
        <f t="shared" si="48"/>
        <v>3.1897926634768738E-2</v>
      </c>
      <c r="P58" s="2980">
        <f t="shared" si="49"/>
        <v>6.6733400066733395E-2</v>
      </c>
      <c r="Q58" s="2980">
        <f t="shared" si="49"/>
        <v>0</v>
      </c>
      <c r="R58" s="2929"/>
      <c r="S58" s="2927"/>
      <c r="T58" s="2928"/>
      <c r="U58" s="2928"/>
      <c r="V58" s="2928"/>
      <c r="X58" s="2981"/>
      <c r="Y58" s="2981"/>
      <c r="Z58" s="2981"/>
    </row>
    <row r="59" spans="1:26" s="2972" customFormat="1" ht="13.5" thickBot="1">
      <c r="A59" s="2912" t="s">
        <v>2767</v>
      </c>
      <c r="B59" s="2969">
        <f t="shared" si="50"/>
        <v>112.48648648648648</v>
      </c>
      <c r="C59" s="2969">
        <f t="shared" si="50"/>
        <v>115.21212121212122</v>
      </c>
      <c r="D59" s="2969">
        <f t="shared" si="16"/>
        <v>115.21212121212122</v>
      </c>
      <c r="E59" s="2969">
        <f t="shared" si="51"/>
        <v>110.4024024024024</v>
      </c>
      <c r="F59" s="2969">
        <f t="shared" si="51"/>
        <v>104</v>
      </c>
      <c r="G59" s="3755">
        <v>2004</v>
      </c>
      <c r="H59" s="2970">
        <v>1</v>
      </c>
      <c r="I59" s="2970">
        <v>0.33</v>
      </c>
      <c r="J59" s="2970">
        <v>0.5</v>
      </c>
      <c r="K59" s="2970">
        <v>0.5</v>
      </c>
      <c r="L59" s="2971">
        <v>0</v>
      </c>
      <c r="N59" s="2984">
        <f t="shared" si="48"/>
        <v>1.3391770148526898E-2</v>
      </c>
      <c r="O59" s="2985">
        <f t="shared" si="48"/>
        <v>1.063264221158958E-2</v>
      </c>
      <c r="P59" s="2985">
        <f t="shared" si="49"/>
        <v>2.2244466688911134E-2</v>
      </c>
      <c r="Q59" s="2985">
        <f t="shared" si="49"/>
        <v>0</v>
      </c>
      <c r="R59" s="2975"/>
      <c r="S59" s="2973">
        <f>B59/B60-1</f>
        <v>1.3391770148526883E-2</v>
      </c>
      <c r="T59" s="2974">
        <f>C59/C60-1</f>
        <v>1.063264221158966E-2</v>
      </c>
      <c r="U59" s="2974">
        <f>E59/E60-1</f>
        <v>2.2244466688911224E-2</v>
      </c>
      <c r="V59" s="2974">
        <f>F59/F60-1</f>
        <v>0</v>
      </c>
      <c r="X59" s="2986"/>
      <c r="Y59" s="2986"/>
      <c r="Z59" s="2986"/>
    </row>
    <row r="60" spans="1:26" ht="13.5" thickBot="1">
      <c r="A60" s="2912" t="s">
        <v>2768</v>
      </c>
      <c r="B60" s="2987">
        <v>111</v>
      </c>
      <c r="C60" s="2987">
        <v>114</v>
      </c>
      <c r="D60" s="2987">
        <f t="shared" si="16"/>
        <v>114</v>
      </c>
      <c r="E60" s="2987">
        <v>108</v>
      </c>
      <c r="F60" s="2988">
        <v>104</v>
      </c>
      <c r="G60" s="3753">
        <v>2003</v>
      </c>
      <c r="H60" s="2977">
        <v>4</v>
      </c>
      <c r="I60" s="2989"/>
      <c r="J60" s="2989"/>
      <c r="K60" s="2989"/>
      <c r="L60" s="2989"/>
      <c r="N60" s="2990"/>
      <c r="O60" s="2989"/>
      <c r="P60" s="2989"/>
      <c r="Q60" s="2989"/>
      <c r="S60" s="2990"/>
      <c r="T60" s="2989"/>
      <c r="U60" s="2989"/>
      <c r="V60" s="2989"/>
      <c r="X60" s="2981"/>
      <c r="Y60" s="2981"/>
      <c r="Z60" s="2981"/>
    </row>
    <row r="61" spans="1:26">
      <c r="A61" s="2912" t="s">
        <v>2769</v>
      </c>
      <c r="B61" s="2991">
        <f t="shared" ref="B61:C63" si="52">B62+(B$60-B$64)/4</f>
        <v>109.75</v>
      </c>
      <c r="C61" s="2991">
        <f t="shared" si="52"/>
        <v>112.25</v>
      </c>
      <c r="D61" s="2991">
        <f t="shared" si="16"/>
        <v>112.25</v>
      </c>
      <c r="E61" s="2991">
        <f t="shared" ref="E61:F63" si="53">E62+(E$60-E$64)/4</f>
        <v>107.25</v>
      </c>
      <c r="F61" s="2991">
        <f t="shared" si="53"/>
        <v>103.5</v>
      </c>
      <c r="G61" s="3754">
        <v>2003</v>
      </c>
      <c r="H61" s="2942">
        <v>3</v>
      </c>
      <c r="I61" s="2989"/>
      <c r="J61" s="2989"/>
      <c r="K61" s="2989"/>
      <c r="L61" s="2989"/>
      <c r="X61" s="2981"/>
      <c r="Y61" s="2981"/>
      <c r="Z61" s="2981"/>
    </row>
    <row r="62" spans="1:26">
      <c r="A62" s="2912" t="s">
        <v>2770</v>
      </c>
      <c r="B62" s="2991">
        <f t="shared" si="52"/>
        <v>108.5</v>
      </c>
      <c r="C62" s="2991">
        <f t="shared" si="52"/>
        <v>110.5</v>
      </c>
      <c r="D62" s="2991">
        <f t="shared" si="16"/>
        <v>110.5</v>
      </c>
      <c r="E62" s="2991">
        <f t="shared" si="53"/>
        <v>106.5</v>
      </c>
      <c r="F62" s="2991">
        <f t="shared" si="53"/>
        <v>103</v>
      </c>
      <c r="G62" s="3754">
        <v>2003</v>
      </c>
      <c r="H62" s="2918">
        <v>2</v>
      </c>
      <c r="I62" s="2989"/>
      <c r="J62" s="2989"/>
      <c r="K62" s="2989"/>
      <c r="L62" s="2989"/>
      <c r="X62" s="2981"/>
      <c r="Y62" s="2981"/>
      <c r="Z62" s="2981"/>
    </row>
    <row r="63" spans="1:26" ht="13.5" thickBot="1">
      <c r="A63" s="2912" t="s">
        <v>2771</v>
      </c>
      <c r="B63" s="2991">
        <f t="shared" si="52"/>
        <v>107.25</v>
      </c>
      <c r="C63" s="2991">
        <f t="shared" si="52"/>
        <v>108.75</v>
      </c>
      <c r="D63" s="2991">
        <f t="shared" si="16"/>
        <v>108.75</v>
      </c>
      <c r="E63" s="2991">
        <f t="shared" si="53"/>
        <v>105.75</v>
      </c>
      <c r="F63" s="2991">
        <f t="shared" si="53"/>
        <v>102.5</v>
      </c>
      <c r="G63" s="3755">
        <v>2003</v>
      </c>
      <c r="H63" s="2992">
        <v>1</v>
      </c>
      <c r="I63" s="2989"/>
      <c r="J63" s="2989"/>
      <c r="K63" s="2989"/>
      <c r="L63" s="2989"/>
      <c r="S63" s="2927"/>
      <c r="T63" s="2928"/>
      <c r="U63" s="2928"/>
      <c r="X63" s="2981"/>
      <c r="Y63" s="2981"/>
      <c r="Z63" s="2981"/>
    </row>
    <row r="64" spans="1:26" ht="13.5" thickBot="1">
      <c r="A64" s="2912" t="s">
        <v>2772</v>
      </c>
      <c r="B64" s="2993">
        <v>106</v>
      </c>
      <c r="C64" s="2993">
        <v>107</v>
      </c>
      <c r="D64" s="2993">
        <f t="shared" si="16"/>
        <v>107</v>
      </c>
      <c r="E64" s="2993">
        <v>105</v>
      </c>
      <c r="F64" s="2994">
        <v>102</v>
      </c>
      <c r="G64" s="3753">
        <v>2002</v>
      </c>
      <c r="H64" s="2937">
        <v>4</v>
      </c>
      <c r="I64" s="2989"/>
      <c r="J64" s="2989"/>
      <c r="K64" s="2989"/>
      <c r="L64" s="2989"/>
      <c r="N64" s="2990"/>
      <c r="O64" s="2989"/>
      <c r="P64" s="2989"/>
      <c r="Q64" s="2989"/>
      <c r="S64" s="2990"/>
      <c r="T64" s="2989"/>
      <c r="U64" s="2989"/>
      <c r="V64" s="2989"/>
      <c r="X64" s="2981"/>
      <c r="Y64" s="2981"/>
      <c r="Z64" s="2981"/>
    </row>
    <row r="65" spans="1:26">
      <c r="A65" s="2912" t="s">
        <v>2773</v>
      </c>
      <c r="B65" s="2991">
        <f t="shared" ref="B65:C67" si="54">B66+(B$64-B$68)/4</f>
        <v>105</v>
      </c>
      <c r="C65" s="2991">
        <f t="shared" si="54"/>
        <v>106</v>
      </c>
      <c r="D65" s="2991">
        <f t="shared" si="16"/>
        <v>106</v>
      </c>
      <c r="E65" s="2991">
        <f t="shared" ref="E65:F67" si="55">E66+(E$64-E$68)/4</f>
        <v>104.5</v>
      </c>
      <c r="F65" s="2991">
        <f t="shared" si="55"/>
        <v>101.5</v>
      </c>
      <c r="G65" s="3754">
        <v>2002</v>
      </c>
      <c r="H65" s="2942">
        <v>3</v>
      </c>
      <c r="I65" s="2989"/>
      <c r="J65" s="2989"/>
      <c r="K65" s="2989"/>
      <c r="L65" s="2989"/>
      <c r="X65" s="2981"/>
      <c r="Y65" s="2981"/>
      <c r="Z65" s="2981"/>
    </row>
    <row r="66" spans="1:26">
      <c r="A66" s="2912" t="s">
        <v>2774</v>
      </c>
      <c r="B66" s="2991">
        <f t="shared" si="54"/>
        <v>104</v>
      </c>
      <c r="C66" s="2991">
        <f t="shared" si="54"/>
        <v>105</v>
      </c>
      <c r="D66" s="2991">
        <f t="shared" si="16"/>
        <v>105</v>
      </c>
      <c r="E66" s="2991">
        <f t="shared" si="55"/>
        <v>104</v>
      </c>
      <c r="F66" s="2991">
        <f t="shared" si="55"/>
        <v>101</v>
      </c>
      <c r="G66" s="3754">
        <v>2002</v>
      </c>
      <c r="H66" s="2918">
        <v>2</v>
      </c>
      <c r="I66" s="2989"/>
      <c r="J66" s="2989"/>
      <c r="K66" s="2989"/>
      <c r="L66" s="2989"/>
      <c r="X66" s="2981"/>
      <c r="Y66" s="2981"/>
      <c r="Z66" s="2981"/>
    </row>
    <row r="67" spans="1:26" s="2953" customFormat="1" ht="13.5" thickBot="1">
      <c r="A67" s="2949" t="s">
        <v>2775</v>
      </c>
      <c r="B67" s="2995">
        <f t="shared" si="54"/>
        <v>103</v>
      </c>
      <c r="C67" s="2995">
        <f t="shared" si="54"/>
        <v>104</v>
      </c>
      <c r="D67" s="2995">
        <f t="shared" si="16"/>
        <v>104</v>
      </c>
      <c r="E67" s="2995">
        <f t="shared" si="55"/>
        <v>103.5</v>
      </c>
      <c r="F67" s="2995">
        <f t="shared" si="55"/>
        <v>100.5</v>
      </c>
      <c r="G67" s="3755">
        <v>2002</v>
      </c>
      <c r="H67" s="2996">
        <v>1</v>
      </c>
      <c r="I67" s="2997"/>
      <c r="J67" s="2997"/>
      <c r="K67" s="2997"/>
      <c r="L67" s="2997"/>
      <c r="N67" s="2998"/>
      <c r="S67" s="2998"/>
      <c r="X67" s="2999"/>
      <c r="Y67" s="2999"/>
      <c r="Z67" s="2999"/>
    </row>
    <row r="68" spans="1:26" ht="13.5" thickBot="1">
      <c r="B68" s="3000">
        <v>102</v>
      </c>
      <c r="C68" s="3001">
        <v>103</v>
      </c>
      <c r="D68" s="3001">
        <f t="shared" si="16"/>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2776</v>
      </c>
      <c r="G70" s="3005"/>
      <c r="N70" s="3005"/>
      <c r="S70" s="3005"/>
    </row>
    <row r="71" spans="1:26" s="3004" customFormat="1">
      <c r="A71" s="3004" t="s">
        <v>2777</v>
      </c>
      <c r="G71" s="3005"/>
      <c r="N71" s="3005"/>
      <c r="S71" s="3005"/>
    </row>
    <row r="72" spans="1:26" s="3004" customFormat="1">
      <c r="A72" s="3004" t="s">
        <v>2778</v>
      </c>
      <c r="G72" s="3005"/>
      <c r="I72" s="3006"/>
      <c r="J72" s="3006"/>
      <c r="K72" s="3006"/>
      <c r="L72" s="3006"/>
      <c r="N72" s="3007"/>
      <c r="O72" s="3006"/>
      <c r="P72" s="3006"/>
      <c r="Q72" s="3006"/>
      <c r="S72" s="3007"/>
      <c r="T72" s="3006"/>
      <c r="U72" s="3006"/>
      <c r="V72" s="3006"/>
    </row>
    <row r="73" spans="1:26" s="3004" customFormat="1">
      <c r="A73" s="3004" t="s">
        <v>2779</v>
      </c>
      <c r="G73" s="3005"/>
      <c r="N73" s="3005"/>
      <c r="S73" s="3005"/>
    </row>
    <row r="80" spans="1:26" ht="13.5" thickBot="1"/>
    <row r="81" spans="14:22" s="2926" customFormat="1">
      <c r="N81" s="2941"/>
      <c r="S81" s="3008" t="s">
        <v>2780</v>
      </c>
      <c r="T81" s="3009" t="s">
        <v>2781</v>
      </c>
      <c r="U81" s="3009" t="s">
        <v>2782</v>
      </c>
      <c r="V81" s="3009" t="s">
        <v>2783</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G1" zoomScale="90" zoomScaleNormal="90" workbookViewId="0">
      <pane ySplit="24" topLeftCell="A25" activePane="bottomLeft" state="frozen"/>
      <selection activeCell="I2" sqref="I2:L2"/>
      <selection pane="bottomLeft" activeCell="Y24" sqref="Y2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9" t="s">
        <v>2382</v>
      </c>
      <c r="C1" s="3764" t="s">
        <v>2383</v>
      </c>
      <c r="D1" s="3765"/>
      <c r="E1" s="3765"/>
      <c r="F1" s="3765"/>
      <c r="G1" s="3765"/>
      <c r="H1" s="3765"/>
      <c r="I1" s="3765"/>
      <c r="J1" s="3765"/>
      <c r="K1" s="3765"/>
      <c r="L1" s="3765"/>
      <c r="M1" s="3765"/>
      <c r="N1" s="3765"/>
      <c r="O1" s="3765"/>
      <c r="P1" s="3765"/>
      <c r="Q1" s="3765"/>
      <c r="R1" s="3765"/>
      <c r="S1" s="3766"/>
      <c r="T1" s="2439" t="s">
        <v>2384</v>
      </c>
    </row>
    <row r="2" spans="1:45" s="1116" customFormat="1" ht="38.25">
      <c r="A2" s="2440"/>
      <c r="B2" s="1112" t="s">
        <v>2385</v>
      </c>
      <c r="C2" s="1113" t="str">
        <f t="shared" ref="C2:L2" si="0">C3&amp;"(含)"&amp;"-"&amp;D3</f>
        <v>0(含)-100</v>
      </c>
      <c r="D2" s="1114" t="str">
        <f t="shared" si="0"/>
        <v>100(含)-300</v>
      </c>
      <c r="E2" s="1114" t="str">
        <f t="shared" si="0"/>
        <v>300(含)-500</v>
      </c>
      <c r="F2" s="1114" t="str">
        <f t="shared" si="0"/>
        <v>500(含)-1000</v>
      </c>
      <c r="G2" s="1114" t="str">
        <f t="shared" si="0"/>
        <v>1000(含)-1500</v>
      </c>
      <c r="H2" s="1114" t="str">
        <f t="shared" si="0"/>
        <v>1500(含)-2000</v>
      </c>
      <c r="I2" s="1114" t="str">
        <f t="shared" si="0"/>
        <v>2000(含)-2500</v>
      </c>
      <c r="J2" s="1114" t="str">
        <f t="shared" si="0"/>
        <v>2500(含)-3000</v>
      </c>
      <c r="K2" s="1114" t="str">
        <f t="shared" si="0"/>
        <v>3000(含)-3500</v>
      </c>
      <c r="L2" s="1114" t="str">
        <f t="shared" si="0"/>
        <v>3500(含)-4000</v>
      </c>
      <c r="M2" s="1114" t="str">
        <f t="shared" ref="M2" si="1">M3&amp;"(含)"&amp;"-"&amp;N3</f>
        <v>4000(含)-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2"/>
      <c r="B3" s="1117"/>
      <c r="C3" s="1118">
        <v>0</v>
      </c>
      <c r="D3" s="1119">
        <v>100</v>
      </c>
      <c r="E3" s="1119">
        <v>300</v>
      </c>
      <c r="F3" s="1119">
        <v>500</v>
      </c>
      <c r="G3" s="1119">
        <v>1000</v>
      </c>
      <c r="H3" s="1119">
        <v>1500</v>
      </c>
      <c r="I3" s="1119">
        <v>2000</v>
      </c>
      <c r="J3" s="3374">
        <v>2500</v>
      </c>
      <c r="K3" s="3374">
        <v>3000</v>
      </c>
      <c r="L3" s="3375">
        <v>3500</v>
      </c>
      <c r="M3" s="3376">
        <v>4000</v>
      </c>
      <c r="N3" s="3206"/>
      <c r="O3" s="3205"/>
      <c r="P3" s="3205"/>
      <c r="Q3" s="3205"/>
      <c r="R3" s="3205"/>
      <c r="S3" s="320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3"/>
      <c r="B4" s="2444"/>
      <c r="C4" s="2445">
        <v>98</v>
      </c>
      <c r="D4" s="2446">
        <v>99</v>
      </c>
      <c r="E4" s="2446">
        <v>100</v>
      </c>
      <c r="F4" s="2446">
        <v>99</v>
      </c>
      <c r="G4" s="2446">
        <v>98</v>
      </c>
      <c r="H4" s="2446">
        <v>97</v>
      </c>
      <c r="I4" s="2446">
        <v>96</v>
      </c>
      <c r="J4" s="2446">
        <v>95</v>
      </c>
      <c r="K4" s="2446">
        <v>94</v>
      </c>
      <c r="L4" s="2446">
        <v>93</v>
      </c>
      <c r="M4" s="2447">
        <v>92</v>
      </c>
      <c r="N4" s="3209"/>
      <c r="O4" s="3208"/>
      <c r="P4" s="3208"/>
      <c r="Q4" s="3208"/>
      <c r="R4" s="3208"/>
      <c r="S4" s="3210"/>
      <c r="T4" s="2449"/>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0"/>
      <c r="B5" s="3377" t="s">
        <v>3170</v>
      </c>
      <c r="C5" s="3378" t="s">
        <v>3150</v>
      </c>
      <c r="D5" s="3379" t="s">
        <v>3151</v>
      </c>
      <c r="E5" s="3379" t="s">
        <v>3152</v>
      </c>
      <c r="F5" s="3211"/>
      <c r="G5" s="3211"/>
      <c r="H5" s="3211"/>
      <c r="I5" s="3211"/>
      <c r="J5" s="3211"/>
      <c r="K5" s="3211"/>
      <c r="L5" s="3212"/>
      <c r="M5" s="3213"/>
      <c r="N5" s="3213"/>
      <c r="O5" s="3211"/>
      <c r="P5" s="3211"/>
      <c r="Q5" s="3211"/>
      <c r="R5" s="3211"/>
      <c r="S5" s="3214"/>
      <c r="T5" s="2454"/>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0"/>
      <c r="B6" s="2201"/>
      <c r="C6" s="2207">
        <v>100</v>
      </c>
      <c r="D6" s="2204">
        <f>C6-$T5</f>
        <v>100</v>
      </c>
      <c r="E6" s="2204">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3"/>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0"/>
      <c r="B7" s="3380" t="s">
        <v>3171</v>
      </c>
      <c r="C7" s="3381" t="s">
        <v>3154</v>
      </c>
      <c r="D7" s="3382" t="s">
        <v>3155</v>
      </c>
      <c r="E7" s="3382" t="s">
        <v>3156</v>
      </c>
      <c r="F7" s="3382" t="s">
        <v>3157</v>
      </c>
      <c r="G7" s="3216"/>
      <c r="H7" s="3216"/>
      <c r="I7" s="3216"/>
      <c r="J7" s="3216"/>
      <c r="K7" s="3216"/>
      <c r="L7" s="3216"/>
      <c r="M7" s="3217"/>
      <c r="N7" s="3218"/>
      <c r="O7" s="3219"/>
      <c r="P7" s="3220"/>
      <c r="Q7" s="3221"/>
      <c r="R7" s="3222"/>
      <c r="S7" s="3223"/>
      <c r="T7" s="1122">
        <v>2</v>
      </c>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0"/>
      <c r="B8" s="2201"/>
      <c r="C8" s="2207">
        <v>100</v>
      </c>
      <c r="D8" s="2204">
        <f>C8-$T7</f>
        <v>98</v>
      </c>
      <c r="E8" s="2204">
        <f t="shared" ref="E8:S8" si="8">D8-$T7</f>
        <v>96</v>
      </c>
      <c r="F8" s="3215">
        <f t="shared" si="8"/>
        <v>94</v>
      </c>
      <c r="G8" s="3215">
        <f t="shared" si="8"/>
        <v>92</v>
      </c>
      <c r="H8" s="3215">
        <f t="shared" si="8"/>
        <v>90</v>
      </c>
      <c r="I8" s="3215">
        <f t="shared" si="8"/>
        <v>88</v>
      </c>
      <c r="J8" s="3215">
        <f t="shared" si="8"/>
        <v>86</v>
      </c>
      <c r="K8" s="3215">
        <f t="shared" si="8"/>
        <v>84</v>
      </c>
      <c r="L8" s="3215">
        <f t="shared" si="8"/>
        <v>82</v>
      </c>
      <c r="M8" s="3215">
        <f t="shared" si="8"/>
        <v>80</v>
      </c>
      <c r="N8" s="3215">
        <f t="shared" si="8"/>
        <v>78</v>
      </c>
      <c r="O8" s="3215">
        <f t="shared" si="8"/>
        <v>76</v>
      </c>
      <c r="P8" s="3215">
        <f t="shared" si="8"/>
        <v>74</v>
      </c>
      <c r="Q8" s="3215">
        <f t="shared" si="8"/>
        <v>72</v>
      </c>
      <c r="R8" s="3215">
        <f t="shared" si="8"/>
        <v>70</v>
      </c>
      <c r="S8" s="3215">
        <f t="shared" si="8"/>
        <v>68</v>
      </c>
      <c r="T8" s="2203"/>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0"/>
      <c r="B9" s="3302" t="s">
        <v>3030</v>
      </c>
      <c r="C9" s="2206"/>
      <c r="D9" s="2200"/>
      <c r="E9" s="2200"/>
      <c r="F9" s="3216"/>
      <c r="G9" s="3216"/>
      <c r="H9" s="3216"/>
      <c r="I9" s="3216"/>
      <c r="J9" s="3216"/>
      <c r="K9" s="3216"/>
      <c r="L9" s="3224"/>
      <c r="M9" s="3217"/>
      <c r="N9" s="3218"/>
      <c r="O9" s="3219"/>
      <c r="P9" s="3220"/>
      <c r="Q9" s="3221"/>
      <c r="R9" s="3222"/>
      <c r="S9" s="322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0"/>
      <c r="B10" s="2444"/>
      <c r="C10" s="2455">
        <v>100</v>
      </c>
      <c r="D10" s="2456">
        <f>C10-$T9</f>
        <v>100</v>
      </c>
      <c r="E10" s="2456">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9"/>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0"/>
      <c r="B11" s="3301" t="s">
        <v>3029</v>
      </c>
      <c r="C11" s="2451"/>
      <c r="D11" s="2452"/>
      <c r="E11" s="2452"/>
      <c r="F11" s="2452"/>
      <c r="G11" s="2452"/>
      <c r="H11" s="2452"/>
      <c r="I11" s="2452"/>
      <c r="J11" s="2452"/>
      <c r="K11" s="2452"/>
      <c r="L11" s="2452"/>
      <c r="M11" s="2453"/>
      <c r="N11" s="2457"/>
      <c r="O11" s="2458"/>
      <c r="P11" s="2459"/>
      <c r="Q11" s="2460"/>
      <c r="R11" s="2461"/>
      <c r="S11" s="2462"/>
      <c r="T11" s="2454"/>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0"/>
      <c r="B13" s="3301" t="s">
        <v>3028</v>
      </c>
      <c r="C13" s="2451"/>
      <c r="D13" s="2452"/>
      <c r="E13" s="2452"/>
      <c r="F13" s="2452"/>
      <c r="G13" s="2452"/>
      <c r="H13" s="2452"/>
      <c r="I13" s="2452"/>
      <c r="J13" s="2452"/>
      <c r="K13" s="2452"/>
      <c r="L13" s="2452"/>
      <c r="M13" s="2453"/>
      <c r="N13" s="2457"/>
      <c r="O13" s="2458"/>
      <c r="P13" s="2459"/>
      <c r="Q13" s="2460"/>
      <c r="R13" s="2461"/>
      <c r="S13" s="2462"/>
      <c r="T13" s="2463"/>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0"/>
      <c r="B15" s="3301" t="s">
        <v>3027</v>
      </c>
      <c r="C15" s="2451"/>
      <c r="D15" s="2452"/>
      <c r="E15" s="2452"/>
      <c r="F15" s="2452"/>
      <c r="G15" s="2452"/>
      <c r="H15" s="2452"/>
      <c r="I15" s="2452"/>
      <c r="J15" s="2452"/>
      <c r="K15" s="2452"/>
      <c r="L15" s="2452"/>
      <c r="M15" s="2453"/>
      <c r="N15" s="2457"/>
      <c r="O15" s="2458"/>
      <c r="P15" s="2459"/>
      <c r="Q15" s="2460"/>
      <c r="R15" s="2461"/>
      <c r="S15" s="2462"/>
      <c r="T15" s="2463"/>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1" t="s">
        <v>2386</v>
      </c>
      <c r="B17" s="2482" t="s">
        <v>2387</v>
      </c>
      <c r="C17" s="3378" t="s">
        <v>3150</v>
      </c>
      <c r="D17" s="3379" t="s">
        <v>3151</v>
      </c>
      <c r="E17" s="3379" t="s">
        <v>3152</v>
      </c>
      <c r="F17" s="3383" t="s">
        <v>3172</v>
      </c>
      <c r="G17" s="2466"/>
      <c r="H17" s="2466"/>
      <c r="I17" s="2466"/>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4"/>
      <c r="AS17" s="1464"/>
    </row>
    <row r="18" spans="1:45" s="1116" customFormat="1" ht="13.5" thickBot="1">
      <c r="A18" s="2475"/>
      <c r="B18" s="2476"/>
      <c r="C18" s="2477">
        <v>104</v>
      </c>
      <c r="D18" s="2478">
        <v>102</v>
      </c>
      <c r="E18" s="2478">
        <v>100</v>
      </c>
      <c r="F18" s="2478">
        <v>70</v>
      </c>
      <c r="G18" s="2478"/>
      <c r="H18" s="2478"/>
      <c r="I18" s="2478"/>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4"/>
      <c r="AS18" s="1464"/>
    </row>
    <row r="19" spans="1:45">
      <c r="A19" s="469"/>
      <c r="B19" s="500"/>
      <c r="C19" s="500"/>
      <c r="D19" s="3352" t="s">
        <v>3062</v>
      </c>
      <c r="E19" s="3347"/>
      <c r="F19" s="3347"/>
      <c r="G19" s="3347"/>
      <c r="H19" s="2535"/>
      <c r="I19" s="500"/>
      <c r="J19" s="500"/>
      <c r="K19" s="500"/>
      <c r="L19" s="500"/>
      <c r="M19" s="500"/>
      <c r="N19" s="500"/>
      <c r="O19" s="500"/>
      <c r="P19" s="500"/>
      <c r="Q19" s="500"/>
      <c r="R19" s="1416"/>
      <c r="S19" s="469"/>
    </row>
    <row r="20" spans="1:45" ht="16.5" thickBot="1">
      <c r="A20" s="1124" t="s">
        <v>521</v>
      </c>
      <c r="B20" s="673">
        <f ca="1">IF(D20="——",S22,S22-F20)</f>
        <v>36848</v>
      </c>
      <c r="C20" s="500"/>
      <c r="D20" s="3348" t="s">
        <v>530</v>
      </c>
      <c r="E20" s="3349"/>
      <c r="F20" s="2439" t="e">
        <f ca="1">SUMIF(INDIRECT("'"&amp;H20&amp;"'"&amp;"!A:A"),"承租人权益价值",INDIRECT("'"&amp;H20&amp;"'"&amp;"!c:c"))</f>
        <v>#REF!</v>
      </c>
      <c r="G20" s="3350" t="s">
        <v>3051</v>
      </c>
      <c r="H20" s="3351"/>
      <c r="I20" s="500"/>
      <c r="J20" s="500"/>
      <c r="K20" s="500"/>
      <c r="L20" s="500"/>
      <c r="M20" s="500"/>
      <c r="N20" s="500"/>
      <c r="O20" s="500"/>
      <c r="P20" s="500"/>
      <c r="Q20" s="500"/>
      <c r="R20" s="1416"/>
      <c r="S20" s="469"/>
    </row>
    <row r="21" spans="1:45" ht="15.75">
      <c r="A21" s="1124" t="s">
        <v>522</v>
      </c>
      <c r="B21" s="673">
        <f ca="1">R22</f>
        <v>31916</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11545.240000000002</v>
      </c>
      <c r="C22" s="3761" t="s">
        <v>169</v>
      </c>
      <c r="D22" s="3762"/>
      <c r="E22" s="3762"/>
      <c r="F22" s="3762"/>
      <c r="G22" s="3762"/>
      <c r="H22" s="3762"/>
      <c r="I22" s="3762"/>
      <c r="J22" s="3762"/>
      <c r="K22" s="3762"/>
      <c r="L22" s="3762"/>
      <c r="M22" s="3762"/>
      <c r="N22" s="3762"/>
      <c r="O22" s="3762"/>
      <c r="P22" s="3762"/>
      <c r="Q22" s="3763"/>
      <c r="R22" s="1125">
        <f ca="1">ROUND(S22*10000/B22,0)</f>
        <v>31916</v>
      </c>
      <c r="S22" s="313">
        <f ca="1">SUM(S24:S10000)</f>
        <v>36848</v>
      </c>
    </row>
    <row r="23" spans="1:45" s="300" customFormat="1" ht="24">
      <c r="A23" s="299" t="s">
        <v>524</v>
      </c>
      <c r="B23" s="299" t="s">
        <v>525</v>
      </c>
      <c r="C23" s="299" t="s">
        <v>526</v>
      </c>
      <c r="D23" s="299" t="str">
        <f>B5</f>
        <v>楼层</v>
      </c>
      <c r="E23" s="299" t="s">
        <v>526</v>
      </c>
      <c r="F23" s="299" t="str">
        <f>B7</f>
        <v>内部装修</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3771" t="s">
        <v>3178</v>
      </c>
      <c r="Y23" s="3772" t="s">
        <v>3179</v>
      </c>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tr">
        <f>'数据-基础表'!C13</f>
        <v>三层</v>
      </c>
      <c r="B24" s="1127">
        <f>V25</f>
        <v>2099.0100000000002</v>
      </c>
      <c r="C24" s="1128">
        <v>1</v>
      </c>
      <c r="D24" s="1129"/>
      <c r="E24" s="1128">
        <v>1</v>
      </c>
      <c r="F24" s="1129" t="s">
        <v>3138</v>
      </c>
      <c r="G24" s="1128">
        <v>1</v>
      </c>
      <c r="H24" s="1129"/>
      <c r="I24" s="1128">
        <v>1</v>
      </c>
      <c r="J24" s="1129"/>
      <c r="K24" s="1128">
        <v>1</v>
      </c>
      <c r="L24" s="1129"/>
      <c r="M24" s="1128">
        <v>1</v>
      </c>
      <c r="N24" s="1129"/>
      <c r="O24" s="1128">
        <v>1</v>
      </c>
      <c r="P24" s="1129" t="s">
        <v>3144</v>
      </c>
      <c r="Q24" s="1128">
        <v>1</v>
      </c>
      <c r="R24" s="1130">
        <f ca="1">结果表!G20</f>
        <v>32939</v>
      </c>
      <c r="S24" s="1128">
        <f t="shared" ref="S24:S54" ca="1" si="11">ROUND(R24*B24/10000,0)</f>
        <v>6914</v>
      </c>
      <c r="T24" s="1468" t="s">
        <v>3175</v>
      </c>
      <c r="U24" s="1468"/>
      <c r="V24" s="1468"/>
      <c r="W24" s="1468"/>
      <c r="X24" s="1131">
        <f ca="1">ROUND(收益法!C13/收益法!C40,2)</f>
        <v>0.09</v>
      </c>
      <c r="Y24" s="1468">
        <f ca="1">ROUND(收益法!C13/收益法!F7*10000,0)</f>
        <v>3049</v>
      </c>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1127" t="str">
        <f>T25</f>
        <v>520、524、526-528</v>
      </c>
      <c r="B25" s="1127">
        <f t="shared" ref="B25:B44" si="12">V26</f>
        <v>390.54</v>
      </c>
      <c r="C25" s="313">
        <f>IF(B25="",1,(LOOKUP(B25,$3:$3,$4:$4)-LOOKUP($B$24,$3:$3,$4:$4)+100)/100)</f>
        <v>1.04</v>
      </c>
      <c r="D25" s="1129"/>
      <c r="E25" s="313">
        <f>(SUMIF($5:$5,D25,$6:$6)-SUMIF($5:$5,$D$24,$6:$6)+100)/100</f>
        <v>1</v>
      </c>
      <c r="F25" s="1129" t="s">
        <v>3138</v>
      </c>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t="s">
        <v>3144</v>
      </c>
      <c r="Q25" s="313">
        <f>(SUMIF($17:$17,P25,$18:$18)-SUMIF($17:$17,$P$24,$18:$18)+100)/100</f>
        <v>1</v>
      </c>
      <c r="R25" s="1125">
        <f ca="1">IF(B25="",0,ROUND($R$24*C25*E25*G25*I25*K25*M25*O25*Q25,0))</f>
        <v>34257</v>
      </c>
      <c r="S25" s="698">
        <f t="shared" ca="1" si="11"/>
        <v>1338</v>
      </c>
      <c r="T25" s="1463" t="s">
        <v>3109</v>
      </c>
      <c r="V25" s="1463">
        <v>2099.0100000000002</v>
      </c>
      <c r="Y25" s="1468"/>
    </row>
    <row r="26" spans="1:45">
      <c r="A26" s="1127" t="str">
        <f t="shared" ref="A26:A43" si="13">T26</f>
        <v>701-715、725-726</v>
      </c>
      <c r="B26" s="1127">
        <f t="shared" si="12"/>
        <v>1136.8499999999999</v>
      </c>
      <c r="C26" s="313">
        <f t="shared" ref="C26:C89" si="14">IF(B26="",1,(LOOKUP(B26,$3:$3,$4:$4)-LOOKUP($B$24,$3:$3,$4:$4)+100)/100)</f>
        <v>1.02</v>
      </c>
      <c r="D26" s="1129"/>
      <c r="E26" s="313">
        <f t="shared" ref="E26:E89" si="15">(SUMIF($5:$5,D26,$6:$6)-SUMIF($5:$5,$D$24,$6:$6)+100)/100</f>
        <v>1</v>
      </c>
      <c r="F26" s="1129" t="s">
        <v>3138</v>
      </c>
      <c r="G26" s="313">
        <f t="shared" ref="G26:G89" si="16">(SUMIF($7:$7,F26,$8:$8)-SUMIF($7:$7,$F$24,$8:$8)+100)/100</f>
        <v>1</v>
      </c>
      <c r="H26" s="1129"/>
      <c r="I26" s="313">
        <f t="shared" ref="I26:I89" si="17">(SUMIF($9:$9,H26,$10:$10)-SUMIF($9:$9,$H$24,$10:$10)+100)/100</f>
        <v>1</v>
      </c>
      <c r="J26" s="1129"/>
      <c r="K26" s="313">
        <f t="shared" ref="K26:K89" si="18">(SUMIF($11:$11,J26,$12:$12)-SUMIF($11:$11,$J$24,$12:$12)+100)/100</f>
        <v>1</v>
      </c>
      <c r="L26" s="1129"/>
      <c r="M26" s="313">
        <f t="shared" ref="M26:M89" si="19">(SUMIF($13:$13,L26,$14:$14)-SUMIF($13:$13,$L$24,$14:$14)+100)/100</f>
        <v>1</v>
      </c>
      <c r="N26" s="1129"/>
      <c r="O26" s="313">
        <f t="shared" ref="O26:O89" si="20">(SUMIF($15:$15,N26,$16:$16)-SUMIF($15:$15,$N$24,$16:$16)+100)/100</f>
        <v>1</v>
      </c>
      <c r="P26" s="1129" t="s">
        <v>3144</v>
      </c>
      <c r="Q26" s="313">
        <f t="shared" ref="Q26:Q89" si="21">(SUMIF($17:$17,P26,$18:$18)-SUMIF($17:$17,$P$24,$18:$18)+100)/100</f>
        <v>1</v>
      </c>
      <c r="R26" s="1125">
        <f t="shared" ref="R26:R89" ca="1" si="22">IF(B26="",0,ROUND($R$24*C26*E26*G26*I26*K26*M26*O26*Q26,0))</f>
        <v>33598</v>
      </c>
      <c r="S26" s="698">
        <f t="shared" ca="1" si="11"/>
        <v>3820</v>
      </c>
      <c r="T26" s="1463" t="s">
        <v>3110</v>
      </c>
      <c r="V26" s="1463">
        <v>390.54</v>
      </c>
      <c r="Y26" s="1468"/>
    </row>
    <row r="27" spans="1:45">
      <c r="A27" s="1127" t="str">
        <f t="shared" si="13"/>
        <v>807-809、812-817</v>
      </c>
      <c r="B27" s="1127">
        <f t="shared" si="12"/>
        <v>522.15</v>
      </c>
      <c r="C27" s="313">
        <f t="shared" si="14"/>
        <v>1.03</v>
      </c>
      <c r="D27" s="1129"/>
      <c r="E27" s="313">
        <f t="shared" si="15"/>
        <v>1</v>
      </c>
      <c r="F27" s="1129" t="s">
        <v>3138</v>
      </c>
      <c r="G27" s="313">
        <f t="shared" si="16"/>
        <v>1</v>
      </c>
      <c r="H27" s="1129"/>
      <c r="I27" s="313">
        <f t="shared" si="17"/>
        <v>1</v>
      </c>
      <c r="J27" s="1129"/>
      <c r="K27" s="313">
        <f t="shared" si="18"/>
        <v>1</v>
      </c>
      <c r="L27" s="1129"/>
      <c r="M27" s="313">
        <f t="shared" si="19"/>
        <v>1</v>
      </c>
      <c r="N27" s="1129"/>
      <c r="O27" s="313">
        <f t="shared" si="20"/>
        <v>1</v>
      </c>
      <c r="P27" s="1129" t="s">
        <v>3143</v>
      </c>
      <c r="Q27" s="313">
        <f t="shared" si="21"/>
        <v>1.02</v>
      </c>
      <c r="R27" s="1125">
        <f t="shared" ca="1" si="22"/>
        <v>34606</v>
      </c>
      <c r="S27" s="698">
        <f t="shared" ca="1" si="11"/>
        <v>1807</v>
      </c>
      <c r="T27" s="1463" t="s">
        <v>3111</v>
      </c>
      <c r="V27" s="1463">
        <v>1136.8499999999999</v>
      </c>
      <c r="Y27" s="1468"/>
    </row>
    <row r="28" spans="1:45">
      <c r="A28" s="1127" t="str">
        <f t="shared" si="13"/>
        <v>903-909、912-915、920</v>
      </c>
      <c r="B28" s="1127">
        <f t="shared" si="12"/>
        <v>747.51</v>
      </c>
      <c r="C28" s="313">
        <f t="shared" si="14"/>
        <v>1.03</v>
      </c>
      <c r="D28" s="1129"/>
      <c r="E28" s="313">
        <f t="shared" si="15"/>
        <v>1</v>
      </c>
      <c r="F28" s="1129" t="s">
        <v>3138</v>
      </c>
      <c r="G28" s="313">
        <f t="shared" si="16"/>
        <v>1</v>
      </c>
      <c r="H28" s="1129"/>
      <c r="I28" s="313">
        <f t="shared" si="17"/>
        <v>1</v>
      </c>
      <c r="J28" s="1129"/>
      <c r="K28" s="313">
        <f t="shared" si="18"/>
        <v>1</v>
      </c>
      <c r="L28" s="1129"/>
      <c r="M28" s="313">
        <f t="shared" si="19"/>
        <v>1</v>
      </c>
      <c r="N28" s="1129"/>
      <c r="O28" s="313">
        <f t="shared" si="20"/>
        <v>1</v>
      </c>
      <c r="P28" s="1129" t="s">
        <v>3143</v>
      </c>
      <c r="Q28" s="313">
        <f t="shared" si="21"/>
        <v>1.02</v>
      </c>
      <c r="R28" s="1125">
        <f t="shared" ca="1" si="22"/>
        <v>34606</v>
      </c>
      <c r="S28" s="698">
        <f t="shared" ca="1" si="11"/>
        <v>2587</v>
      </c>
      <c r="T28" s="1463" t="s">
        <v>3112</v>
      </c>
      <c r="V28" s="1463">
        <v>522.15</v>
      </c>
      <c r="Y28" s="1468"/>
    </row>
    <row r="29" spans="1:45">
      <c r="A29" s="1127">
        <f t="shared" si="13"/>
        <v>921</v>
      </c>
      <c r="B29" s="1127"/>
      <c r="C29" s="313">
        <f t="shared" si="14"/>
        <v>1</v>
      </c>
      <c r="D29" s="1129"/>
      <c r="E29" s="313">
        <f t="shared" si="15"/>
        <v>1</v>
      </c>
      <c r="F29" s="1129" t="s">
        <v>3138</v>
      </c>
      <c r="G29" s="313">
        <f t="shared" si="16"/>
        <v>1</v>
      </c>
      <c r="H29" s="1129"/>
      <c r="I29" s="313">
        <f t="shared" si="17"/>
        <v>1</v>
      </c>
      <c r="J29" s="1129"/>
      <c r="K29" s="313">
        <f t="shared" si="18"/>
        <v>1</v>
      </c>
      <c r="L29" s="1129"/>
      <c r="M29" s="313">
        <f t="shared" si="19"/>
        <v>1</v>
      </c>
      <c r="N29" s="1129"/>
      <c r="O29" s="313">
        <f t="shared" si="20"/>
        <v>1</v>
      </c>
      <c r="P29" s="1129" t="s">
        <v>3143</v>
      </c>
      <c r="Q29" s="313">
        <f t="shared" si="21"/>
        <v>1.02</v>
      </c>
      <c r="R29" s="1125">
        <f t="shared" si="22"/>
        <v>0</v>
      </c>
      <c r="S29" s="698">
        <f t="shared" si="11"/>
        <v>0</v>
      </c>
      <c r="T29" s="1463">
        <v>921</v>
      </c>
      <c r="V29" s="1463">
        <v>747.51</v>
      </c>
      <c r="Y29" s="1468"/>
    </row>
    <row r="30" spans="1:45">
      <c r="A30" s="1127" t="str">
        <f t="shared" si="13"/>
        <v>1105-1110、1112-1115</v>
      </c>
      <c r="B30" s="1127">
        <f t="shared" si="12"/>
        <v>659.19</v>
      </c>
      <c r="C30" s="313">
        <f t="shared" si="14"/>
        <v>1.03</v>
      </c>
      <c r="D30" s="1129"/>
      <c r="E30" s="313">
        <f t="shared" si="15"/>
        <v>1</v>
      </c>
      <c r="F30" s="1129" t="s">
        <v>3138</v>
      </c>
      <c r="G30" s="313">
        <f t="shared" si="16"/>
        <v>1</v>
      </c>
      <c r="H30" s="1129"/>
      <c r="I30" s="313">
        <f t="shared" si="17"/>
        <v>1</v>
      </c>
      <c r="J30" s="1129"/>
      <c r="K30" s="313">
        <f t="shared" si="18"/>
        <v>1</v>
      </c>
      <c r="L30" s="1129"/>
      <c r="M30" s="313">
        <f t="shared" si="19"/>
        <v>1</v>
      </c>
      <c r="N30" s="1129"/>
      <c r="O30" s="313">
        <f t="shared" si="20"/>
        <v>1</v>
      </c>
      <c r="P30" s="1129" t="s">
        <v>3143</v>
      </c>
      <c r="Q30" s="313">
        <f t="shared" si="21"/>
        <v>1.02</v>
      </c>
      <c r="R30" s="1125">
        <f t="shared" ca="1" si="22"/>
        <v>34606</v>
      </c>
      <c r="S30" s="698">
        <f t="shared" ca="1" si="11"/>
        <v>2281</v>
      </c>
      <c r="T30" s="1463" t="s">
        <v>3113</v>
      </c>
      <c r="V30" s="1463">
        <v>71.09</v>
      </c>
      <c r="Y30" s="1468"/>
    </row>
    <row r="31" spans="1:45">
      <c r="A31" s="1127">
        <f t="shared" si="13"/>
        <v>1125</v>
      </c>
      <c r="B31" s="1127"/>
      <c r="C31" s="313">
        <f t="shared" si="14"/>
        <v>1</v>
      </c>
      <c r="D31" s="1129"/>
      <c r="E31" s="313">
        <f t="shared" si="15"/>
        <v>1</v>
      </c>
      <c r="F31" s="1129" t="s">
        <v>3138</v>
      </c>
      <c r="G31" s="313">
        <f t="shared" si="16"/>
        <v>1</v>
      </c>
      <c r="H31" s="1129"/>
      <c r="I31" s="313">
        <f t="shared" si="17"/>
        <v>1</v>
      </c>
      <c r="J31" s="1129"/>
      <c r="K31" s="313">
        <f t="shared" si="18"/>
        <v>1</v>
      </c>
      <c r="L31" s="1129"/>
      <c r="M31" s="313">
        <f t="shared" si="19"/>
        <v>1</v>
      </c>
      <c r="N31" s="1129"/>
      <c r="O31" s="313">
        <f t="shared" si="20"/>
        <v>1</v>
      </c>
      <c r="P31" s="1129" t="s">
        <v>3143</v>
      </c>
      <c r="Q31" s="313">
        <f t="shared" si="21"/>
        <v>1.02</v>
      </c>
      <c r="R31" s="1125">
        <f t="shared" si="22"/>
        <v>0</v>
      </c>
      <c r="S31" s="698">
        <f t="shared" si="11"/>
        <v>0</v>
      </c>
      <c r="T31" s="1463">
        <v>1125</v>
      </c>
      <c r="V31" s="1463">
        <v>659.19</v>
      </c>
      <c r="Y31" s="1468"/>
    </row>
    <row r="32" spans="1:45">
      <c r="A32" s="1127">
        <f t="shared" si="13"/>
        <v>1126</v>
      </c>
      <c r="B32" s="1127"/>
      <c r="C32" s="313">
        <f t="shared" si="14"/>
        <v>1</v>
      </c>
      <c r="D32" s="1129"/>
      <c r="E32" s="313">
        <f t="shared" si="15"/>
        <v>1</v>
      </c>
      <c r="F32" s="1129" t="s">
        <v>3138</v>
      </c>
      <c r="G32" s="313">
        <f t="shared" si="16"/>
        <v>1</v>
      </c>
      <c r="H32" s="1129"/>
      <c r="I32" s="313">
        <f t="shared" si="17"/>
        <v>1</v>
      </c>
      <c r="J32" s="1129"/>
      <c r="K32" s="313">
        <f t="shared" si="18"/>
        <v>1</v>
      </c>
      <c r="L32" s="1129"/>
      <c r="M32" s="313">
        <f t="shared" si="19"/>
        <v>1</v>
      </c>
      <c r="N32" s="1129"/>
      <c r="O32" s="313">
        <f t="shared" si="20"/>
        <v>1</v>
      </c>
      <c r="P32" s="1129" t="s">
        <v>3143</v>
      </c>
      <c r="Q32" s="313">
        <f t="shared" si="21"/>
        <v>1.02</v>
      </c>
      <c r="R32" s="1125">
        <f t="shared" si="22"/>
        <v>0</v>
      </c>
      <c r="S32" s="698">
        <f t="shared" si="11"/>
        <v>0</v>
      </c>
      <c r="T32" s="1463">
        <v>1126</v>
      </c>
      <c r="V32" s="1463">
        <v>80.91</v>
      </c>
      <c r="Y32" s="1468"/>
    </row>
    <row r="33" spans="1:25">
      <c r="A33" s="1127" t="str">
        <f t="shared" si="13"/>
        <v>1206-1212</v>
      </c>
      <c r="B33" s="1127">
        <f t="shared" si="12"/>
        <v>525.14</v>
      </c>
      <c r="C33" s="313">
        <f t="shared" si="14"/>
        <v>1.03</v>
      </c>
      <c r="D33" s="1129"/>
      <c r="E33" s="313">
        <f t="shared" si="15"/>
        <v>1</v>
      </c>
      <c r="F33" s="1129" t="s">
        <v>3138</v>
      </c>
      <c r="G33" s="313">
        <f t="shared" si="16"/>
        <v>1</v>
      </c>
      <c r="H33" s="1129"/>
      <c r="I33" s="313">
        <f t="shared" si="17"/>
        <v>1</v>
      </c>
      <c r="J33" s="1129"/>
      <c r="K33" s="313">
        <f t="shared" si="18"/>
        <v>1</v>
      </c>
      <c r="L33" s="1129"/>
      <c r="M33" s="313">
        <f t="shared" si="19"/>
        <v>1</v>
      </c>
      <c r="N33" s="1129"/>
      <c r="O33" s="313">
        <f t="shared" si="20"/>
        <v>1</v>
      </c>
      <c r="P33" s="1129" t="s">
        <v>3143</v>
      </c>
      <c r="Q33" s="313">
        <f t="shared" si="21"/>
        <v>1.02</v>
      </c>
      <c r="R33" s="1125">
        <f t="shared" ca="1" si="22"/>
        <v>34606</v>
      </c>
      <c r="S33" s="698">
        <f t="shared" ca="1" si="11"/>
        <v>1817</v>
      </c>
      <c r="T33" s="1463" t="s">
        <v>3114</v>
      </c>
      <c r="V33" s="1463">
        <v>80.17</v>
      </c>
      <c r="Y33" s="1468"/>
    </row>
    <row r="34" spans="1:25">
      <c r="A34" s="1127" t="str">
        <f t="shared" si="13"/>
        <v>1212A</v>
      </c>
      <c r="B34" s="1127"/>
      <c r="C34" s="313">
        <f t="shared" si="14"/>
        <v>1</v>
      </c>
      <c r="D34" s="1129"/>
      <c r="E34" s="313">
        <f t="shared" si="15"/>
        <v>1</v>
      </c>
      <c r="F34" s="1129" t="s">
        <v>3138</v>
      </c>
      <c r="G34" s="313">
        <f t="shared" si="16"/>
        <v>1</v>
      </c>
      <c r="H34" s="1129"/>
      <c r="I34" s="313">
        <f t="shared" si="17"/>
        <v>1</v>
      </c>
      <c r="J34" s="1129"/>
      <c r="K34" s="313">
        <f t="shared" si="18"/>
        <v>1</v>
      </c>
      <c r="L34" s="1129"/>
      <c r="M34" s="313">
        <f t="shared" si="19"/>
        <v>1</v>
      </c>
      <c r="N34" s="1129"/>
      <c r="O34" s="313">
        <f t="shared" si="20"/>
        <v>1</v>
      </c>
      <c r="P34" s="1129" t="s">
        <v>3143</v>
      </c>
      <c r="Q34" s="313">
        <f t="shared" si="21"/>
        <v>1.02</v>
      </c>
      <c r="R34" s="1125">
        <f t="shared" si="22"/>
        <v>0</v>
      </c>
      <c r="S34" s="698">
        <f t="shared" si="11"/>
        <v>0</v>
      </c>
      <c r="T34" s="1463" t="s">
        <v>3115</v>
      </c>
      <c r="V34" s="1463">
        <v>525.14</v>
      </c>
      <c r="Y34" s="1468"/>
    </row>
    <row r="35" spans="1:25">
      <c r="A35" s="1127">
        <f t="shared" si="13"/>
        <v>1214</v>
      </c>
      <c r="B35" s="1127"/>
      <c r="C35" s="313">
        <f t="shared" si="14"/>
        <v>1</v>
      </c>
      <c r="D35" s="1129"/>
      <c r="E35" s="313">
        <f t="shared" si="15"/>
        <v>1</v>
      </c>
      <c r="F35" s="1129" t="s">
        <v>3138</v>
      </c>
      <c r="G35" s="313">
        <f t="shared" si="16"/>
        <v>1</v>
      </c>
      <c r="H35" s="1129"/>
      <c r="I35" s="313">
        <f t="shared" si="17"/>
        <v>1</v>
      </c>
      <c r="J35" s="1129"/>
      <c r="K35" s="313">
        <f t="shared" si="18"/>
        <v>1</v>
      </c>
      <c r="L35" s="1129"/>
      <c r="M35" s="313">
        <f t="shared" si="19"/>
        <v>1</v>
      </c>
      <c r="N35" s="1129"/>
      <c r="O35" s="313">
        <f t="shared" si="20"/>
        <v>1</v>
      </c>
      <c r="P35" s="1129" t="s">
        <v>3143</v>
      </c>
      <c r="Q35" s="313">
        <f t="shared" si="21"/>
        <v>1.02</v>
      </c>
      <c r="R35" s="1125">
        <f t="shared" si="22"/>
        <v>0</v>
      </c>
      <c r="S35" s="698">
        <f t="shared" si="11"/>
        <v>0</v>
      </c>
      <c r="T35" s="1463">
        <v>1214</v>
      </c>
      <c r="V35" s="1463">
        <v>35.47</v>
      </c>
      <c r="Y35" s="1468"/>
    </row>
    <row r="36" spans="1:25">
      <c r="A36" s="1127" t="str">
        <f t="shared" si="13"/>
        <v>13层</v>
      </c>
      <c r="B36" s="1127">
        <f t="shared" si="12"/>
        <v>1776.4</v>
      </c>
      <c r="C36" s="313">
        <f t="shared" si="14"/>
        <v>1.01</v>
      </c>
      <c r="D36" s="1129"/>
      <c r="E36" s="313">
        <f t="shared" si="15"/>
        <v>1</v>
      </c>
      <c r="F36" s="1129" t="s">
        <v>3138</v>
      </c>
      <c r="G36" s="313">
        <f t="shared" si="16"/>
        <v>1</v>
      </c>
      <c r="H36" s="1129"/>
      <c r="I36" s="313">
        <f t="shared" si="17"/>
        <v>1</v>
      </c>
      <c r="J36" s="1129"/>
      <c r="K36" s="313">
        <f t="shared" si="18"/>
        <v>1</v>
      </c>
      <c r="L36" s="1129"/>
      <c r="M36" s="313">
        <f t="shared" si="19"/>
        <v>1</v>
      </c>
      <c r="N36" s="1129"/>
      <c r="O36" s="313">
        <f t="shared" si="20"/>
        <v>1</v>
      </c>
      <c r="P36" s="1129" t="s">
        <v>3143</v>
      </c>
      <c r="Q36" s="313">
        <f t="shared" si="21"/>
        <v>1.02</v>
      </c>
      <c r="R36" s="1125">
        <f t="shared" ca="1" si="22"/>
        <v>33934</v>
      </c>
      <c r="S36" s="698">
        <f t="shared" ca="1" si="11"/>
        <v>6028</v>
      </c>
      <c r="T36" s="1463" t="s">
        <v>3116</v>
      </c>
      <c r="V36" s="1463">
        <v>73.42</v>
      </c>
      <c r="Y36" s="1468"/>
    </row>
    <row r="37" spans="1:25">
      <c r="A37" s="1127" t="str">
        <f t="shared" si="13"/>
        <v>1701、1709、1711-1712</v>
      </c>
      <c r="B37" s="1127"/>
      <c r="C37" s="313">
        <f t="shared" si="14"/>
        <v>1</v>
      </c>
      <c r="D37" s="1129"/>
      <c r="E37" s="313">
        <f t="shared" si="15"/>
        <v>1</v>
      </c>
      <c r="F37" s="1129" t="s">
        <v>3138</v>
      </c>
      <c r="G37" s="313">
        <f t="shared" si="16"/>
        <v>1</v>
      </c>
      <c r="H37" s="1129"/>
      <c r="I37" s="313">
        <f t="shared" si="17"/>
        <v>1</v>
      </c>
      <c r="J37" s="1129"/>
      <c r="K37" s="313">
        <f t="shared" si="18"/>
        <v>1</v>
      </c>
      <c r="L37" s="1129"/>
      <c r="M37" s="313">
        <f t="shared" si="19"/>
        <v>1</v>
      </c>
      <c r="N37" s="1129"/>
      <c r="O37" s="313">
        <f t="shared" si="20"/>
        <v>1</v>
      </c>
      <c r="P37" s="1129" t="s">
        <v>3136</v>
      </c>
      <c r="Q37" s="313">
        <f t="shared" si="21"/>
        <v>1.04</v>
      </c>
      <c r="R37" s="1125">
        <f t="shared" si="22"/>
        <v>0</v>
      </c>
      <c r="S37" s="698">
        <f t="shared" si="11"/>
        <v>0</v>
      </c>
      <c r="T37" s="1463" t="s">
        <v>3117</v>
      </c>
      <c r="V37" s="1463">
        <v>1776.4</v>
      </c>
      <c r="Y37" s="1468"/>
    </row>
    <row r="38" spans="1:25">
      <c r="A38" s="1127">
        <f t="shared" si="13"/>
        <v>1705</v>
      </c>
      <c r="B38" s="1127"/>
      <c r="C38" s="313">
        <f t="shared" si="14"/>
        <v>1</v>
      </c>
      <c r="D38" s="1129"/>
      <c r="E38" s="313">
        <f t="shared" si="15"/>
        <v>1</v>
      </c>
      <c r="F38" s="1129" t="s">
        <v>3138</v>
      </c>
      <c r="G38" s="313">
        <f t="shared" si="16"/>
        <v>1</v>
      </c>
      <c r="H38" s="1129"/>
      <c r="I38" s="313">
        <f t="shared" si="17"/>
        <v>1</v>
      </c>
      <c r="J38" s="1129"/>
      <c r="K38" s="313">
        <f t="shared" si="18"/>
        <v>1</v>
      </c>
      <c r="L38" s="1129"/>
      <c r="M38" s="313">
        <f t="shared" si="19"/>
        <v>1</v>
      </c>
      <c r="N38" s="1129"/>
      <c r="O38" s="313">
        <f t="shared" si="20"/>
        <v>1</v>
      </c>
      <c r="P38" s="1129" t="s">
        <v>3136</v>
      </c>
      <c r="Q38" s="313">
        <f t="shared" si="21"/>
        <v>1.04</v>
      </c>
      <c r="R38" s="1125">
        <f t="shared" si="22"/>
        <v>0</v>
      </c>
      <c r="S38" s="698">
        <f t="shared" si="11"/>
        <v>0</v>
      </c>
      <c r="T38" s="1463">
        <v>1705</v>
      </c>
      <c r="V38" s="1463">
        <v>309.33</v>
      </c>
      <c r="Y38" s="1468"/>
    </row>
    <row r="39" spans="1:25">
      <c r="A39" s="1127">
        <f t="shared" si="13"/>
        <v>1706</v>
      </c>
      <c r="B39" s="1127"/>
      <c r="C39" s="313">
        <f t="shared" si="14"/>
        <v>1</v>
      </c>
      <c r="D39" s="1129"/>
      <c r="E39" s="313">
        <f t="shared" si="15"/>
        <v>1</v>
      </c>
      <c r="F39" s="1129" t="s">
        <v>3138</v>
      </c>
      <c r="G39" s="313">
        <f t="shared" si="16"/>
        <v>1</v>
      </c>
      <c r="H39" s="1129"/>
      <c r="I39" s="313">
        <f t="shared" si="17"/>
        <v>1</v>
      </c>
      <c r="J39" s="1129"/>
      <c r="K39" s="313">
        <f t="shared" si="18"/>
        <v>1</v>
      </c>
      <c r="L39" s="1129"/>
      <c r="M39" s="313">
        <f t="shared" si="19"/>
        <v>1</v>
      </c>
      <c r="N39" s="1129"/>
      <c r="O39" s="313">
        <f t="shared" si="20"/>
        <v>1</v>
      </c>
      <c r="P39" s="1129" t="s">
        <v>3136</v>
      </c>
      <c r="Q39" s="313">
        <f t="shared" si="21"/>
        <v>1.04</v>
      </c>
      <c r="R39" s="1125">
        <f t="shared" si="22"/>
        <v>0</v>
      </c>
      <c r="S39" s="698">
        <f t="shared" si="11"/>
        <v>0</v>
      </c>
      <c r="T39" s="1463">
        <v>1706</v>
      </c>
      <c r="V39" s="1463">
        <v>83.92</v>
      </c>
      <c r="Y39" s="1468"/>
    </row>
    <row r="40" spans="1:25">
      <c r="A40" s="1127">
        <f t="shared" si="13"/>
        <v>1707</v>
      </c>
      <c r="B40" s="1127"/>
      <c r="C40" s="313">
        <f t="shared" si="14"/>
        <v>1</v>
      </c>
      <c r="D40" s="1129"/>
      <c r="E40" s="313">
        <f t="shared" si="15"/>
        <v>1</v>
      </c>
      <c r="F40" s="1129" t="s">
        <v>3138</v>
      </c>
      <c r="G40" s="313">
        <f t="shared" si="16"/>
        <v>1</v>
      </c>
      <c r="H40" s="1129"/>
      <c r="I40" s="313">
        <f t="shared" si="17"/>
        <v>1</v>
      </c>
      <c r="J40" s="1129"/>
      <c r="K40" s="313">
        <f t="shared" si="18"/>
        <v>1</v>
      </c>
      <c r="L40" s="1129"/>
      <c r="M40" s="313">
        <f t="shared" si="19"/>
        <v>1</v>
      </c>
      <c r="N40" s="1129"/>
      <c r="O40" s="313">
        <f t="shared" si="20"/>
        <v>1</v>
      </c>
      <c r="P40" s="1129" t="s">
        <v>3136</v>
      </c>
      <c r="Q40" s="313">
        <f t="shared" si="21"/>
        <v>1.04</v>
      </c>
      <c r="R40" s="1125">
        <f t="shared" si="22"/>
        <v>0</v>
      </c>
      <c r="S40" s="698">
        <f t="shared" si="11"/>
        <v>0</v>
      </c>
      <c r="T40" s="1463">
        <v>1707</v>
      </c>
      <c r="V40" s="1463">
        <v>83.5</v>
      </c>
      <c r="Y40" s="1468"/>
    </row>
    <row r="41" spans="1:25">
      <c r="A41" s="1127">
        <f t="shared" si="13"/>
        <v>1708</v>
      </c>
      <c r="B41" s="1127"/>
      <c r="C41" s="313">
        <f t="shared" si="14"/>
        <v>1</v>
      </c>
      <c r="D41" s="1129"/>
      <c r="E41" s="313">
        <f t="shared" si="15"/>
        <v>1</v>
      </c>
      <c r="F41" s="1129" t="s">
        <v>3138</v>
      </c>
      <c r="G41" s="313">
        <f t="shared" si="16"/>
        <v>1</v>
      </c>
      <c r="H41" s="1129"/>
      <c r="I41" s="313">
        <f t="shared" si="17"/>
        <v>1</v>
      </c>
      <c r="J41" s="1129"/>
      <c r="K41" s="313">
        <f t="shared" si="18"/>
        <v>1</v>
      </c>
      <c r="L41" s="1129"/>
      <c r="M41" s="313">
        <f t="shared" si="19"/>
        <v>1</v>
      </c>
      <c r="N41" s="1129"/>
      <c r="O41" s="313">
        <f t="shared" si="20"/>
        <v>1</v>
      </c>
      <c r="P41" s="1129" t="s">
        <v>3136</v>
      </c>
      <c r="Q41" s="313">
        <f t="shared" si="21"/>
        <v>1.04</v>
      </c>
      <c r="R41" s="1125">
        <f t="shared" si="22"/>
        <v>0</v>
      </c>
      <c r="S41" s="698">
        <f t="shared" si="11"/>
        <v>0</v>
      </c>
      <c r="T41" s="1463">
        <v>1708</v>
      </c>
      <c r="V41" s="1463">
        <v>83.35</v>
      </c>
      <c r="Y41" s="1468"/>
    </row>
    <row r="42" spans="1:25">
      <c r="A42" s="1127" t="str">
        <f t="shared" si="13"/>
        <v>19层</v>
      </c>
      <c r="B42" s="1127">
        <f t="shared" si="12"/>
        <v>1677.77</v>
      </c>
      <c r="C42" s="313">
        <f t="shared" si="14"/>
        <v>1.01</v>
      </c>
      <c r="D42" s="1129"/>
      <c r="E42" s="313">
        <f t="shared" si="15"/>
        <v>1</v>
      </c>
      <c r="F42" s="1129" t="s">
        <v>3138</v>
      </c>
      <c r="G42" s="313">
        <f t="shared" si="16"/>
        <v>1</v>
      </c>
      <c r="H42" s="1129"/>
      <c r="I42" s="313">
        <f t="shared" si="17"/>
        <v>1</v>
      </c>
      <c r="J42" s="1129"/>
      <c r="K42" s="313">
        <f t="shared" si="18"/>
        <v>1</v>
      </c>
      <c r="L42" s="1129"/>
      <c r="M42" s="313">
        <f t="shared" si="19"/>
        <v>1</v>
      </c>
      <c r="N42" s="1129"/>
      <c r="O42" s="313">
        <f t="shared" si="20"/>
        <v>1</v>
      </c>
      <c r="P42" s="1129" t="s">
        <v>3136</v>
      </c>
      <c r="Q42" s="313">
        <f t="shared" si="21"/>
        <v>1.04</v>
      </c>
      <c r="R42" s="1125">
        <f t="shared" ca="1" si="22"/>
        <v>34599</v>
      </c>
      <c r="S42" s="698">
        <f t="shared" ca="1" si="11"/>
        <v>5805</v>
      </c>
      <c r="T42" s="1463" t="s">
        <v>3118</v>
      </c>
      <c r="V42" s="1463">
        <v>83.54</v>
      </c>
      <c r="Y42" s="1468"/>
    </row>
    <row r="43" spans="1:25">
      <c r="A43" s="1127" t="str">
        <f t="shared" si="13"/>
        <v>1807-1808、1812-1816</v>
      </c>
      <c r="B43" s="1127"/>
      <c r="C43" s="313">
        <f t="shared" si="14"/>
        <v>1</v>
      </c>
      <c r="D43" s="1129"/>
      <c r="E43" s="313">
        <f t="shared" si="15"/>
        <v>1</v>
      </c>
      <c r="F43" s="1129" t="s">
        <v>3138</v>
      </c>
      <c r="G43" s="313">
        <f t="shared" si="16"/>
        <v>1</v>
      </c>
      <c r="H43" s="1129"/>
      <c r="I43" s="313">
        <f t="shared" si="17"/>
        <v>1</v>
      </c>
      <c r="J43" s="1129"/>
      <c r="K43" s="313">
        <f t="shared" si="18"/>
        <v>1</v>
      </c>
      <c r="L43" s="1129"/>
      <c r="M43" s="313">
        <f t="shared" si="19"/>
        <v>1</v>
      </c>
      <c r="N43" s="1129"/>
      <c r="O43" s="313">
        <f t="shared" si="20"/>
        <v>1</v>
      </c>
      <c r="P43" s="1129" t="s">
        <v>3136</v>
      </c>
      <c r="Q43" s="313">
        <f t="shared" si="21"/>
        <v>1.04</v>
      </c>
      <c r="R43" s="1125">
        <f t="shared" si="22"/>
        <v>0</v>
      </c>
      <c r="S43" s="698">
        <f t="shared" si="11"/>
        <v>0</v>
      </c>
      <c r="T43" s="1463" t="s">
        <v>3119</v>
      </c>
      <c r="V43" s="1463">
        <v>1677.77</v>
      </c>
      <c r="Y43" s="1468"/>
    </row>
    <row r="44" spans="1:25">
      <c r="A44" s="1127" t="str">
        <f>T44</f>
        <v>1-8、员工宿舍</v>
      </c>
      <c r="B44" s="1127">
        <f t="shared" si="12"/>
        <v>2010.68</v>
      </c>
      <c r="C44" s="313">
        <f t="shared" si="14"/>
        <v>1</v>
      </c>
      <c r="D44" s="1129"/>
      <c r="E44" s="313">
        <f t="shared" si="15"/>
        <v>1</v>
      </c>
      <c r="F44" s="1129" t="s">
        <v>3173</v>
      </c>
      <c r="G44" s="3389">
        <f t="shared" si="16"/>
        <v>0.96</v>
      </c>
      <c r="H44" s="1129"/>
      <c r="I44" s="313">
        <f t="shared" si="17"/>
        <v>1</v>
      </c>
      <c r="J44" s="1129"/>
      <c r="K44" s="313">
        <f t="shared" si="18"/>
        <v>1</v>
      </c>
      <c r="L44" s="1129"/>
      <c r="M44" s="313">
        <f t="shared" si="19"/>
        <v>1</v>
      </c>
      <c r="N44" s="1129"/>
      <c r="O44" s="313">
        <f t="shared" si="20"/>
        <v>1</v>
      </c>
      <c r="P44" s="1129" t="s">
        <v>3084</v>
      </c>
      <c r="Q44" s="3389">
        <f t="shared" si="21"/>
        <v>0.7</v>
      </c>
      <c r="R44" s="1125">
        <f t="shared" ca="1" si="22"/>
        <v>22135</v>
      </c>
      <c r="S44" s="698">
        <f t="shared" ca="1" si="11"/>
        <v>4451</v>
      </c>
      <c r="T44" s="1463" t="s">
        <v>3176</v>
      </c>
      <c r="V44" s="1463">
        <v>362.9</v>
      </c>
      <c r="Y44" s="1468"/>
    </row>
    <row r="45" spans="1:25">
      <c r="A45" s="1127"/>
      <c r="B45" s="348"/>
      <c r="C45" s="313">
        <f t="shared" si="14"/>
        <v>1</v>
      </c>
      <c r="D45" s="1129"/>
      <c r="E45" s="313">
        <f t="shared" si="15"/>
        <v>1</v>
      </c>
      <c r="F45" s="1129"/>
      <c r="G45" s="313">
        <f t="shared" si="16"/>
        <v>0.02</v>
      </c>
      <c r="H45" s="1129"/>
      <c r="I45" s="313">
        <f t="shared" si="17"/>
        <v>1</v>
      </c>
      <c r="J45" s="1129"/>
      <c r="K45" s="313">
        <f t="shared" si="18"/>
        <v>1</v>
      </c>
      <c r="L45" s="1129"/>
      <c r="M45" s="313">
        <f t="shared" si="19"/>
        <v>1</v>
      </c>
      <c r="N45" s="1129"/>
      <c r="O45" s="313">
        <f t="shared" si="20"/>
        <v>1</v>
      </c>
      <c r="P45" s="1129"/>
      <c r="Q45" s="313">
        <f t="shared" si="21"/>
        <v>0</v>
      </c>
      <c r="R45" s="1125">
        <f t="shared" si="22"/>
        <v>0</v>
      </c>
      <c r="S45" s="698">
        <f t="shared" si="11"/>
        <v>0</v>
      </c>
      <c r="V45" s="1463">
        <v>2010.68</v>
      </c>
      <c r="Y45" s="1468"/>
    </row>
    <row r="46" spans="1:25">
      <c r="A46" s="491"/>
      <c r="B46" s="348"/>
      <c r="C46" s="313">
        <f t="shared" si="14"/>
        <v>1</v>
      </c>
      <c r="D46" s="1129"/>
      <c r="E46" s="313">
        <f t="shared" si="15"/>
        <v>1</v>
      </c>
      <c r="F46" s="1129"/>
      <c r="G46" s="313">
        <f t="shared" si="16"/>
        <v>0.02</v>
      </c>
      <c r="H46" s="1129"/>
      <c r="I46" s="313">
        <f t="shared" si="17"/>
        <v>1</v>
      </c>
      <c r="J46" s="1129"/>
      <c r="K46" s="313">
        <f t="shared" si="18"/>
        <v>1</v>
      </c>
      <c r="L46" s="1129"/>
      <c r="M46" s="313">
        <f t="shared" si="19"/>
        <v>1</v>
      </c>
      <c r="N46" s="1129"/>
      <c r="O46" s="313">
        <f t="shared" si="20"/>
        <v>1</v>
      </c>
      <c r="P46" s="1129"/>
      <c r="Q46" s="313">
        <f t="shared" si="21"/>
        <v>0</v>
      </c>
      <c r="R46" s="1125">
        <f t="shared" si="22"/>
        <v>0</v>
      </c>
      <c r="S46" s="698">
        <f t="shared" si="11"/>
        <v>0</v>
      </c>
    </row>
    <row r="47" spans="1:25">
      <c r="A47" s="491"/>
      <c r="B47" s="348"/>
      <c r="C47" s="313">
        <f t="shared" si="14"/>
        <v>1</v>
      </c>
      <c r="D47" s="1129"/>
      <c r="E47" s="313">
        <f t="shared" si="15"/>
        <v>1</v>
      </c>
      <c r="F47" s="1129"/>
      <c r="G47" s="313">
        <f t="shared" si="16"/>
        <v>0.02</v>
      </c>
      <c r="H47" s="1129"/>
      <c r="I47" s="313">
        <f t="shared" si="17"/>
        <v>1</v>
      </c>
      <c r="J47" s="1129"/>
      <c r="K47" s="313">
        <f t="shared" si="18"/>
        <v>1</v>
      </c>
      <c r="L47" s="1129"/>
      <c r="M47" s="313">
        <f t="shared" si="19"/>
        <v>1</v>
      </c>
      <c r="N47" s="1129"/>
      <c r="O47" s="313">
        <f t="shared" si="20"/>
        <v>1</v>
      </c>
      <c r="P47" s="1129"/>
      <c r="Q47" s="313">
        <f t="shared" si="21"/>
        <v>0</v>
      </c>
      <c r="R47" s="1125">
        <f t="shared" si="22"/>
        <v>0</v>
      </c>
      <c r="S47" s="698">
        <f t="shared" si="11"/>
        <v>0</v>
      </c>
    </row>
    <row r="48" spans="1:25">
      <c r="A48" s="491"/>
      <c r="B48" s="348"/>
      <c r="C48" s="313">
        <f t="shared" si="14"/>
        <v>1</v>
      </c>
      <c r="D48" s="1129"/>
      <c r="E48" s="313">
        <f t="shared" si="15"/>
        <v>1</v>
      </c>
      <c r="F48" s="1129"/>
      <c r="G48" s="313">
        <f t="shared" si="16"/>
        <v>0.02</v>
      </c>
      <c r="H48" s="1129"/>
      <c r="I48" s="313">
        <f t="shared" si="17"/>
        <v>1</v>
      </c>
      <c r="J48" s="1129"/>
      <c r="K48" s="313">
        <f t="shared" si="18"/>
        <v>1</v>
      </c>
      <c r="L48" s="1129"/>
      <c r="M48" s="313">
        <f t="shared" si="19"/>
        <v>1</v>
      </c>
      <c r="N48" s="1129"/>
      <c r="O48" s="313">
        <f t="shared" si="20"/>
        <v>1</v>
      </c>
      <c r="P48" s="1129"/>
      <c r="Q48" s="313">
        <f t="shared" si="21"/>
        <v>0</v>
      </c>
      <c r="R48" s="1125">
        <f t="shared" si="22"/>
        <v>0</v>
      </c>
      <c r="S48" s="698">
        <f t="shared" si="11"/>
        <v>0</v>
      </c>
    </row>
    <row r="49" spans="1:19">
      <c r="A49" s="491"/>
      <c r="B49" s="348"/>
      <c r="C49" s="313">
        <f t="shared" si="14"/>
        <v>1</v>
      </c>
      <c r="D49" s="1129"/>
      <c r="E49" s="313">
        <f t="shared" si="15"/>
        <v>1</v>
      </c>
      <c r="F49" s="1129"/>
      <c r="G49" s="313">
        <f t="shared" si="16"/>
        <v>0.02</v>
      </c>
      <c r="H49" s="1129"/>
      <c r="I49" s="313">
        <f t="shared" si="17"/>
        <v>1</v>
      </c>
      <c r="J49" s="1129"/>
      <c r="K49" s="313">
        <f t="shared" si="18"/>
        <v>1</v>
      </c>
      <c r="L49" s="1129"/>
      <c r="M49" s="313">
        <f t="shared" si="19"/>
        <v>1</v>
      </c>
      <c r="N49" s="1129"/>
      <c r="O49" s="313">
        <f t="shared" si="20"/>
        <v>1</v>
      </c>
      <c r="P49" s="1129"/>
      <c r="Q49" s="313">
        <f t="shared" si="21"/>
        <v>0</v>
      </c>
      <c r="R49" s="1125">
        <f t="shared" si="22"/>
        <v>0</v>
      </c>
      <c r="S49" s="698">
        <f t="shared" si="11"/>
        <v>0</v>
      </c>
    </row>
    <row r="50" spans="1:19">
      <c r="A50" s="491"/>
      <c r="B50" s="348"/>
      <c r="C50" s="313">
        <f t="shared" si="14"/>
        <v>1</v>
      </c>
      <c r="D50" s="1129"/>
      <c r="E50" s="313">
        <f t="shared" si="15"/>
        <v>1</v>
      </c>
      <c r="F50" s="1129"/>
      <c r="G50" s="313">
        <f t="shared" si="16"/>
        <v>0.02</v>
      </c>
      <c r="H50" s="1129"/>
      <c r="I50" s="313">
        <f t="shared" si="17"/>
        <v>1</v>
      </c>
      <c r="J50" s="1129"/>
      <c r="K50" s="313">
        <f t="shared" si="18"/>
        <v>1</v>
      </c>
      <c r="L50" s="1129"/>
      <c r="M50" s="313">
        <f t="shared" si="19"/>
        <v>1</v>
      </c>
      <c r="N50" s="1129"/>
      <c r="O50" s="313">
        <f t="shared" si="20"/>
        <v>1</v>
      </c>
      <c r="P50" s="1129"/>
      <c r="Q50" s="313">
        <f t="shared" si="21"/>
        <v>0</v>
      </c>
      <c r="R50" s="1125">
        <f t="shared" si="22"/>
        <v>0</v>
      </c>
      <c r="S50" s="698">
        <f t="shared" si="11"/>
        <v>0</v>
      </c>
    </row>
    <row r="51" spans="1:19">
      <c r="A51" s="491"/>
      <c r="B51" s="348"/>
      <c r="C51" s="313">
        <f t="shared" si="14"/>
        <v>1</v>
      </c>
      <c r="D51" s="1129"/>
      <c r="E51" s="313">
        <f t="shared" si="15"/>
        <v>1</v>
      </c>
      <c r="F51" s="1129"/>
      <c r="G51" s="313">
        <f t="shared" si="16"/>
        <v>0.02</v>
      </c>
      <c r="H51" s="1129"/>
      <c r="I51" s="313">
        <f t="shared" si="17"/>
        <v>1</v>
      </c>
      <c r="J51" s="1129"/>
      <c r="K51" s="313">
        <f t="shared" si="18"/>
        <v>1</v>
      </c>
      <c r="L51" s="1129"/>
      <c r="M51" s="313">
        <f t="shared" si="19"/>
        <v>1</v>
      </c>
      <c r="N51" s="1129"/>
      <c r="O51" s="313">
        <f t="shared" si="20"/>
        <v>1</v>
      </c>
      <c r="P51" s="1129"/>
      <c r="Q51" s="313">
        <f t="shared" si="21"/>
        <v>0</v>
      </c>
      <c r="R51" s="1125">
        <f t="shared" si="22"/>
        <v>0</v>
      </c>
      <c r="S51" s="698">
        <f t="shared" si="11"/>
        <v>0</v>
      </c>
    </row>
    <row r="52" spans="1:19">
      <c r="A52" s="491"/>
      <c r="B52" s="348"/>
      <c r="C52" s="313">
        <f t="shared" si="14"/>
        <v>1</v>
      </c>
      <c r="D52" s="1129"/>
      <c r="E52" s="313">
        <f t="shared" si="15"/>
        <v>1</v>
      </c>
      <c r="F52" s="1129"/>
      <c r="G52" s="313">
        <f t="shared" si="16"/>
        <v>0.02</v>
      </c>
      <c r="H52" s="1129"/>
      <c r="I52" s="313">
        <f t="shared" si="17"/>
        <v>1</v>
      </c>
      <c r="J52" s="1129"/>
      <c r="K52" s="313">
        <f t="shared" si="18"/>
        <v>1</v>
      </c>
      <c r="L52" s="1129"/>
      <c r="M52" s="313">
        <f t="shared" si="19"/>
        <v>1</v>
      </c>
      <c r="N52" s="1129"/>
      <c r="O52" s="313">
        <f t="shared" si="20"/>
        <v>1</v>
      </c>
      <c r="P52" s="1129"/>
      <c r="Q52" s="313">
        <f t="shared" si="21"/>
        <v>0</v>
      </c>
      <c r="R52" s="1125">
        <f t="shared" si="22"/>
        <v>0</v>
      </c>
      <c r="S52" s="698">
        <f t="shared" si="11"/>
        <v>0</v>
      </c>
    </row>
    <row r="53" spans="1:19">
      <c r="A53" s="491"/>
      <c r="B53" s="348"/>
      <c r="C53" s="313">
        <f t="shared" si="14"/>
        <v>1</v>
      </c>
      <c r="D53" s="1129"/>
      <c r="E53" s="313">
        <f t="shared" si="15"/>
        <v>1</v>
      </c>
      <c r="F53" s="1129"/>
      <c r="G53" s="313">
        <f t="shared" si="16"/>
        <v>0.02</v>
      </c>
      <c r="H53" s="1129"/>
      <c r="I53" s="313">
        <f t="shared" si="17"/>
        <v>1</v>
      </c>
      <c r="J53" s="1129"/>
      <c r="K53" s="313">
        <f t="shared" si="18"/>
        <v>1</v>
      </c>
      <c r="L53" s="1129"/>
      <c r="M53" s="313">
        <f t="shared" si="19"/>
        <v>1</v>
      </c>
      <c r="N53" s="1129"/>
      <c r="O53" s="313">
        <f t="shared" si="20"/>
        <v>1</v>
      </c>
      <c r="P53" s="1129"/>
      <c r="Q53" s="313">
        <f t="shared" si="21"/>
        <v>0</v>
      </c>
      <c r="R53" s="1125">
        <f t="shared" si="22"/>
        <v>0</v>
      </c>
      <c r="S53" s="698">
        <f t="shared" si="11"/>
        <v>0</v>
      </c>
    </row>
    <row r="54" spans="1:19">
      <c r="A54" s="491"/>
      <c r="B54" s="348"/>
      <c r="C54" s="313">
        <f t="shared" si="14"/>
        <v>1</v>
      </c>
      <c r="D54" s="1129"/>
      <c r="E54" s="313">
        <f t="shared" si="15"/>
        <v>1</v>
      </c>
      <c r="F54" s="1129"/>
      <c r="G54" s="313">
        <f t="shared" si="16"/>
        <v>0.02</v>
      </c>
      <c r="H54" s="1129"/>
      <c r="I54" s="313">
        <f t="shared" si="17"/>
        <v>1</v>
      </c>
      <c r="J54" s="1129"/>
      <c r="K54" s="313">
        <f t="shared" si="18"/>
        <v>1</v>
      </c>
      <c r="L54" s="1129"/>
      <c r="M54" s="313">
        <f t="shared" si="19"/>
        <v>1</v>
      </c>
      <c r="N54" s="1129"/>
      <c r="O54" s="313">
        <f t="shared" si="20"/>
        <v>1</v>
      </c>
      <c r="P54" s="1129"/>
      <c r="Q54" s="313">
        <f t="shared" si="21"/>
        <v>0</v>
      </c>
      <c r="R54" s="1125">
        <f t="shared" si="22"/>
        <v>0</v>
      </c>
      <c r="S54" s="698">
        <f t="shared" si="11"/>
        <v>0</v>
      </c>
    </row>
    <row r="55" spans="1:19">
      <c r="A55" s="491"/>
      <c r="B55" s="348"/>
      <c r="C55" s="313">
        <f t="shared" si="14"/>
        <v>1</v>
      </c>
      <c r="D55" s="1129"/>
      <c r="E55" s="313">
        <f t="shared" si="15"/>
        <v>1</v>
      </c>
      <c r="F55" s="1129"/>
      <c r="G55" s="313">
        <f t="shared" si="16"/>
        <v>0.02</v>
      </c>
      <c r="H55" s="1129"/>
      <c r="I55" s="313">
        <f t="shared" si="17"/>
        <v>1</v>
      </c>
      <c r="J55" s="1129"/>
      <c r="K55" s="313">
        <f t="shared" si="18"/>
        <v>1</v>
      </c>
      <c r="L55" s="1129"/>
      <c r="M55" s="313">
        <f t="shared" si="19"/>
        <v>1</v>
      </c>
      <c r="N55" s="1129"/>
      <c r="O55" s="313">
        <f t="shared" si="20"/>
        <v>1</v>
      </c>
      <c r="P55" s="1129"/>
      <c r="Q55" s="313">
        <f t="shared" si="21"/>
        <v>0</v>
      </c>
      <c r="R55" s="1125">
        <f t="shared" si="22"/>
        <v>0</v>
      </c>
      <c r="S55" s="698">
        <f t="shared" ref="S55:S77" si="23">ROUND(R55*B55/10000,0)</f>
        <v>0</v>
      </c>
    </row>
    <row r="56" spans="1:19">
      <c r="A56" s="491"/>
      <c r="B56" s="348"/>
      <c r="C56" s="313">
        <f t="shared" si="14"/>
        <v>1</v>
      </c>
      <c r="D56" s="1129"/>
      <c r="E56" s="313">
        <f t="shared" si="15"/>
        <v>1</v>
      </c>
      <c r="F56" s="1129"/>
      <c r="G56" s="313">
        <f t="shared" si="16"/>
        <v>0.02</v>
      </c>
      <c r="H56" s="1129"/>
      <c r="I56" s="313">
        <f t="shared" si="17"/>
        <v>1</v>
      </c>
      <c r="J56" s="1129"/>
      <c r="K56" s="313">
        <f t="shared" si="18"/>
        <v>1</v>
      </c>
      <c r="L56" s="1129"/>
      <c r="M56" s="313">
        <f t="shared" si="19"/>
        <v>1</v>
      </c>
      <c r="N56" s="1129"/>
      <c r="O56" s="313">
        <f t="shared" si="20"/>
        <v>1</v>
      </c>
      <c r="P56" s="1129"/>
      <c r="Q56" s="313">
        <f t="shared" si="21"/>
        <v>0</v>
      </c>
      <c r="R56" s="1125">
        <f t="shared" si="22"/>
        <v>0</v>
      </c>
      <c r="S56" s="698">
        <f t="shared" si="23"/>
        <v>0</v>
      </c>
    </row>
    <row r="57" spans="1:19">
      <c r="A57" s="491"/>
      <c r="B57" s="348"/>
      <c r="C57" s="313">
        <f t="shared" si="14"/>
        <v>1</v>
      </c>
      <c r="D57" s="1129"/>
      <c r="E57" s="313">
        <f t="shared" si="15"/>
        <v>1</v>
      </c>
      <c r="F57" s="1129"/>
      <c r="G57" s="313">
        <f t="shared" si="16"/>
        <v>0.02</v>
      </c>
      <c r="H57" s="1129"/>
      <c r="I57" s="313">
        <f t="shared" si="17"/>
        <v>1</v>
      </c>
      <c r="J57" s="1129"/>
      <c r="K57" s="313">
        <f t="shared" si="18"/>
        <v>1</v>
      </c>
      <c r="L57" s="1129"/>
      <c r="M57" s="313">
        <f t="shared" si="19"/>
        <v>1</v>
      </c>
      <c r="N57" s="1129"/>
      <c r="O57" s="313">
        <f t="shared" si="20"/>
        <v>1</v>
      </c>
      <c r="P57" s="1129"/>
      <c r="Q57" s="313">
        <f t="shared" si="21"/>
        <v>0</v>
      </c>
      <c r="R57" s="1125">
        <f t="shared" si="22"/>
        <v>0</v>
      </c>
      <c r="S57" s="698">
        <f t="shared" si="23"/>
        <v>0</v>
      </c>
    </row>
    <row r="58" spans="1:19">
      <c r="A58" s="491"/>
      <c r="B58" s="348"/>
      <c r="C58" s="313">
        <f t="shared" si="14"/>
        <v>1</v>
      </c>
      <c r="D58" s="1129"/>
      <c r="E58" s="313">
        <f t="shared" si="15"/>
        <v>1</v>
      </c>
      <c r="F58" s="1129"/>
      <c r="G58" s="313">
        <f t="shared" si="16"/>
        <v>0.02</v>
      </c>
      <c r="H58" s="1129"/>
      <c r="I58" s="313">
        <f t="shared" si="17"/>
        <v>1</v>
      </c>
      <c r="J58" s="1129"/>
      <c r="K58" s="313">
        <f t="shared" si="18"/>
        <v>1</v>
      </c>
      <c r="L58" s="1129"/>
      <c r="M58" s="313">
        <f t="shared" si="19"/>
        <v>1</v>
      </c>
      <c r="N58" s="1129"/>
      <c r="O58" s="313">
        <f t="shared" si="20"/>
        <v>1</v>
      </c>
      <c r="P58" s="1129"/>
      <c r="Q58" s="313">
        <f t="shared" si="21"/>
        <v>0</v>
      </c>
      <c r="R58" s="1125">
        <f t="shared" si="22"/>
        <v>0</v>
      </c>
      <c r="S58" s="698">
        <f t="shared" si="23"/>
        <v>0</v>
      </c>
    </row>
    <row r="59" spans="1:19">
      <c r="A59" s="491"/>
      <c r="B59" s="348"/>
      <c r="C59" s="313">
        <f t="shared" si="14"/>
        <v>1</v>
      </c>
      <c r="D59" s="1129"/>
      <c r="E59" s="313">
        <f t="shared" si="15"/>
        <v>1</v>
      </c>
      <c r="F59" s="1129"/>
      <c r="G59" s="313">
        <f t="shared" si="16"/>
        <v>0.02</v>
      </c>
      <c r="H59" s="1129"/>
      <c r="I59" s="313">
        <f t="shared" si="17"/>
        <v>1</v>
      </c>
      <c r="J59" s="1129"/>
      <c r="K59" s="313">
        <f t="shared" si="18"/>
        <v>1</v>
      </c>
      <c r="L59" s="1129"/>
      <c r="M59" s="313">
        <f t="shared" si="19"/>
        <v>1</v>
      </c>
      <c r="N59" s="1129"/>
      <c r="O59" s="313">
        <f t="shared" si="20"/>
        <v>1</v>
      </c>
      <c r="P59" s="1129"/>
      <c r="Q59" s="313">
        <f t="shared" si="21"/>
        <v>0</v>
      </c>
      <c r="R59" s="1125">
        <f t="shared" si="22"/>
        <v>0</v>
      </c>
      <c r="S59" s="698">
        <f t="shared" si="23"/>
        <v>0</v>
      </c>
    </row>
    <row r="60" spans="1:19">
      <c r="A60" s="491"/>
      <c r="B60" s="348"/>
      <c r="C60" s="313">
        <f t="shared" si="14"/>
        <v>1</v>
      </c>
      <c r="D60" s="1129"/>
      <c r="E60" s="313">
        <f t="shared" si="15"/>
        <v>1</v>
      </c>
      <c r="F60" s="1129"/>
      <c r="G60" s="313">
        <f t="shared" si="16"/>
        <v>0.02</v>
      </c>
      <c r="H60" s="1129"/>
      <c r="I60" s="313">
        <f t="shared" si="17"/>
        <v>1</v>
      </c>
      <c r="J60" s="1129"/>
      <c r="K60" s="313">
        <f t="shared" si="18"/>
        <v>1</v>
      </c>
      <c r="L60" s="1129"/>
      <c r="M60" s="313">
        <f t="shared" si="19"/>
        <v>1</v>
      </c>
      <c r="N60" s="1129"/>
      <c r="O60" s="313">
        <f t="shared" si="20"/>
        <v>1</v>
      </c>
      <c r="P60" s="1129"/>
      <c r="Q60" s="313">
        <f t="shared" si="21"/>
        <v>0</v>
      </c>
      <c r="R60" s="1125">
        <f t="shared" si="22"/>
        <v>0</v>
      </c>
      <c r="S60" s="698">
        <f t="shared" si="23"/>
        <v>0</v>
      </c>
    </row>
    <row r="61" spans="1:19">
      <c r="A61" s="491"/>
      <c r="B61" s="348"/>
      <c r="C61" s="313">
        <f t="shared" si="14"/>
        <v>1</v>
      </c>
      <c r="D61" s="1129"/>
      <c r="E61" s="313">
        <f t="shared" si="15"/>
        <v>1</v>
      </c>
      <c r="F61" s="1129"/>
      <c r="G61" s="313">
        <f t="shared" si="16"/>
        <v>0.02</v>
      </c>
      <c r="H61" s="1129"/>
      <c r="I61" s="313">
        <f t="shared" si="17"/>
        <v>1</v>
      </c>
      <c r="J61" s="1129"/>
      <c r="K61" s="313">
        <f t="shared" si="18"/>
        <v>1</v>
      </c>
      <c r="L61" s="1129"/>
      <c r="M61" s="313">
        <f t="shared" si="19"/>
        <v>1</v>
      </c>
      <c r="N61" s="1129"/>
      <c r="O61" s="313">
        <f t="shared" si="20"/>
        <v>1</v>
      </c>
      <c r="P61" s="1129"/>
      <c r="Q61" s="313">
        <f t="shared" si="21"/>
        <v>0</v>
      </c>
      <c r="R61" s="1125">
        <f t="shared" si="22"/>
        <v>0</v>
      </c>
      <c r="S61" s="698">
        <f t="shared" si="23"/>
        <v>0</v>
      </c>
    </row>
    <row r="62" spans="1:19">
      <c r="A62" s="491"/>
      <c r="B62" s="348"/>
      <c r="C62" s="313">
        <f t="shared" si="14"/>
        <v>1</v>
      </c>
      <c r="D62" s="1129"/>
      <c r="E62" s="313">
        <f t="shared" si="15"/>
        <v>1</v>
      </c>
      <c r="F62" s="1129"/>
      <c r="G62" s="313">
        <f t="shared" si="16"/>
        <v>0.02</v>
      </c>
      <c r="H62" s="1129"/>
      <c r="I62" s="313">
        <f t="shared" si="17"/>
        <v>1</v>
      </c>
      <c r="J62" s="1129"/>
      <c r="K62" s="313">
        <f t="shared" si="18"/>
        <v>1</v>
      </c>
      <c r="L62" s="1129"/>
      <c r="M62" s="313">
        <f t="shared" si="19"/>
        <v>1</v>
      </c>
      <c r="N62" s="1129"/>
      <c r="O62" s="313">
        <f t="shared" si="20"/>
        <v>1</v>
      </c>
      <c r="P62" s="1129"/>
      <c r="Q62" s="313">
        <f t="shared" si="21"/>
        <v>0</v>
      </c>
      <c r="R62" s="1125">
        <f t="shared" si="22"/>
        <v>0</v>
      </c>
      <c r="S62" s="698">
        <f t="shared" si="23"/>
        <v>0</v>
      </c>
    </row>
    <row r="63" spans="1:19">
      <c r="A63" s="491"/>
      <c r="B63" s="348"/>
      <c r="C63" s="313">
        <f t="shared" si="14"/>
        <v>1</v>
      </c>
      <c r="D63" s="1129"/>
      <c r="E63" s="313">
        <f t="shared" si="15"/>
        <v>1</v>
      </c>
      <c r="F63" s="1129"/>
      <c r="G63" s="313">
        <f t="shared" si="16"/>
        <v>0.02</v>
      </c>
      <c r="H63" s="1129"/>
      <c r="I63" s="313">
        <f t="shared" si="17"/>
        <v>1</v>
      </c>
      <c r="J63" s="1129"/>
      <c r="K63" s="313">
        <f t="shared" si="18"/>
        <v>1</v>
      </c>
      <c r="L63" s="1129"/>
      <c r="M63" s="313">
        <f t="shared" si="19"/>
        <v>1</v>
      </c>
      <c r="N63" s="1129"/>
      <c r="O63" s="313">
        <f t="shared" si="20"/>
        <v>1</v>
      </c>
      <c r="P63" s="1129"/>
      <c r="Q63" s="313">
        <f t="shared" si="21"/>
        <v>0</v>
      </c>
      <c r="R63" s="1125">
        <f t="shared" si="22"/>
        <v>0</v>
      </c>
      <c r="S63" s="698">
        <f t="shared" si="23"/>
        <v>0</v>
      </c>
    </row>
    <row r="64" spans="1:19">
      <c r="A64" s="491"/>
      <c r="B64" s="348"/>
      <c r="C64" s="313">
        <f t="shared" si="14"/>
        <v>1</v>
      </c>
      <c r="D64" s="1129"/>
      <c r="E64" s="313">
        <f t="shared" si="15"/>
        <v>1</v>
      </c>
      <c r="F64" s="1129"/>
      <c r="G64" s="313">
        <f t="shared" si="16"/>
        <v>0.02</v>
      </c>
      <c r="H64" s="1129"/>
      <c r="I64" s="313">
        <f t="shared" si="17"/>
        <v>1</v>
      </c>
      <c r="J64" s="1129"/>
      <c r="K64" s="313">
        <f t="shared" si="18"/>
        <v>1</v>
      </c>
      <c r="L64" s="1129"/>
      <c r="M64" s="313">
        <f t="shared" si="19"/>
        <v>1</v>
      </c>
      <c r="N64" s="1129"/>
      <c r="O64" s="313">
        <f t="shared" si="20"/>
        <v>1</v>
      </c>
      <c r="P64" s="1129"/>
      <c r="Q64" s="313">
        <f t="shared" si="21"/>
        <v>0</v>
      </c>
      <c r="R64" s="1125">
        <f t="shared" si="22"/>
        <v>0</v>
      </c>
      <c r="S64" s="698">
        <f t="shared" si="23"/>
        <v>0</v>
      </c>
    </row>
    <row r="65" spans="1:19">
      <c r="A65" s="491"/>
      <c r="B65" s="348"/>
      <c r="C65" s="313">
        <f t="shared" si="14"/>
        <v>1</v>
      </c>
      <c r="D65" s="1129"/>
      <c r="E65" s="313">
        <f t="shared" si="15"/>
        <v>1</v>
      </c>
      <c r="F65" s="1129"/>
      <c r="G65" s="313">
        <f t="shared" si="16"/>
        <v>0.02</v>
      </c>
      <c r="H65" s="1129"/>
      <c r="I65" s="313">
        <f t="shared" si="17"/>
        <v>1</v>
      </c>
      <c r="J65" s="1129"/>
      <c r="K65" s="313">
        <f t="shared" si="18"/>
        <v>1</v>
      </c>
      <c r="L65" s="1129"/>
      <c r="M65" s="313">
        <f t="shared" si="19"/>
        <v>1</v>
      </c>
      <c r="N65" s="1129"/>
      <c r="O65" s="313">
        <f t="shared" si="20"/>
        <v>1</v>
      </c>
      <c r="P65" s="1129"/>
      <c r="Q65" s="313">
        <f t="shared" si="21"/>
        <v>0</v>
      </c>
      <c r="R65" s="1125">
        <f t="shared" si="22"/>
        <v>0</v>
      </c>
      <c r="S65" s="698">
        <f t="shared" si="23"/>
        <v>0</v>
      </c>
    </row>
    <row r="66" spans="1:19">
      <c r="A66" s="491"/>
      <c r="B66" s="348"/>
      <c r="C66" s="313">
        <f t="shared" si="14"/>
        <v>1</v>
      </c>
      <c r="D66" s="1129"/>
      <c r="E66" s="313">
        <f t="shared" si="15"/>
        <v>1</v>
      </c>
      <c r="F66" s="1129"/>
      <c r="G66" s="313">
        <f t="shared" si="16"/>
        <v>0.02</v>
      </c>
      <c r="H66" s="1129"/>
      <c r="I66" s="313">
        <f t="shared" si="17"/>
        <v>1</v>
      </c>
      <c r="J66" s="1129"/>
      <c r="K66" s="313">
        <f t="shared" si="18"/>
        <v>1</v>
      </c>
      <c r="L66" s="1129"/>
      <c r="M66" s="313">
        <f t="shared" si="19"/>
        <v>1</v>
      </c>
      <c r="N66" s="1129"/>
      <c r="O66" s="313">
        <f t="shared" si="20"/>
        <v>1</v>
      </c>
      <c r="P66" s="1129"/>
      <c r="Q66" s="313">
        <f t="shared" si="21"/>
        <v>0</v>
      </c>
      <c r="R66" s="1125">
        <f t="shared" si="22"/>
        <v>0</v>
      </c>
      <c r="S66" s="698">
        <f t="shared" si="23"/>
        <v>0</v>
      </c>
    </row>
    <row r="67" spans="1:19">
      <c r="A67" s="491"/>
      <c r="B67" s="348"/>
      <c r="C67" s="313">
        <f t="shared" si="14"/>
        <v>1</v>
      </c>
      <c r="D67" s="1129"/>
      <c r="E67" s="313">
        <f t="shared" si="15"/>
        <v>1</v>
      </c>
      <c r="F67" s="1129"/>
      <c r="G67" s="313">
        <f t="shared" si="16"/>
        <v>0.02</v>
      </c>
      <c r="H67" s="1129"/>
      <c r="I67" s="313">
        <f t="shared" si="17"/>
        <v>1</v>
      </c>
      <c r="J67" s="1129"/>
      <c r="K67" s="313">
        <f t="shared" si="18"/>
        <v>1</v>
      </c>
      <c r="L67" s="1129"/>
      <c r="M67" s="313">
        <f t="shared" si="19"/>
        <v>1</v>
      </c>
      <c r="N67" s="1129"/>
      <c r="O67" s="313">
        <f t="shared" si="20"/>
        <v>1</v>
      </c>
      <c r="P67" s="1129"/>
      <c r="Q67" s="313">
        <f t="shared" si="21"/>
        <v>0</v>
      </c>
      <c r="R67" s="1125">
        <f t="shared" si="22"/>
        <v>0</v>
      </c>
      <c r="S67" s="698">
        <f t="shared" si="23"/>
        <v>0</v>
      </c>
    </row>
    <row r="68" spans="1:19">
      <c r="A68" s="491"/>
      <c r="B68" s="348"/>
      <c r="C68" s="313">
        <f t="shared" si="14"/>
        <v>1</v>
      </c>
      <c r="D68" s="1129"/>
      <c r="E68" s="313">
        <f t="shared" si="15"/>
        <v>1</v>
      </c>
      <c r="F68" s="1129"/>
      <c r="G68" s="313">
        <f t="shared" si="16"/>
        <v>0.02</v>
      </c>
      <c r="H68" s="1129"/>
      <c r="I68" s="313">
        <f t="shared" si="17"/>
        <v>1</v>
      </c>
      <c r="J68" s="1129"/>
      <c r="K68" s="313">
        <f t="shared" si="18"/>
        <v>1</v>
      </c>
      <c r="L68" s="1129"/>
      <c r="M68" s="313">
        <f t="shared" si="19"/>
        <v>1</v>
      </c>
      <c r="N68" s="1129"/>
      <c r="O68" s="313">
        <f t="shared" si="20"/>
        <v>1</v>
      </c>
      <c r="P68" s="1129"/>
      <c r="Q68" s="313">
        <f t="shared" si="21"/>
        <v>0</v>
      </c>
      <c r="R68" s="1125">
        <f t="shared" si="22"/>
        <v>0</v>
      </c>
      <c r="S68" s="698">
        <f t="shared" si="23"/>
        <v>0</v>
      </c>
    </row>
    <row r="69" spans="1:19">
      <c r="A69" s="491"/>
      <c r="B69" s="348"/>
      <c r="C69" s="313">
        <f t="shared" si="14"/>
        <v>1</v>
      </c>
      <c r="D69" s="1129"/>
      <c r="E69" s="313">
        <f t="shared" si="15"/>
        <v>1</v>
      </c>
      <c r="F69" s="1129"/>
      <c r="G69" s="313">
        <f t="shared" si="16"/>
        <v>0.02</v>
      </c>
      <c r="H69" s="1129"/>
      <c r="I69" s="313">
        <f t="shared" si="17"/>
        <v>1</v>
      </c>
      <c r="J69" s="1129"/>
      <c r="K69" s="313">
        <f t="shared" si="18"/>
        <v>1</v>
      </c>
      <c r="L69" s="1129"/>
      <c r="M69" s="313">
        <f t="shared" si="19"/>
        <v>1</v>
      </c>
      <c r="N69" s="1129"/>
      <c r="O69" s="313">
        <f t="shared" si="20"/>
        <v>1</v>
      </c>
      <c r="P69" s="1129"/>
      <c r="Q69" s="313">
        <f t="shared" si="21"/>
        <v>0</v>
      </c>
      <c r="R69" s="1125">
        <f t="shared" si="22"/>
        <v>0</v>
      </c>
      <c r="S69" s="698">
        <f t="shared" si="23"/>
        <v>0</v>
      </c>
    </row>
    <row r="70" spans="1:19">
      <c r="A70" s="491"/>
      <c r="B70" s="348"/>
      <c r="C70" s="313">
        <f t="shared" si="14"/>
        <v>1</v>
      </c>
      <c r="D70" s="1129"/>
      <c r="E70" s="313">
        <f t="shared" si="15"/>
        <v>1</v>
      </c>
      <c r="F70" s="1129"/>
      <c r="G70" s="313">
        <f t="shared" si="16"/>
        <v>0.02</v>
      </c>
      <c r="H70" s="1129"/>
      <c r="I70" s="313">
        <f t="shared" si="17"/>
        <v>1</v>
      </c>
      <c r="J70" s="1129"/>
      <c r="K70" s="313">
        <f t="shared" si="18"/>
        <v>1</v>
      </c>
      <c r="L70" s="1129"/>
      <c r="M70" s="313">
        <f t="shared" si="19"/>
        <v>1</v>
      </c>
      <c r="N70" s="1129"/>
      <c r="O70" s="313">
        <f t="shared" si="20"/>
        <v>1</v>
      </c>
      <c r="P70" s="1129"/>
      <c r="Q70" s="313">
        <f t="shared" si="21"/>
        <v>0</v>
      </c>
      <c r="R70" s="1125">
        <f t="shared" si="22"/>
        <v>0</v>
      </c>
      <c r="S70" s="698">
        <f t="shared" si="23"/>
        <v>0</v>
      </c>
    </row>
    <row r="71" spans="1:19">
      <c r="A71" s="491"/>
      <c r="B71" s="348"/>
      <c r="C71" s="313">
        <f t="shared" si="14"/>
        <v>1</v>
      </c>
      <c r="D71" s="1129"/>
      <c r="E71" s="313">
        <f t="shared" si="15"/>
        <v>1</v>
      </c>
      <c r="F71" s="1129"/>
      <c r="G71" s="313">
        <f t="shared" si="16"/>
        <v>0.02</v>
      </c>
      <c r="H71" s="1129"/>
      <c r="I71" s="313">
        <f t="shared" si="17"/>
        <v>1</v>
      </c>
      <c r="J71" s="1129"/>
      <c r="K71" s="313">
        <f t="shared" si="18"/>
        <v>1</v>
      </c>
      <c r="L71" s="1129"/>
      <c r="M71" s="313">
        <f t="shared" si="19"/>
        <v>1</v>
      </c>
      <c r="N71" s="1129"/>
      <c r="O71" s="313">
        <f t="shared" si="20"/>
        <v>1</v>
      </c>
      <c r="P71" s="1129"/>
      <c r="Q71" s="313">
        <f t="shared" si="21"/>
        <v>0</v>
      </c>
      <c r="R71" s="1125">
        <f t="shared" si="22"/>
        <v>0</v>
      </c>
      <c r="S71" s="698">
        <f t="shared" si="23"/>
        <v>0</v>
      </c>
    </row>
    <row r="72" spans="1:19">
      <c r="A72" s="491"/>
      <c r="B72" s="348"/>
      <c r="C72" s="313">
        <f t="shared" si="14"/>
        <v>1</v>
      </c>
      <c r="D72" s="1129"/>
      <c r="E72" s="313">
        <f t="shared" si="15"/>
        <v>1</v>
      </c>
      <c r="F72" s="1129"/>
      <c r="G72" s="313">
        <f t="shared" si="16"/>
        <v>0.02</v>
      </c>
      <c r="H72" s="1129"/>
      <c r="I72" s="313">
        <f t="shared" si="17"/>
        <v>1</v>
      </c>
      <c r="J72" s="1129"/>
      <c r="K72" s="313">
        <f t="shared" si="18"/>
        <v>1</v>
      </c>
      <c r="L72" s="1129"/>
      <c r="M72" s="313">
        <f t="shared" si="19"/>
        <v>1</v>
      </c>
      <c r="N72" s="1129"/>
      <c r="O72" s="313">
        <f t="shared" si="20"/>
        <v>1</v>
      </c>
      <c r="P72" s="1129"/>
      <c r="Q72" s="313">
        <f t="shared" si="21"/>
        <v>0</v>
      </c>
      <c r="R72" s="1125">
        <f t="shared" si="22"/>
        <v>0</v>
      </c>
      <c r="S72" s="698">
        <f t="shared" si="23"/>
        <v>0</v>
      </c>
    </row>
    <row r="73" spans="1:19">
      <c r="A73" s="491"/>
      <c r="B73" s="348"/>
      <c r="C73" s="313">
        <f t="shared" si="14"/>
        <v>1</v>
      </c>
      <c r="D73" s="1129"/>
      <c r="E73" s="313">
        <f t="shared" si="15"/>
        <v>1</v>
      </c>
      <c r="F73" s="1129"/>
      <c r="G73" s="313">
        <f t="shared" si="16"/>
        <v>0.02</v>
      </c>
      <c r="H73" s="1129"/>
      <c r="I73" s="313">
        <f t="shared" si="17"/>
        <v>1</v>
      </c>
      <c r="J73" s="1129"/>
      <c r="K73" s="313">
        <f t="shared" si="18"/>
        <v>1</v>
      </c>
      <c r="L73" s="1129"/>
      <c r="M73" s="313">
        <f t="shared" si="19"/>
        <v>1</v>
      </c>
      <c r="N73" s="1129"/>
      <c r="O73" s="313">
        <f t="shared" si="20"/>
        <v>1</v>
      </c>
      <c r="P73" s="1129"/>
      <c r="Q73" s="313">
        <f t="shared" si="21"/>
        <v>0</v>
      </c>
      <c r="R73" s="1125">
        <f t="shared" si="22"/>
        <v>0</v>
      </c>
      <c r="S73" s="698">
        <f t="shared" si="23"/>
        <v>0</v>
      </c>
    </row>
    <row r="74" spans="1:19">
      <c r="A74" s="491"/>
      <c r="B74" s="348"/>
      <c r="C74" s="313">
        <f t="shared" si="14"/>
        <v>1</v>
      </c>
      <c r="D74" s="1129"/>
      <c r="E74" s="313">
        <f t="shared" si="15"/>
        <v>1</v>
      </c>
      <c r="F74" s="1129"/>
      <c r="G74" s="313">
        <f t="shared" si="16"/>
        <v>0.02</v>
      </c>
      <c r="H74" s="1129"/>
      <c r="I74" s="313">
        <f t="shared" si="17"/>
        <v>1</v>
      </c>
      <c r="J74" s="1129"/>
      <c r="K74" s="313">
        <f t="shared" si="18"/>
        <v>1</v>
      </c>
      <c r="L74" s="1129"/>
      <c r="M74" s="313">
        <f t="shared" si="19"/>
        <v>1</v>
      </c>
      <c r="N74" s="1129"/>
      <c r="O74" s="313">
        <f t="shared" si="20"/>
        <v>1</v>
      </c>
      <c r="P74" s="1129"/>
      <c r="Q74" s="313">
        <f t="shared" si="21"/>
        <v>0</v>
      </c>
      <c r="R74" s="1125">
        <f t="shared" si="22"/>
        <v>0</v>
      </c>
      <c r="S74" s="698">
        <f t="shared" si="23"/>
        <v>0</v>
      </c>
    </row>
    <row r="75" spans="1:19">
      <c r="A75" s="491"/>
      <c r="B75" s="348"/>
      <c r="C75" s="313">
        <f t="shared" si="14"/>
        <v>1</v>
      </c>
      <c r="D75" s="1129"/>
      <c r="E75" s="313">
        <f t="shared" si="15"/>
        <v>1</v>
      </c>
      <c r="F75" s="1129"/>
      <c r="G75" s="313">
        <f t="shared" si="16"/>
        <v>0.02</v>
      </c>
      <c r="H75" s="1129"/>
      <c r="I75" s="313">
        <f t="shared" si="17"/>
        <v>1</v>
      </c>
      <c r="J75" s="1129"/>
      <c r="K75" s="313">
        <f t="shared" si="18"/>
        <v>1</v>
      </c>
      <c r="L75" s="1129"/>
      <c r="M75" s="313">
        <f t="shared" si="19"/>
        <v>1</v>
      </c>
      <c r="N75" s="1129"/>
      <c r="O75" s="313">
        <f t="shared" si="20"/>
        <v>1</v>
      </c>
      <c r="P75" s="1129"/>
      <c r="Q75" s="313">
        <f t="shared" si="21"/>
        <v>0</v>
      </c>
      <c r="R75" s="1125">
        <f t="shared" si="22"/>
        <v>0</v>
      </c>
      <c r="S75" s="698">
        <f t="shared" si="23"/>
        <v>0</v>
      </c>
    </row>
    <row r="76" spans="1:19">
      <c r="A76" s="491"/>
      <c r="B76" s="348"/>
      <c r="C76" s="313">
        <f t="shared" si="14"/>
        <v>1</v>
      </c>
      <c r="D76" s="1129"/>
      <c r="E76" s="313">
        <f t="shared" si="15"/>
        <v>1</v>
      </c>
      <c r="F76" s="1129"/>
      <c r="G76" s="313">
        <f t="shared" si="16"/>
        <v>0.02</v>
      </c>
      <c r="H76" s="1129"/>
      <c r="I76" s="313">
        <f t="shared" si="17"/>
        <v>1</v>
      </c>
      <c r="J76" s="1129"/>
      <c r="K76" s="313">
        <f t="shared" si="18"/>
        <v>1</v>
      </c>
      <c r="L76" s="1129"/>
      <c r="M76" s="313">
        <f t="shared" si="19"/>
        <v>1</v>
      </c>
      <c r="N76" s="1129"/>
      <c r="O76" s="313">
        <f t="shared" si="20"/>
        <v>1</v>
      </c>
      <c r="P76" s="1129"/>
      <c r="Q76" s="313">
        <f t="shared" si="21"/>
        <v>0</v>
      </c>
      <c r="R76" s="1125">
        <f t="shared" si="22"/>
        <v>0</v>
      </c>
      <c r="S76" s="698">
        <f t="shared" si="23"/>
        <v>0</v>
      </c>
    </row>
    <row r="77" spans="1:19">
      <c r="A77" s="491"/>
      <c r="B77" s="348"/>
      <c r="C77" s="313">
        <f t="shared" si="14"/>
        <v>1</v>
      </c>
      <c r="D77" s="1129"/>
      <c r="E77" s="313">
        <f t="shared" si="15"/>
        <v>1</v>
      </c>
      <c r="F77" s="1129"/>
      <c r="G77" s="313">
        <f t="shared" si="16"/>
        <v>0.02</v>
      </c>
      <c r="H77" s="1129"/>
      <c r="I77" s="313">
        <f t="shared" si="17"/>
        <v>1</v>
      </c>
      <c r="J77" s="1129"/>
      <c r="K77" s="313">
        <f t="shared" si="18"/>
        <v>1</v>
      </c>
      <c r="L77" s="1129"/>
      <c r="M77" s="313">
        <f t="shared" si="19"/>
        <v>1</v>
      </c>
      <c r="N77" s="1129"/>
      <c r="O77" s="313">
        <f t="shared" si="20"/>
        <v>1</v>
      </c>
      <c r="P77" s="1129"/>
      <c r="Q77" s="313">
        <f t="shared" si="21"/>
        <v>0</v>
      </c>
      <c r="R77" s="1125">
        <f t="shared" si="22"/>
        <v>0</v>
      </c>
      <c r="S77" s="698">
        <f t="shared" si="23"/>
        <v>0</v>
      </c>
    </row>
    <row r="78" spans="1:19">
      <c r="A78" s="491"/>
      <c r="B78" s="348"/>
      <c r="C78" s="313">
        <f t="shared" si="14"/>
        <v>1</v>
      </c>
      <c r="D78" s="1129"/>
      <c r="E78" s="313">
        <f t="shared" si="15"/>
        <v>1</v>
      </c>
      <c r="F78" s="1129"/>
      <c r="G78" s="313">
        <f t="shared" si="16"/>
        <v>0.02</v>
      </c>
      <c r="H78" s="1129"/>
      <c r="I78" s="313">
        <f t="shared" si="17"/>
        <v>1</v>
      </c>
      <c r="J78" s="1129"/>
      <c r="K78" s="313">
        <f t="shared" si="18"/>
        <v>1</v>
      </c>
      <c r="L78" s="1129"/>
      <c r="M78" s="313">
        <f t="shared" si="19"/>
        <v>1</v>
      </c>
      <c r="N78" s="1129"/>
      <c r="O78" s="313">
        <f t="shared" si="20"/>
        <v>1</v>
      </c>
      <c r="P78" s="1129"/>
      <c r="Q78" s="313">
        <f t="shared" si="21"/>
        <v>0</v>
      </c>
      <c r="R78" s="1125">
        <f t="shared" si="22"/>
        <v>0</v>
      </c>
      <c r="S78" s="698">
        <f t="shared" ref="S78:S122" si="24">ROUND(R78*B78/10000,0)</f>
        <v>0</v>
      </c>
    </row>
    <row r="79" spans="1:19">
      <c r="A79" s="491"/>
      <c r="B79" s="348"/>
      <c r="C79" s="313">
        <f t="shared" si="14"/>
        <v>1</v>
      </c>
      <c r="D79" s="1129"/>
      <c r="E79" s="313">
        <f t="shared" si="15"/>
        <v>1</v>
      </c>
      <c r="F79" s="1129"/>
      <c r="G79" s="313">
        <f t="shared" si="16"/>
        <v>0.02</v>
      </c>
      <c r="H79" s="1129"/>
      <c r="I79" s="313">
        <f t="shared" si="17"/>
        <v>1</v>
      </c>
      <c r="J79" s="1129"/>
      <c r="K79" s="313">
        <f t="shared" si="18"/>
        <v>1</v>
      </c>
      <c r="L79" s="1129"/>
      <c r="M79" s="313">
        <f t="shared" si="19"/>
        <v>1</v>
      </c>
      <c r="N79" s="1129"/>
      <c r="O79" s="313">
        <f t="shared" si="20"/>
        <v>1</v>
      </c>
      <c r="P79" s="1129"/>
      <c r="Q79" s="313">
        <f t="shared" si="21"/>
        <v>0</v>
      </c>
      <c r="R79" s="1125">
        <f t="shared" si="22"/>
        <v>0</v>
      </c>
      <c r="S79" s="698">
        <f t="shared" si="24"/>
        <v>0</v>
      </c>
    </row>
    <row r="80" spans="1:19">
      <c r="A80" s="491"/>
      <c r="B80" s="348"/>
      <c r="C80" s="313">
        <f t="shared" si="14"/>
        <v>1</v>
      </c>
      <c r="D80" s="1129"/>
      <c r="E80" s="313">
        <f t="shared" si="15"/>
        <v>1</v>
      </c>
      <c r="F80" s="1129"/>
      <c r="G80" s="313">
        <f t="shared" si="16"/>
        <v>0.02</v>
      </c>
      <c r="H80" s="1129"/>
      <c r="I80" s="313">
        <f t="shared" si="17"/>
        <v>1</v>
      </c>
      <c r="J80" s="1129"/>
      <c r="K80" s="313">
        <f t="shared" si="18"/>
        <v>1</v>
      </c>
      <c r="L80" s="1129"/>
      <c r="M80" s="313">
        <f t="shared" si="19"/>
        <v>1</v>
      </c>
      <c r="N80" s="1129"/>
      <c r="O80" s="313">
        <f t="shared" si="20"/>
        <v>1</v>
      </c>
      <c r="P80" s="1129"/>
      <c r="Q80" s="313">
        <f t="shared" si="21"/>
        <v>0</v>
      </c>
      <c r="R80" s="1125">
        <f t="shared" si="22"/>
        <v>0</v>
      </c>
      <c r="S80" s="698">
        <f t="shared" si="24"/>
        <v>0</v>
      </c>
    </row>
    <row r="81" spans="1:19">
      <c r="A81" s="491"/>
      <c r="B81" s="348"/>
      <c r="C81" s="313">
        <f t="shared" si="14"/>
        <v>1</v>
      </c>
      <c r="D81" s="1129"/>
      <c r="E81" s="313">
        <f t="shared" si="15"/>
        <v>1</v>
      </c>
      <c r="F81" s="1129"/>
      <c r="G81" s="313">
        <f t="shared" si="16"/>
        <v>0.02</v>
      </c>
      <c r="H81" s="1129"/>
      <c r="I81" s="313">
        <f t="shared" si="17"/>
        <v>1</v>
      </c>
      <c r="J81" s="1129"/>
      <c r="K81" s="313">
        <f t="shared" si="18"/>
        <v>1</v>
      </c>
      <c r="L81" s="1129"/>
      <c r="M81" s="313">
        <f t="shared" si="19"/>
        <v>1</v>
      </c>
      <c r="N81" s="1129"/>
      <c r="O81" s="313">
        <f t="shared" si="20"/>
        <v>1</v>
      </c>
      <c r="P81" s="1129"/>
      <c r="Q81" s="313">
        <f t="shared" si="21"/>
        <v>0</v>
      </c>
      <c r="R81" s="1125">
        <f t="shared" si="22"/>
        <v>0</v>
      </c>
      <c r="S81" s="698">
        <f t="shared" si="24"/>
        <v>0</v>
      </c>
    </row>
    <row r="82" spans="1:19">
      <c r="A82" s="491"/>
      <c r="B82" s="348"/>
      <c r="C82" s="313">
        <f t="shared" si="14"/>
        <v>1</v>
      </c>
      <c r="D82" s="1129"/>
      <c r="E82" s="313">
        <f t="shared" si="15"/>
        <v>1</v>
      </c>
      <c r="F82" s="1129"/>
      <c r="G82" s="313">
        <f t="shared" si="16"/>
        <v>0.02</v>
      </c>
      <c r="H82" s="1129"/>
      <c r="I82" s="313">
        <f t="shared" si="17"/>
        <v>1</v>
      </c>
      <c r="J82" s="1129"/>
      <c r="K82" s="313">
        <f t="shared" si="18"/>
        <v>1</v>
      </c>
      <c r="L82" s="1129"/>
      <c r="M82" s="313">
        <f t="shared" si="19"/>
        <v>1</v>
      </c>
      <c r="N82" s="1129"/>
      <c r="O82" s="313">
        <f t="shared" si="20"/>
        <v>1</v>
      </c>
      <c r="P82" s="1129"/>
      <c r="Q82" s="313">
        <f t="shared" si="21"/>
        <v>0</v>
      </c>
      <c r="R82" s="1125">
        <f t="shared" si="22"/>
        <v>0</v>
      </c>
      <c r="S82" s="698">
        <f t="shared" si="24"/>
        <v>0</v>
      </c>
    </row>
    <row r="83" spans="1:19">
      <c r="A83" s="491"/>
      <c r="B83" s="348"/>
      <c r="C83" s="313">
        <f t="shared" si="14"/>
        <v>1</v>
      </c>
      <c r="D83" s="1129"/>
      <c r="E83" s="313">
        <f t="shared" si="15"/>
        <v>1</v>
      </c>
      <c r="F83" s="1129"/>
      <c r="G83" s="313">
        <f t="shared" si="16"/>
        <v>0.02</v>
      </c>
      <c r="H83" s="1129"/>
      <c r="I83" s="313">
        <f t="shared" si="17"/>
        <v>1</v>
      </c>
      <c r="J83" s="1129"/>
      <c r="K83" s="313">
        <f t="shared" si="18"/>
        <v>1</v>
      </c>
      <c r="L83" s="1129"/>
      <c r="M83" s="313">
        <f t="shared" si="19"/>
        <v>1</v>
      </c>
      <c r="N83" s="1129"/>
      <c r="O83" s="313">
        <f t="shared" si="20"/>
        <v>1</v>
      </c>
      <c r="P83" s="1129"/>
      <c r="Q83" s="313">
        <f t="shared" si="21"/>
        <v>0</v>
      </c>
      <c r="R83" s="1125">
        <f t="shared" si="22"/>
        <v>0</v>
      </c>
      <c r="S83" s="698">
        <f t="shared" si="24"/>
        <v>0</v>
      </c>
    </row>
    <row r="84" spans="1:19">
      <c r="A84" s="491"/>
      <c r="B84" s="348"/>
      <c r="C84" s="313">
        <f t="shared" si="14"/>
        <v>1</v>
      </c>
      <c r="D84" s="1129"/>
      <c r="E84" s="313">
        <f t="shared" si="15"/>
        <v>1</v>
      </c>
      <c r="F84" s="1129"/>
      <c r="G84" s="313">
        <f t="shared" si="16"/>
        <v>0.02</v>
      </c>
      <c r="H84" s="1129"/>
      <c r="I84" s="313">
        <f t="shared" si="17"/>
        <v>1</v>
      </c>
      <c r="J84" s="1129"/>
      <c r="K84" s="313">
        <f t="shared" si="18"/>
        <v>1</v>
      </c>
      <c r="L84" s="1129"/>
      <c r="M84" s="313">
        <f t="shared" si="19"/>
        <v>1</v>
      </c>
      <c r="N84" s="1129"/>
      <c r="O84" s="313">
        <f t="shared" si="20"/>
        <v>1</v>
      </c>
      <c r="P84" s="1129"/>
      <c r="Q84" s="313">
        <f t="shared" si="21"/>
        <v>0</v>
      </c>
      <c r="R84" s="1125">
        <f t="shared" si="22"/>
        <v>0</v>
      </c>
      <c r="S84" s="698">
        <f t="shared" si="24"/>
        <v>0</v>
      </c>
    </row>
    <row r="85" spans="1:19">
      <c r="A85" s="491"/>
      <c r="B85" s="348"/>
      <c r="C85" s="313">
        <f t="shared" si="14"/>
        <v>1</v>
      </c>
      <c r="D85" s="1129"/>
      <c r="E85" s="313">
        <f t="shared" si="15"/>
        <v>1</v>
      </c>
      <c r="F85" s="1129"/>
      <c r="G85" s="313">
        <f t="shared" si="16"/>
        <v>0.02</v>
      </c>
      <c r="H85" s="1129"/>
      <c r="I85" s="313">
        <f t="shared" si="17"/>
        <v>1</v>
      </c>
      <c r="J85" s="1129"/>
      <c r="K85" s="313">
        <f t="shared" si="18"/>
        <v>1</v>
      </c>
      <c r="L85" s="1129"/>
      <c r="M85" s="313">
        <f t="shared" si="19"/>
        <v>1</v>
      </c>
      <c r="N85" s="1129"/>
      <c r="O85" s="313">
        <f t="shared" si="20"/>
        <v>1</v>
      </c>
      <c r="P85" s="1129"/>
      <c r="Q85" s="313">
        <f t="shared" si="21"/>
        <v>0</v>
      </c>
      <c r="R85" s="1125">
        <f t="shared" si="22"/>
        <v>0</v>
      </c>
      <c r="S85" s="698">
        <f t="shared" si="24"/>
        <v>0</v>
      </c>
    </row>
    <row r="86" spans="1:19">
      <c r="A86" s="491"/>
      <c r="B86" s="348"/>
      <c r="C86" s="313">
        <f t="shared" si="14"/>
        <v>1</v>
      </c>
      <c r="D86" s="1129"/>
      <c r="E86" s="313">
        <f t="shared" si="15"/>
        <v>1</v>
      </c>
      <c r="F86" s="1129"/>
      <c r="G86" s="313">
        <f t="shared" si="16"/>
        <v>0.02</v>
      </c>
      <c r="H86" s="1129"/>
      <c r="I86" s="313">
        <f t="shared" si="17"/>
        <v>1</v>
      </c>
      <c r="J86" s="1129"/>
      <c r="K86" s="313">
        <f t="shared" si="18"/>
        <v>1</v>
      </c>
      <c r="L86" s="1129"/>
      <c r="M86" s="313">
        <f t="shared" si="19"/>
        <v>1</v>
      </c>
      <c r="N86" s="1129"/>
      <c r="O86" s="313">
        <f t="shared" si="20"/>
        <v>1</v>
      </c>
      <c r="P86" s="1129"/>
      <c r="Q86" s="313">
        <f t="shared" si="21"/>
        <v>0</v>
      </c>
      <c r="R86" s="1125">
        <f t="shared" si="22"/>
        <v>0</v>
      </c>
      <c r="S86" s="698">
        <f t="shared" si="24"/>
        <v>0</v>
      </c>
    </row>
    <row r="87" spans="1:19">
      <c r="A87" s="491"/>
      <c r="B87" s="348"/>
      <c r="C87" s="313">
        <f t="shared" si="14"/>
        <v>1</v>
      </c>
      <c r="D87" s="1129"/>
      <c r="E87" s="313">
        <f t="shared" si="15"/>
        <v>1</v>
      </c>
      <c r="F87" s="1129"/>
      <c r="G87" s="313">
        <f t="shared" si="16"/>
        <v>0.02</v>
      </c>
      <c r="H87" s="1129"/>
      <c r="I87" s="313">
        <f t="shared" si="17"/>
        <v>1</v>
      </c>
      <c r="J87" s="1129"/>
      <c r="K87" s="313">
        <f t="shared" si="18"/>
        <v>1</v>
      </c>
      <c r="L87" s="1129"/>
      <c r="M87" s="313">
        <f t="shared" si="19"/>
        <v>1</v>
      </c>
      <c r="N87" s="1129"/>
      <c r="O87" s="313">
        <f t="shared" si="20"/>
        <v>1</v>
      </c>
      <c r="P87" s="1129"/>
      <c r="Q87" s="313">
        <f t="shared" si="21"/>
        <v>0</v>
      </c>
      <c r="R87" s="1125">
        <f t="shared" si="22"/>
        <v>0</v>
      </c>
      <c r="S87" s="698">
        <f t="shared" si="24"/>
        <v>0</v>
      </c>
    </row>
    <row r="88" spans="1:19">
      <c r="A88" s="491"/>
      <c r="B88" s="348"/>
      <c r="C88" s="313">
        <f t="shared" si="14"/>
        <v>1</v>
      </c>
      <c r="D88" s="1129"/>
      <c r="E88" s="313">
        <f t="shared" si="15"/>
        <v>1</v>
      </c>
      <c r="F88" s="1129"/>
      <c r="G88" s="313">
        <f t="shared" si="16"/>
        <v>0.02</v>
      </c>
      <c r="H88" s="1129"/>
      <c r="I88" s="313">
        <f t="shared" si="17"/>
        <v>1</v>
      </c>
      <c r="J88" s="1129"/>
      <c r="K88" s="313">
        <f t="shared" si="18"/>
        <v>1</v>
      </c>
      <c r="L88" s="1129"/>
      <c r="M88" s="313">
        <f t="shared" si="19"/>
        <v>1</v>
      </c>
      <c r="N88" s="1129"/>
      <c r="O88" s="313">
        <f t="shared" si="20"/>
        <v>1</v>
      </c>
      <c r="P88" s="1129"/>
      <c r="Q88" s="313">
        <f t="shared" si="21"/>
        <v>0</v>
      </c>
      <c r="R88" s="1125">
        <f t="shared" si="22"/>
        <v>0</v>
      </c>
      <c r="S88" s="698">
        <f t="shared" si="24"/>
        <v>0</v>
      </c>
    </row>
    <row r="89" spans="1:19">
      <c r="A89" s="491"/>
      <c r="B89" s="348"/>
      <c r="C89" s="313">
        <f t="shared" si="14"/>
        <v>1</v>
      </c>
      <c r="D89" s="1129"/>
      <c r="E89" s="313">
        <f t="shared" si="15"/>
        <v>1</v>
      </c>
      <c r="F89" s="1129"/>
      <c r="G89" s="313">
        <f t="shared" si="16"/>
        <v>0.02</v>
      </c>
      <c r="H89" s="1129"/>
      <c r="I89" s="313">
        <f t="shared" si="17"/>
        <v>1</v>
      </c>
      <c r="J89" s="1129"/>
      <c r="K89" s="313">
        <f t="shared" si="18"/>
        <v>1</v>
      </c>
      <c r="L89" s="1129"/>
      <c r="M89" s="313">
        <f t="shared" si="19"/>
        <v>1</v>
      </c>
      <c r="N89" s="1129"/>
      <c r="O89" s="313">
        <f t="shared" si="20"/>
        <v>1</v>
      </c>
      <c r="P89" s="1129"/>
      <c r="Q89" s="313">
        <f t="shared" si="21"/>
        <v>0</v>
      </c>
      <c r="R89" s="1125">
        <f t="shared" si="22"/>
        <v>0</v>
      </c>
      <c r="S89" s="698">
        <f t="shared" si="24"/>
        <v>0</v>
      </c>
    </row>
    <row r="90" spans="1:19">
      <c r="A90" s="491"/>
      <c r="B90" s="348"/>
      <c r="C90" s="313">
        <f t="shared" ref="C90:C153" si="25">IF(B90="",1,(LOOKUP(B90,$3:$3,$4:$4)-LOOKUP($B$24,$3:$3,$4:$4)+100)/100)</f>
        <v>1</v>
      </c>
      <c r="D90" s="1129"/>
      <c r="E90" s="313">
        <f t="shared" ref="E90:E153" si="26">(SUMIF($5:$5,D90,$6:$6)-SUMIF($5:$5,$D$24,$6:$6)+100)/100</f>
        <v>1</v>
      </c>
      <c r="F90" s="1129"/>
      <c r="G90" s="313">
        <f t="shared" ref="G90:G153" si="27">(SUMIF($7:$7,F90,$8:$8)-SUMIF($7:$7,$F$24,$8:$8)+100)/100</f>
        <v>0.02</v>
      </c>
      <c r="H90" s="1129"/>
      <c r="I90" s="313">
        <f t="shared" ref="I90:I153" si="28">(SUMIF($9:$9,H90,$10:$10)-SUMIF($9:$9,$H$24,$10:$10)+100)/100</f>
        <v>1</v>
      </c>
      <c r="J90" s="1129"/>
      <c r="K90" s="313">
        <f t="shared" ref="K90:K153" si="29">(SUMIF($11:$11,J90,$12:$12)-SUMIF($11:$11,$J$24,$12:$12)+100)/100</f>
        <v>1</v>
      </c>
      <c r="L90" s="1129"/>
      <c r="M90" s="313">
        <f t="shared" ref="M90:M153" si="30">(SUMIF($13:$13,L90,$14:$14)-SUMIF($13:$13,$L$24,$14:$14)+100)/100</f>
        <v>1</v>
      </c>
      <c r="N90" s="1129"/>
      <c r="O90" s="313">
        <f t="shared" ref="O90:O153" si="31">(SUMIF($15:$15,N90,$16:$16)-SUMIF($15:$15,$N$24,$16:$16)+100)/100</f>
        <v>1</v>
      </c>
      <c r="P90" s="1129"/>
      <c r="Q90" s="313">
        <f t="shared" ref="Q90:Q153" si="32">(SUMIF($17:$17,P90,$18:$18)-SUMIF($17:$17,$P$24,$18:$18)+100)/100</f>
        <v>0</v>
      </c>
      <c r="R90" s="1125">
        <f t="shared" ref="R90:R153" si="33">IF(B90="",0,ROUND($R$24*C90*E90*G90*I90*K90*M90*O90*Q90,0))</f>
        <v>0</v>
      </c>
      <c r="S90" s="698">
        <f t="shared" si="24"/>
        <v>0</v>
      </c>
    </row>
    <row r="91" spans="1:19">
      <c r="A91" s="491"/>
      <c r="B91" s="348"/>
      <c r="C91" s="313">
        <f t="shared" si="25"/>
        <v>1</v>
      </c>
      <c r="D91" s="1129"/>
      <c r="E91" s="313">
        <f t="shared" si="26"/>
        <v>1</v>
      </c>
      <c r="F91" s="1129"/>
      <c r="G91" s="313">
        <f t="shared" si="27"/>
        <v>0.02</v>
      </c>
      <c r="H91" s="1129"/>
      <c r="I91" s="313">
        <f t="shared" si="28"/>
        <v>1</v>
      </c>
      <c r="J91" s="1129"/>
      <c r="K91" s="313">
        <f t="shared" si="29"/>
        <v>1</v>
      </c>
      <c r="L91" s="1129"/>
      <c r="M91" s="313">
        <f t="shared" si="30"/>
        <v>1</v>
      </c>
      <c r="N91" s="1129"/>
      <c r="O91" s="313">
        <f t="shared" si="31"/>
        <v>1</v>
      </c>
      <c r="P91" s="1129"/>
      <c r="Q91" s="313">
        <f t="shared" si="32"/>
        <v>0</v>
      </c>
      <c r="R91" s="1125">
        <f t="shared" si="33"/>
        <v>0</v>
      </c>
      <c r="S91" s="698">
        <f t="shared" si="24"/>
        <v>0</v>
      </c>
    </row>
    <row r="92" spans="1:19">
      <c r="A92" s="491"/>
      <c r="B92" s="348"/>
      <c r="C92" s="313">
        <f t="shared" si="25"/>
        <v>1</v>
      </c>
      <c r="D92" s="1129"/>
      <c r="E92" s="313">
        <f t="shared" si="26"/>
        <v>1</v>
      </c>
      <c r="F92" s="1129"/>
      <c r="G92" s="313">
        <f t="shared" si="27"/>
        <v>0.02</v>
      </c>
      <c r="H92" s="1129"/>
      <c r="I92" s="313">
        <f t="shared" si="28"/>
        <v>1</v>
      </c>
      <c r="J92" s="1129"/>
      <c r="K92" s="313">
        <f t="shared" si="29"/>
        <v>1</v>
      </c>
      <c r="L92" s="1129"/>
      <c r="M92" s="313">
        <f t="shared" si="30"/>
        <v>1</v>
      </c>
      <c r="N92" s="1129"/>
      <c r="O92" s="313">
        <f t="shared" si="31"/>
        <v>1</v>
      </c>
      <c r="P92" s="1129"/>
      <c r="Q92" s="313">
        <f t="shared" si="32"/>
        <v>0</v>
      </c>
      <c r="R92" s="1125">
        <f t="shared" si="33"/>
        <v>0</v>
      </c>
      <c r="S92" s="698">
        <f t="shared" si="24"/>
        <v>0</v>
      </c>
    </row>
    <row r="93" spans="1:19">
      <c r="A93" s="491"/>
      <c r="B93" s="348"/>
      <c r="C93" s="313">
        <f t="shared" si="25"/>
        <v>1</v>
      </c>
      <c r="D93" s="1129"/>
      <c r="E93" s="313">
        <f t="shared" si="26"/>
        <v>1</v>
      </c>
      <c r="F93" s="1129"/>
      <c r="G93" s="313">
        <f t="shared" si="27"/>
        <v>0.02</v>
      </c>
      <c r="H93" s="1129"/>
      <c r="I93" s="313">
        <f t="shared" si="28"/>
        <v>1</v>
      </c>
      <c r="J93" s="1129"/>
      <c r="K93" s="313">
        <f t="shared" si="29"/>
        <v>1</v>
      </c>
      <c r="L93" s="1129"/>
      <c r="M93" s="313">
        <f t="shared" si="30"/>
        <v>1</v>
      </c>
      <c r="N93" s="1129"/>
      <c r="O93" s="313">
        <f t="shared" si="31"/>
        <v>1</v>
      </c>
      <c r="P93" s="1129"/>
      <c r="Q93" s="313">
        <f t="shared" si="32"/>
        <v>0</v>
      </c>
      <c r="R93" s="1125">
        <f t="shared" si="33"/>
        <v>0</v>
      </c>
      <c r="S93" s="698">
        <f t="shared" si="24"/>
        <v>0</v>
      </c>
    </row>
    <row r="94" spans="1:19">
      <c r="A94" s="491"/>
      <c r="B94" s="348"/>
      <c r="C94" s="313">
        <f t="shared" si="25"/>
        <v>1</v>
      </c>
      <c r="D94" s="1129"/>
      <c r="E94" s="313">
        <f t="shared" si="26"/>
        <v>1</v>
      </c>
      <c r="F94" s="1129"/>
      <c r="G94" s="313">
        <f t="shared" si="27"/>
        <v>0.02</v>
      </c>
      <c r="H94" s="1129"/>
      <c r="I94" s="313">
        <f t="shared" si="28"/>
        <v>1</v>
      </c>
      <c r="J94" s="1129"/>
      <c r="K94" s="313">
        <f t="shared" si="29"/>
        <v>1</v>
      </c>
      <c r="L94" s="1129"/>
      <c r="M94" s="313">
        <f t="shared" si="30"/>
        <v>1</v>
      </c>
      <c r="N94" s="1129"/>
      <c r="O94" s="313">
        <f t="shared" si="31"/>
        <v>1</v>
      </c>
      <c r="P94" s="1129"/>
      <c r="Q94" s="313">
        <f t="shared" si="32"/>
        <v>0</v>
      </c>
      <c r="R94" s="1125">
        <f t="shared" si="33"/>
        <v>0</v>
      </c>
      <c r="S94" s="698">
        <f t="shared" si="24"/>
        <v>0</v>
      </c>
    </row>
    <row r="95" spans="1:19">
      <c r="A95" s="491"/>
      <c r="B95" s="348"/>
      <c r="C95" s="313">
        <f t="shared" si="25"/>
        <v>1</v>
      </c>
      <c r="D95" s="1129"/>
      <c r="E95" s="313">
        <f t="shared" si="26"/>
        <v>1</v>
      </c>
      <c r="F95" s="1129"/>
      <c r="G95" s="313">
        <f t="shared" si="27"/>
        <v>0.02</v>
      </c>
      <c r="H95" s="1129"/>
      <c r="I95" s="313">
        <f t="shared" si="28"/>
        <v>1</v>
      </c>
      <c r="J95" s="1129"/>
      <c r="K95" s="313">
        <f t="shared" si="29"/>
        <v>1</v>
      </c>
      <c r="L95" s="1129"/>
      <c r="M95" s="313">
        <f t="shared" si="30"/>
        <v>1</v>
      </c>
      <c r="N95" s="1129"/>
      <c r="O95" s="313">
        <f t="shared" si="31"/>
        <v>1</v>
      </c>
      <c r="P95" s="1129"/>
      <c r="Q95" s="313">
        <f t="shared" si="32"/>
        <v>0</v>
      </c>
      <c r="R95" s="1125">
        <f t="shared" si="33"/>
        <v>0</v>
      </c>
      <c r="S95" s="698">
        <f t="shared" si="24"/>
        <v>0</v>
      </c>
    </row>
    <row r="96" spans="1:19">
      <c r="A96" s="491"/>
      <c r="B96" s="348"/>
      <c r="C96" s="313">
        <f t="shared" si="25"/>
        <v>1</v>
      </c>
      <c r="D96" s="1129"/>
      <c r="E96" s="313">
        <f t="shared" si="26"/>
        <v>1</v>
      </c>
      <c r="F96" s="1129"/>
      <c r="G96" s="313">
        <f t="shared" si="27"/>
        <v>0.02</v>
      </c>
      <c r="H96" s="1129"/>
      <c r="I96" s="313">
        <f t="shared" si="28"/>
        <v>1</v>
      </c>
      <c r="J96" s="1129"/>
      <c r="K96" s="313">
        <f t="shared" si="29"/>
        <v>1</v>
      </c>
      <c r="L96" s="1129"/>
      <c r="M96" s="313">
        <f t="shared" si="30"/>
        <v>1</v>
      </c>
      <c r="N96" s="1129"/>
      <c r="O96" s="313">
        <f t="shared" si="31"/>
        <v>1</v>
      </c>
      <c r="P96" s="1129"/>
      <c r="Q96" s="313">
        <f t="shared" si="32"/>
        <v>0</v>
      </c>
      <c r="R96" s="1125">
        <f t="shared" si="33"/>
        <v>0</v>
      </c>
      <c r="S96" s="698">
        <f t="shared" si="24"/>
        <v>0</v>
      </c>
    </row>
    <row r="97" spans="1:19">
      <c r="A97" s="491"/>
      <c r="B97" s="348"/>
      <c r="C97" s="313">
        <f t="shared" si="25"/>
        <v>1</v>
      </c>
      <c r="D97" s="1129"/>
      <c r="E97" s="313">
        <f t="shared" si="26"/>
        <v>1</v>
      </c>
      <c r="F97" s="1129"/>
      <c r="G97" s="313">
        <f t="shared" si="27"/>
        <v>0.02</v>
      </c>
      <c r="H97" s="1129"/>
      <c r="I97" s="313">
        <f t="shared" si="28"/>
        <v>1</v>
      </c>
      <c r="J97" s="1129"/>
      <c r="K97" s="313">
        <f t="shared" si="29"/>
        <v>1</v>
      </c>
      <c r="L97" s="1129"/>
      <c r="M97" s="313">
        <f t="shared" si="30"/>
        <v>1</v>
      </c>
      <c r="N97" s="1129"/>
      <c r="O97" s="313">
        <f t="shared" si="31"/>
        <v>1</v>
      </c>
      <c r="P97" s="1129"/>
      <c r="Q97" s="313">
        <f t="shared" si="32"/>
        <v>0</v>
      </c>
      <c r="R97" s="1125">
        <f t="shared" si="33"/>
        <v>0</v>
      </c>
      <c r="S97" s="698">
        <f t="shared" si="24"/>
        <v>0</v>
      </c>
    </row>
    <row r="98" spans="1:19">
      <c r="A98" s="491"/>
      <c r="B98" s="348"/>
      <c r="C98" s="313">
        <f t="shared" si="25"/>
        <v>1</v>
      </c>
      <c r="D98" s="1129"/>
      <c r="E98" s="313">
        <f t="shared" si="26"/>
        <v>1</v>
      </c>
      <c r="F98" s="1129"/>
      <c r="G98" s="313">
        <f t="shared" si="27"/>
        <v>0.02</v>
      </c>
      <c r="H98" s="1129"/>
      <c r="I98" s="313">
        <f t="shared" si="28"/>
        <v>1</v>
      </c>
      <c r="J98" s="1129"/>
      <c r="K98" s="313">
        <f t="shared" si="29"/>
        <v>1</v>
      </c>
      <c r="L98" s="1129"/>
      <c r="M98" s="313">
        <f t="shared" si="30"/>
        <v>1</v>
      </c>
      <c r="N98" s="1129"/>
      <c r="O98" s="313">
        <f t="shared" si="31"/>
        <v>1</v>
      </c>
      <c r="P98" s="1129"/>
      <c r="Q98" s="313">
        <f t="shared" si="32"/>
        <v>0</v>
      </c>
      <c r="R98" s="1125">
        <f t="shared" si="33"/>
        <v>0</v>
      </c>
      <c r="S98" s="698">
        <f t="shared" si="24"/>
        <v>0</v>
      </c>
    </row>
    <row r="99" spans="1:19">
      <c r="A99" s="491"/>
      <c r="B99" s="348"/>
      <c r="C99" s="313">
        <f t="shared" si="25"/>
        <v>1</v>
      </c>
      <c r="D99" s="1129"/>
      <c r="E99" s="313">
        <f t="shared" si="26"/>
        <v>1</v>
      </c>
      <c r="F99" s="1129"/>
      <c r="G99" s="313">
        <f t="shared" si="27"/>
        <v>0.02</v>
      </c>
      <c r="H99" s="1129"/>
      <c r="I99" s="313">
        <f t="shared" si="28"/>
        <v>1</v>
      </c>
      <c r="J99" s="1129"/>
      <c r="K99" s="313">
        <f t="shared" si="29"/>
        <v>1</v>
      </c>
      <c r="L99" s="1129"/>
      <c r="M99" s="313">
        <f t="shared" si="30"/>
        <v>1</v>
      </c>
      <c r="N99" s="1129"/>
      <c r="O99" s="313">
        <f t="shared" si="31"/>
        <v>1</v>
      </c>
      <c r="P99" s="1129"/>
      <c r="Q99" s="313">
        <f t="shared" si="32"/>
        <v>0</v>
      </c>
      <c r="R99" s="1125">
        <f t="shared" si="33"/>
        <v>0</v>
      </c>
      <c r="S99" s="698">
        <f t="shared" si="24"/>
        <v>0</v>
      </c>
    </row>
    <row r="100" spans="1:19">
      <c r="A100" s="491"/>
      <c r="B100" s="348"/>
      <c r="C100" s="313">
        <f t="shared" si="25"/>
        <v>1</v>
      </c>
      <c r="D100" s="1129"/>
      <c r="E100" s="313">
        <f t="shared" si="26"/>
        <v>1</v>
      </c>
      <c r="F100" s="1129"/>
      <c r="G100" s="313">
        <f t="shared" si="27"/>
        <v>0.02</v>
      </c>
      <c r="H100" s="1129"/>
      <c r="I100" s="313">
        <f t="shared" si="28"/>
        <v>1</v>
      </c>
      <c r="J100" s="1129"/>
      <c r="K100" s="313">
        <f t="shared" si="29"/>
        <v>1</v>
      </c>
      <c r="L100" s="1129"/>
      <c r="M100" s="313">
        <f t="shared" si="30"/>
        <v>1</v>
      </c>
      <c r="N100" s="1129"/>
      <c r="O100" s="313">
        <f t="shared" si="31"/>
        <v>1</v>
      </c>
      <c r="P100" s="1129"/>
      <c r="Q100" s="313">
        <f t="shared" si="32"/>
        <v>0</v>
      </c>
      <c r="R100" s="1125">
        <f t="shared" si="33"/>
        <v>0</v>
      </c>
      <c r="S100" s="698">
        <f t="shared" si="24"/>
        <v>0</v>
      </c>
    </row>
    <row r="101" spans="1:19">
      <c r="A101" s="491"/>
      <c r="B101" s="348"/>
      <c r="C101" s="313">
        <f t="shared" si="25"/>
        <v>1</v>
      </c>
      <c r="D101" s="1129"/>
      <c r="E101" s="313">
        <f t="shared" si="26"/>
        <v>1</v>
      </c>
      <c r="F101" s="1129"/>
      <c r="G101" s="313">
        <f t="shared" si="27"/>
        <v>0.02</v>
      </c>
      <c r="H101" s="1129"/>
      <c r="I101" s="313">
        <f t="shared" si="28"/>
        <v>1</v>
      </c>
      <c r="J101" s="1129"/>
      <c r="K101" s="313">
        <f t="shared" si="29"/>
        <v>1</v>
      </c>
      <c r="L101" s="1129"/>
      <c r="M101" s="313">
        <f t="shared" si="30"/>
        <v>1</v>
      </c>
      <c r="N101" s="1129"/>
      <c r="O101" s="313">
        <f t="shared" si="31"/>
        <v>1</v>
      </c>
      <c r="P101" s="1129"/>
      <c r="Q101" s="313">
        <f t="shared" si="32"/>
        <v>0</v>
      </c>
      <c r="R101" s="1125">
        <f t="shared" si="33"/>
        <v>0</v>
      </c>
      <c r="S101" s="698">
        <f t="shared" si="24"/>
        <v>0</v>
      </c>
    </row>
    <row r="102" spans="1:19">
      <c r="A102" s="491"/>
      <c r="B102" s="348"/>
      <c r="C102" s="313">
        <f t="shared" si="25"/>
        <v>1</v>
      </c>
      <c r="D102" s="1129"/>
      <c r="E102" s="313">
        <f t="shared" si="26"/>
        <v>1</v>
      </c>
      <c r="F102" s="1129"/>
      <c r="G102" s="313">
        <f t="shared" si="27"/>
        <v>0.02</v>
      </c>
      <c r="H102" s="1129"/>
      <c r="I102" s="313">
        <f t="shared" si="28"/>
        <v>1</v>
      </c>
      <c r="J102" s="1129"/>
      <c r="K102" s="313">
        <f t="shared" si="29"/>
        <v>1</v>
      </c>
      <c r="L102" s="1129"/>
      <c r="M102" s="313">
        <f t="shared" si="30"/>
        <v>1</v>
      </c>
      <c r="N102" s="1129"/>
      <c r="O102" s="313">
        <f t="shared" si="31"/>
        <v>1</v>
      </c>
      <c r="P102" s="1129"/>
      <c r="Q102" s="313">
        <f t="shared" si="32"/>
        <v>0</v>
      </c>
      <c r="R102" s="1125">
        <f t="shared" si="33"/>
        <v>0</v>
      </c>
      <c r="S102" s="698">
        <f t="shared" si="24"/>
        <v>0</v>
      </c>
    </row>
    <row r="103" spans="1:19">
      <c r="A103" s="491"/>
      <c r="B103" s="348"/>
      <c r="C103" s="313">
        <f t="shared" si="25"/>
        <v>1</v>
      </c>
      <c r="D103" s="1129"/>
      <c r="E103" s="313">
        <f t="shared" si="26"/>
        <v>1</v>
      </c>
      <c r="F103" s="1129"/>
      <c r="G103" s="313">
        <f t="shared" si="27"/>
        <v>0.02</v>
      </c>
      <c r="H103" s="1129"/>
      <c r="I103" s="313">
        <f t="shared" si="28"/>
        <v>1</v>
      </c>
      <c r="J103" s="1129"/>
      <c r="K103" s="313">
        <f t="shared" si="29"/>
        <v>1</v>
      </c>
      <c r="L103" s="1129"/>
      <c r="M103" s="313">
        <f t="shared" si="30"/>
        <v>1</v>
      </c>
      <c r="N103" s="1129"/>
      <c r="O103" s="313">
        <f t="shared" si="31"/>
        <v>1</v>
      </c>
      <c r="P103" s="1129"/>
      <c r="Q103" s="313">
        <f t="shared" si="32"/>
        <v>0</v>
      </c>
      <c r="R103" s="1125">
        <f t="shared" si="33"/>
        <v>0</v>
      </c>
      <c r="S103" s="698">
        <f t="shared" si="24"/>
        <v>0</v>
      </c>
    </row>
    <row r="104" spans="1:19">
      <c r="A104" s="491"/>
      <c r="B104" s="348"/>
      <c r="C104" s="313">
        <f t="shared" si="25"/>
        <v>1</v>
      </c>
      <c r="D104" s="1129"/>
      <c r="E104" s="313">
        <f t="shared" si="26"/>
        <v>1</v>
      </c>
      <c r="F104" s="1129"/>
      <c r="G104" s="313">
        <f t="shared" si="27"/>
        <v>0.02</v>
      </c>
      <c r="H104" s="1129"/>
      <c r="I104" s="313">
        <f t="shared" si="28"/>
        <v>1</v>
      </c>
      <c r="J104" s="1129"/>
      <c r="K104" s="313">
        <f t="shared" si="29"/>
        <v>1</v>
      </c>
      <c r="L104" s="1129"/>
      <c r="M104" s="313">
        <f t="shared" si="30"/>
        <v>1</v>
      </c>
      <c r="N104" s="1129"/>
      <c r="O104" s="313">
        <f t="shared" si="31"/>
        <v>1</v>
      </c>
      <c r="P104" s="1129"/>
      <c r="Q104" s="313">
        <f t="shared" si="32"/>
        <v>0</v>
      </c>
      <c r="R104" s="1125">
        <f t="shared" si="33"/>
        <v>0</v>
      </c>
      <c r="S104" s="698">
        <f t="shared" si="24"/>
        <v>0</v>
      </c>
    </row>
    <row r="105" spans="1:19">
      <c r="A105" s="491"/>
      <c r="B105" s="348"/>
      <c r="C105" s="313">
        <f t="shared" si="25"/>
        <v>1</v>
      </c>
      <c r="D105" s="1129"/>
      <c r="E105" s="313">
        <f t="shared" si="26"/>
        <v>1</v>
      </c>
      <c r="F105" s="1129"/>
      <c r="G105" s="313">
        <f t="shared" si="27"/>
        <v>0.02</v>
      </c>
      <c r="H105" s="1129"/>
      <c r="I105" s="313">
        <f t="shared" si="28"/>
        <v>1</v>
      </c>
      <c r="J105" s="1129"/>
      <c r="K105" s="313">
        <f t="shared" si="29"/>
        <v>1</v>
      </c>
      <c r="L105" s="1129"/>
      <c r="M105" s="313">
        <f t="shared" si="30"/>
        <v>1</v>
      </c>
      <c r="N105" s="1129"/>
      <c r="O105" s="313">
        <f t="shared" si="31"/>
        <v>1</v>
      </c>
      <c r="P105" s="1129"/>
      <c r="Q105" s="313">
        <f t="shared" si="32"/>
        <v>0</v>
      </c>
      <c r="R105" s="1125">
        <f t="shared" si="33"/>
        <v>0</v>
      </c>
      <c r="S105" s="698">
        <f t="shared" si="24"/>
        <v>0</v>
      </c>
    </row>
    <row r="106" spans="1:19">
      <c r="A106" s="491"/>
      <c r="B106" s="348"/>
      <c r="C106" s="313">
        <f t="shared" si="25"/>
        <v>1</v>
      </c>
      <c r="D106" s="1129"/>
      <c r="E106" s="313">
        <f t="shared" si="26"/>
        <v>1</v>
      </c>
      <c r="F106" s="1129"/>
      <c r="G106" s="313">
        <f t="shared" si="27"/>
        <v>0.02</v>
      </c>
      <c r="H106" s="1129"/>
      <c r="I106" s="313">
        <f t="shared" si="28"/>
        <v>1</v>
      </c>
      <c r="J106" s="1129"/>
      <c r="K106" s="313">
        <f t="shared" si="29"/>
        <v>1</v>
      </c>
      <c r="L106" s="1129"/>
      <c r="M106" s="313">
        <f t="shared" si="30"/>
        <v>1</v>
      </c>
      <c r="N106" s="1129"/>
      <c r="O106" s="313">
        <f t="shared" si="31"/>
        <v>1</v>
      </c>
      <c r="P106" s="1129"/>
      <c r="Q106" s="313">
        <f t="shared" si="32"/>
        <v>0</v>
      </c>
      <c r="R106" s="1125">
        <f t="shared" si="33"/>
        <v>0</v>
      </c>
      <c r="S106" s="698">
        <f t="shared" si="24"/>
        <v>0</v>
      </c>
    </row>
    <row r="107" spans="1:19">
      <c r="A107" s="491"/>
      <c r="B107" s="348"/>
      <c r="C107" s="313">
        <f t="shared" si="25"/>
        <v>1</v>
      </c>
      <c r="D107" s="1129"/>
      <c r="E107" s="313">
        <f t="shared" si="26"/>
        <v>1</v>
      </c>
      <c r="F107" s="1129"/>
      <c r="G107" s="313">
        <f t="shared" si="27"/>
        <v>0.02</v>
      </c>
      <c r="H107" s="1129"/>
      <c r="I107" s="313">
        <f t="shared" si="28"/>
        <v>1</v>
      </c>
      <c r="J107" s="1129"/>
      <c r="K107" s="313">
        <f t="shared" si="29"/>
        <v>1</v>
      </c>
      <c r="L107" s="1129"/>
      <c r="M107" s="313">
        <f t="shared" si="30"/>
        <v>1</v>
      </c>
      <c r="N107" s="1129"/>
      <c r="O107" s="313">
        <f t="shared" si="31"/>
        <v>1</v>
      </c>
      <c r="P107" s="1129"/>
      <c r="Q107" s="313">
        <f t="shared" si="32"/>
        <v>0</v>
      </c>
      <c r="R107" s="1125">
        <f t="shared" si="33"/>
        <v>0</v>
      </c>
      <c r="S107" s="698">
        <f t="shared" si="24"/>
        <v>0</v>
      </c>
    </row>
    <row r="108" spans="1:19">
      <c r="A108" s="491"/>
      <c r="B108" s="348"/>
      <c r="C108" s="313">
        <f t="shared" si="25"/>
        <v>1</v>
      </c>
      <c r="D108" s="1129"/>
      <c r="E108" s="313">
        <f t="shared" si="26"/>
        <v>1</v>
      </c>
      <c r="F108" s="1129"/>
      <c r="G108" s="313">
        <f t="shared" si="27"/>
        <v>0.02</v>
      </c>
      <c r="H108" s="1129"/>
      <c r="I108" s="313">
        <f t="shared" si="28"/>
        <v>1</v>
      </c>
      <c r="J108" s="1129"/>
      <c r="K108" s="313">
        <f t="shared" si="29"/>
        <v>1</v>
      </c>
      <c r="L108" s="1129"/>
      <c r="M108" s="313">
        <f t="shared" si="30"/>
        <v>1</v>
      </c>
      <c r="N108" s="1129"/>
      <c r="O108" s="313">
        <f t="shared" si="31"/>
        <v>1</v>
      </c>
      <c r="P108" s="1129"/>
      <c r="Q108" s="313">
        <f t="shared" si="32"/>
        <v>0</v>
      </c>
      <c r="R108" s="1125">
        <f t="shared" si="33"/>
        <v>0</v>
      </c>
      <c r="S108" s="698">
        <f t="shared" si="24"/>
        <v>0</v>
      </c>
    </row>
    <row r="109" spans="1:19">
      <c r="A109" s="491"/>
      <c r="B109" s="348"/>
      <c r="C109" s="313">
        <f t="shared" si="25"/>
        <v>1</v>
      </c>
      <c r="D109" s="1129"/>
      <c r="E109" s="313">
        <f t="shared" si="26"/>
        <v>1</v>
      </c>
      <c r="F109" s="1129"/>
      <c r="G109" s="313">
        <f t="shared" si="27"/>
        <v>0.02</v>
      </c>
      <c r="H109" s="1129"/>
      <c r="I109" s="313">
        <f t="shared" si="28"/>
        <v>1</v>
      </c>
      <c r="J109" s="1129"/>
      <c r="K109" s="313">
        <f t="shared" si="29"/>
        <v>1</v>
      </c>
      <c r="L109" s="1129"/>
      <c r="M109" s="313">
        <f t="shared" si="30"/>
        <v>1</v>
      </c>
      <c r="N109" s="1129"/>
      <c r="O109" s="313">
        <f t="shared" si="31"/>
        <v>1</v>
      </c>
      <c r="P109" s="1129"/>
      <c r="Q109" s="313">
        <f t="shared" si="32"/>
        <v>0</v>
      </c>
      <c r="R109" s="1125">
        <f t="shared" si="33"/>
        <v>0</v>
      </c>
      <c r="S109" s="698">
        <f t="shared" si="24"/>
        <v>0</v>
      </c>
    </row>
    <row r="110" spans="1:19">
      <c r="A110" s="491"/>
      <c r="B110" s="348"/>
      <c r="C110" s="313">
        <f t="shared" si="25"/>
        <v>1</v>
      </c>
      <c r="D110" s="1129"/>
      <c r="E110" s="313">
        <f t="shared" si="26"/>
        <v>1</v>
      </c>
      <c r="F110" s="1129"/>
      <c r="G110" s="313">
        <f t="shared" si="27"/>
        <v>0.02</v>
      </c>
      <c r="H110" s="1129"/>
      <c r="I110" s="313">
        <f t="shared" si="28"/>
        <v>1</v>
      </c>
      <c r="J110" s="1129"/>
      <c r="K110" s="313">
        <f t="shared" si="29"/>
        <v>1</v>
      </c>
      <c r="L110" s="1129"/>
      <c r="M110" s="313">
        <f t="shared" si="30"/>
        <v>1</v>
      </c>
      <c r="N110" s="1129"/>
      <c r="O110" s="313">
        <f t="shared" si="31"/>
        <v>1</v>
      </c>
      <c r="P110" s="1129"/>
      <c r="Q110" s="313">
        <f t="shared" si="32"/>
        <v>0</v>
      </c>
      <c r="R110" s="1125">
        <f t="shared" si="33"/>
        <v>0</v>
      </c>
      <c r="S110" s="698">
        <f t="shared" si="24"/>
        <v>0</v>
      </c>
    </row>
    <row r="111" spans="1:19">
      <c r="A111" s="491"/>
      <c r="B111" s="348"/>
      <c r="C111" s="313">
        <f t="shared" si="25"/>
        <v>1</v>
      </c>
      <c r="D111" s="1129"/>
      <c r="E111" s="313">
        <f t="shared" si="26"/>
        <v>1</v>
      </c>
      <c r="F111" s="1129"/>
      <c r="G111" s="313">
        <f t="shared" si="27"/>
        <v>0.02</v>
      </c>
      <c r="H111" s="1129"/>
      <c r="I111" s="313">
        <f t="shared" si="28"/>
        <v>1</v>
      </c>
      <c r="J111" s="1129"/>
      <c r="K111" s="313">
        <f t="shared" si="29"/>
        <v>1</v>
      </c>
      <c r="L111" s="1129"/>
      <c r="M111" s="313">
        <f t="shared" si="30"/>
        <v>1</v>
      </c>
      <c r="N111" s="1129"/>
      <c r="O111" s="313">
        <f t="shared" si="31"/>
        <v>1</v>
      </c>
      <c r="P111" s="1129"/>
      <c r="Q111" s="313">
        <f t="shared" si="32"/>
        <v>0</v>
      </c>
      <c r="R111" s="1125">
        <f t="shared" si="33"/>
        <v>0</v>
      </c>
      <c r="S111" s="698">
        <f t="shared" si="24"/>
        <v>0</v>
      </c>
    </row>
    <row r="112" spans="1:19">
      <c r="A112" s="491"/>
      <c r="B112" s="348"/>
      <c r="C112" s="313">
        <f t="shared" si="25"/>
        <v>1</v>
      </c>
      <c r="D112" s="1129"/>
      <c r="E112" s="313">
        <f t="shared" si="26"/>
        <v>1</v>
      </c>
      <c r="F112" s="1129"/>
      <c r="G112" s="313">
        <f t="shared" si="27"/>
        <v>0.02</v>
      </c>
      <c r="H112" s="1129"/>
      <c r="I112" s="313">
        <f t="shared" si="28"/>
        <v>1</v>
      </c>
      <c r="J112" s="1129"/>
      <c r="K112" s="313">
        <f t="shared" si="29"/>
        <v>1</v>
      </c>
      <c r="L112" s="1129"/>
      <c r="M112" s="313">
        <f t="shared" si="30"/>
        <v>1</v>
      </c>
      <c r="N112" s="1129"/>
      <c r="O112" s="313">
        <f t="shared" si="31"/>
        <v>1</v>
      </c>
      <c r="P112" s="1129"/>
      <c r="Q112" s="313">
        <f t="shared" si="32"/>
        <v>0</v>
      </c>
      <c r="R112" s="1125">
        <f t="shared" si="33"/>
        <v>0</v>
      </c>
      <c r="S112" s="698">
        <f t="shared" si="24"/>
        <v>0</v>
      </c>
    </row>
    <row r="113" spans="1:19">
      <c r="A113" s="491"/>
      <c r="B113" s="348"/>
      <c r="C113" s="313">
        <f t="shared" si="25"/>
        <v>1</v>
      </c>
      <c r="D113" s="1129"/>
      <c r="E113" s="313">
        <f t="shared" si="26"/>
        <v>1</v>
      </c>
      <c r="F113" s="1129"/>
      <c r="G113" s="313">
        <f t="shared" si="27"/>
        <v>0.02</v>
      </c>
      <c r="H113" s="1129"/>
      <c r="I113" s="313">
        <f t="shared" si="28"/>
        <v>1</v>
      </c>
      <c r="J113" s="1129"/>
      <c r="K113" s="313">
        <f t="shared" si="29"/>
        <v>1</v>
      </c>
      <c r="L113" s="1129"/>
      <c r="M113" s="313">
        <f t="shared" si="30"/>
        <v>1</v>
      </c>
      <c r="N113" s="1129"/>
      <c r="O113" s="313">
        <f t="shared" si="31"/>
        <v>1</v>
      </c>
      <c r="P113" s="1129"/>
      <c r="Q113" s="313">
        <f t="shared" si="32"/>
        <v>0</v>
      </c>
      <c r="R113" s="1125">
        <f t="shared" si="33"/>
        <v>0</v>
      </c>
      <c r="S113" s="698">
        <f t="shared" si="24"/>
        <v>0</v>
      </c>
    </row>
    <row r="114" spans="1:19">
      <c r="A114" s="491"/>
      <c r="B114" s="348"/>
      <c r="C114" s="313">
        <f t="shared" si="25"/>
        <v>1</v>
      </c>
      <c r="D114" s="1129"/>
      <c r="E114" s="313">
        <f t="shared" si="26"/>
        <v>1</v>
      </c>
      <c r="F114" s="1129"/>
      <c r="G114" s="313">
        <f t="shared" si="27"/>
        <v>0.02</v>
      </c>
      <c r="H114" s="1129"/>
      <c r="I114" s="313">
        <f t="shared" si="28"/>
        <v>1</v>
      </c>
      <c r="J114" s="1129"/>
      <c r="K114" s="313">
        <f t="shared" si="29"/>
        <v>1</v>
      </c>
      <c r="L114" s="1129"/>
      <c r="M114" s="313">
        <f t="shared" si="30"/>
        <v>1</v>
      </c>
      <c r="N114" s="1129"/>
      <c r="O114" s="313">
        <f t="shared" si="31"/>
        <v>1</v>
      </c>
      <c r="P114" s="1129"/>
      <c r="Q114" s="313">
        <f t="shared" si="32"/>
        <v>0</v>
      </c>
      <c r="R114" s="1125">
        <f t="shared" si="33"/>
        <v>0</v>
      </c>
      <c r="S114" s="698">
        <f t="shared" si="24"/>
        <v>0</v>
      </c>
    </row>
    <row r="115" spans="1:19">
      <c r="A115" s="491"/>
      <c r="B115" s="348"/>
      <c r="C115" s="313">
        <f t="shared" si="25"/>
        <v>1</v>
      </c>
      <c r="D115" s="1129"/>
      <c r="E115" s="313">
        <f t="shared" si="26"/>
        <v>1</v>
      </c>
      <c r="F115" s="1129"/>
      <c r="G115" s="313">
        <f t="shared" si="27"/>
        <v>0.02</v>
      </c>
      <c r="H115" s="1129"/>
      <c r="I115" s="313">
        <f t="shared" si="28"/>
        <v>1</v>
      </c>
      <c r="J115" s="1129"/>
      <c r="K115" s="313">
        <f t="shared" si="29"/>
        <v>1</v>
      </c>
      <c r="L115" s="1129"/>
      <c r="M115" s="313">
        <f t="shared" si="30"/>
        <v>1</v>
      </c>
      <c r="N115" s="1129"/>
      <c r="O115" s="313">
        <f t="shared" si="31"/>
        <v>1</v>
      </c>
      <c r="P115" s="1129"/>
      <c r="Q115" s="313">
        <f t="shared" si="32"/>
        <v>0</v>
      </c>
      <c r="R115" s="1125">
        <f t="shared" si="33"/>
        <v>0</v>
      </c>
      <c r="S115" s="698">
        <f t="shared" si="24"/>
        <v>0</v>
      </c>
    </row>
    <row r="116" spans="1:19">
      <c r="A116" s="491"/>
      <c r="B116" s="348"/>
      <c r="C116" s="313">
        <f t="shared" si="25"/>
        <v>1</v>
      </c>
      <c r="D116" s="1129"/>
      <c r="E116" s="313">
        <f t="shared" si="26"/>
        <v>1</v>
      </c>
      <c r="F116" s="1129"/>
      <c r="G116" s="313">
        <f t="shared" si="27"/>
        <v>0.02</v>
      </c>
      <c r="H116" s="1129"/>
      <c r="I116" s="313">
        <f t="shared" si="28"/>
        <v>1</v>
      </c>
      <c r="J116" s="1129"/>
      <c r="K116" s="313">
        <f t="shared" si="29"/>
        <v>1</v>
      </c>
      <c r="L116" s="1129"/>
      <c r="M116" s="313">
        <f t="shared" si="30"/>
        <v>1</v>
      </c>
      <c r="N116" s="1129"/>
      <c r="O116" s="313">
        <f t="shared" si="31"/>
        <v>1</v>
      </c>
      <c r="P116" s="1129"/>
      <c r="Q116" s="313">
        <f t="shared" si="32"/>
        <v>0</v>
      </c>
      <c r="R116" s="1125">
        <f t="shared" si="33"/>
        <v>0</v>
      </c>
      <c r="S116" s="698">
        <f t="shared" si="24"/>
        <v>0</v>
      </c>
    </row>
    <row r="117" spans="1:19">
      <c r="A117" s="491"/>
      <c r="B117" s="348"/>
      <c r="C117" s="313">
        <f t="shared" si="25"/>
        <v>1</v>
      </c>
      <c r="D117" s="1129"/>
      <c r="E117" s="313">
        <f t="shared" si="26"/>
        <v>1</v>
      </c>
      <c r="F117" s="1129"/>
      <c r="G117" s="313">
        <f t="shared" si="27"/>
        <v>0.02</v>
      </c>
      <c r="H117" s="1129"/>
      <c r="I117" s="313">
        <f t="shared" si="28"/>
        <v>1</v>
      </c>
      <c r="J117" s="1129"/>
      <c r="K117" s="313">
        <f t="shared" si="29"/>
        <v>1</v>
      </c>
      <c r="L117" s="1129"/>
      <c r="M117" s="313">
        <f t="shared" si="30"/>
        <v>1</v>
      </c>
      <c r="N117" s="1129"/>
      <c r="O117" s="313">
        <f t="shared" si="31"/>
        <v>1</v>
      </c>
      <c r="P117" s="1129"/>
      <c r="Q117" s="313">
        <f t="shared" si="32"/>
        <v>0</v>
      </c>
      <c r="R117" s="1125">
        <f t="shared" si="33"/>
        <v>0</v>
      </c>
      <c r="S117" s="698">
        <f t="shared" si="24"/>
        <v>0</v>
      </c>
    </row>
    <row r="118" spans="1:19">
      <c r="A118" s="491"/>
      <c r="B118" s="348"/>
      <c r="C118" s="313">
        <f t="shared" si="25"/>
        <v>1</v>
      </c>
      <c r="D118" s="1129"/>
      <c r="E118" s="313">
        <f t="shared" si="26"/>
        <v>1</v>
      </c>
      <c r="F118" s="1129"/>
      <c r="G118" s="313">
        <f t="shared" si="27"/>
        <v>0.02</v>
      </c>
      <c r="H118" s="1129"/>
      <c r="I118" s="313">
        <f t="shared" si="28"/>
        <v>1</v>
      </c>
      <c r="J118" s="1129"/>
      <c r="K118" s="313">
        <f t="shared" si="29"/>
        <v>1</v>
      </c>
      <c r="L118" s="1129"/>
      <c r="M118" s="313">
        <f t="shared" si="30"/>
        <v>1</v>
      </c>
      <c r="N118" s="1129"/>
      <c r="O118" s="313">
        <f t="shared" si="31"/>
        <v>1</v>
      </c>
      <c r="P118" s="1129"/>
      <c r="Q118" s="313">
        <f t="shared" si="32"/>
        <v>0</v>
      </c>
      <c r="R118" s="1125">
        <f t="shared" si="33"/>
        <v>0</v>
      </c>
      <c r="S118" s="698">
        <f t="shared" si="24"/>
        <v>0</v>
      </c>
    </row>
    <row r="119" spans="1:19">
      <c r="A119" s="491"/>
      <c r="B119" s="348"/>
      <c r="C119" s="313">
        <f t="shared" si="25"/>
        <v>1</v>
      </c>
      <c r="D119" s="1129"/>
      <c r="E119" s="313">
        <f t="shared" si="26"/>
        <v>1</v>
      </c>
      <c r="F119" s="1129"/>
      <c r="G119" s="313">
        <f t="shared" si="27"/>
        <v>0.02</v>
      </c>
      <c r="H119" s="1129"/>
      <c r="I119" s="313">
        <f t="shared" si="28"/>
        <v>1</v>
      </c>
      <c r="J119" s="1129"/>
      <c r="K119" s="313">
        <f t="shared" si="29"/>
        <v>1</v>
      </c>
      <c r="L119" s="1129"/>
      <c r="M119" s="313">
        <f t="shared" si="30"/>
        <v>1</v>
      </c>
      <c r="N119" s="1129"/>
      <c r="O119" s="313">
        <f t="shared" si="31"/>
        <v>1</v>
      </c>
      <c r="P119" s="1129"/>
      <c r="Q119" s="313">
        <f t="shared" si="32"/>
        <v>0</v>
      </c>
      <c r="R119" s="1125">
        <f t="shared" si="33"/>
        <v>0</v>
      </c>
      <c r="S119" s="698">
        <f t="shared" si="24"/>
        <v>0</v>
      </c>
    </row>
    <row r="120" spans="1:19">
      <c r="A120" s="491"/>
      <c r="B120" s="348"/>
      <c r="C120" s="313">
        <f t="shared" si="25"/>
        <v>1</v>
      </c>
      <c r="D120" s="1129"/>
      <c r="E120" s="313">
        <f t="shared" si="26"/>
        <v>1</v>
      </c>
      <c r="F120" s="1129"/>
      <c r="G120" s="313">
        <f t="shared" si="27"/>
        <v>0.02</v>
      </c>
      <c r="H120" s="1129"/>
      <c r="I120" s="313">
        <f t="shared" si="28"/>
        <v>1</v>
      </c>
      <c r="J120" s="1129"/>
      <c r="K120" s="313">
        <f t="shared" si="29"/>
        <v>1</v>
      </c>
      <c r="L120" s="1129"/>
      <c r="M120" s="313">
        <f t="shared" si="30"/>
        <v>1</v>
      </c>
      <c r="N120" s="1129"/>
      <c r="O120" s="313">
        <f t="shared" si="31"/>
        <v>1</v>
      </c>
      <c r="P120" s="1129"/>
      <c r="Q120" s="313">
        <f t="shared" si="32"/>
        <v>0</v>
      </c>
      <c r="R120" s="1125">
        <f t="shared" si="33"/>
        <v>0</v>
      </c>
      <c r="S120" s="698">
        <f t="shared" si="24"/>
        <v>0</v>
      </c>
    </row>
    <row r="121" spans="1:19">
      <c r="A121" s="491"/>
      <c r="B121" s="348"/>
      <c r="C121" s="313">
        <f t="shared" si="25"/>
        <v>1</v>
      </c>
      <c r="D121" s="1129"/>
      <c r="E121" s="313">
        <f t="shared" si="26"/>
        <v>1</v>
      </c>
      <c r="F121" s="1129"/>
      <c r="G121" s="313">
        <f t="shared" si="27"/>
        <v>0.02</v>
      </c>
      <c r="H121" s="1129"/>
      <c r="I121" s="313">
        <f t="shared" si="28"/>
        <v>1</v>
      </c>
      <c r="J121" s="1129"/>
      <c r="K121" s="313">
        <f t="shared" si="29"/>
        <v>1</v>
      </c>
      <c r="L121" s="1129"/>
      <c r="M121" s="313">
        <f t="shared" si="30"/>
        <v>1</v>
      </c>
      <c r="N121" s="1129"/>
      <c r="O121" s="313">
        <f t="shared" si="31"/>
        <v>1</v>
      </c>
      <c r="P121" s="1129"/>
      <c r="Q121" s="313">
        <f t="shared" si="32"/>
        <v>0</v>
      </c>
      <c r="R121" s="1125">
        <f t="shared" si="33"/>
        <v>0</v>
      </c>
      <c r="S121" s="698">
        <f t="shared" si="24"/>
        <v>0</v>
      </c>
    </row>
    <row r="122" spans="1:19">
      <c r="A122" s="491"/>
      <c r="B122" s="348"/>
      <c r="C122" s="313">
        <f t="shared" si="25"/>
        <v>1</v>
      </c>
      <c r="D122" s="1129"/>
      <c r="E122" s="313">
        <f t="shared" si="26"/>
        <v>1</v>
      </c>
      <c r="F122" s="1129"/>
      <c r="G122" s="313">
        <f t="shared" si="27"/>
        <v>0.02</v>
      </c>
      <c r="H122" s="1129"/>
      <c r="I122" s="313">
        <f t="shared" si="28"/>
        <v>1</v>
      </c>
      <c r="J122" s="1129"/>
      <c r="K122" s="313">
        <f t="shared" si="29"/>
        <v>1</v>
      </c>
      <c r="L122" s="1129"/>
      <c r="M122" s="313">
        <f t="shared" si="30"/>
        <v>1</v>
      </c>
      <c r="N122" s="1129"/>
      <c r="O122" s="313">
        <f t="shared" si="31"/>
        <v>1</v>
      </c>
      <c r="P122" s="1129"/>
      <c r="Q122" s="313">
        <f t="shared" si="32"/>
        <v>0</v>
      </c>
      <c r="R122" s="1125">
        <f t="shared" si="33"/>
        <v>0</v>
      </c>
      <c r="S122" s="698">
        <f t="shared" si="24"/>
        <v>0</v>
      </c>
    </row>
    <row r="123" spans="1:19">
      <c r="A123" s="491"/>
      <c r="B123" s="348"/>
      <c r="C123" s="313">
        <f t="shared" si="25"/>
        <v>1</v>
      </c>
      <c r="D123" s="1129"/>
      <c r="E123" s="313">
        <f t="shared" si="26"/>
        <v>1</v>
      </c>
      <c r="F123" s="1129"/>
      <c r="G123" s="313">
        <f t="shared" si="27"/>
        <v>0.02</v>
      </c>
      <c r="H123" s="1129"/>
      <c r="I123" s="313">
        <f t="shared" si="28"/>
        <v>1</v>
      </c>
      <c r="J123" s="1129"/>
      <c r="K123" s="313">
        <f t="shared" si="29"/>
        <v>1</v>
      </c>
      <c r="L123" s="1129"/>
      <c r="M123" s="313">
        <f t="shared" si="30"/>
        <v>1</v>
      </c>
      <c r="N123" s="1129"/>
      <c r="O123" s="313">
        <f t="shared" si="31"/>
        <v>1</v>
      </c>
      <c r="P123" s="1129"/>
      <c r="Q123" s="313">
        <f t="shared" si="32"/>
        <v>0</v>
      </c>
      <c r="R123" s="1125">
        <f t="shared" si="33"/>
        <v>0</v>
      </c>
      <c r="S123" s="698">
        <f t="shared" ref="S123:S186" si="34">ROUND(R123*B123/10000,0)</f>
        <v>0</v>
      </c>
    </row>
    <row r="124" spans="1:19">
      <c r="A124" s="491"/>
      <c r="B124" s="348"/>
      <c r="C124" s="313">
        <f t="shared" si="25"/>
        <v>1</v>
      </c>
      <c r="D124" s="1129"/>
      <c r="E124" s="313">
        <f t="shared" si="26"/>
        <v>1</v>
      </c>
      <c r="F124" s="1129"/>
      <c r="G124" s="313">
        <f t="shared" si="27"/>
        <v>0.02</v>
      </c>
      <c r="H124" s="1129"/>
      <c r="I124" s="313">
        <f t="shared" si="28"/>
        <v>1</v>
      </c>
      <c r="J124" s="1129"/>
      <c r="K124" s="313">
        <f t="shared" si="29"/>
        <v>1</v>
      </c>
      <c r="L124" s="1129"/>
      <c r="M124" s="313">
        <f t="shared" si="30"/>
        <v>1</v>
      </c>
      <c r="N124" s="1129"/>
      <c r="O124" s="313">
        <f t="shared" si="31"/>
        <v>1</v>
      </c>
      <c r="P124" s="1129"/>
      <c r="Q124" s="313">
        <f t="shared" si="32"/>
        <v>0</v>
      </c>
      <c r="R124" s="1125">
        <f t="shared" si="33"/>
        <v>0</v>
      </c>
      <c r="S124" s="698">
        <f t="shared" si="34"/>
        <v>0</v>
      </c>
    </row>
    <row r="125" spans="1:19">
      <c r="A125" s="491"/>
      <c r="B125" s="348"/>
      <c r="C125" s="313">
        <f t="shared" si="25"/>
        <v>1</v>
      </c>
      <c r="D125" s="1129"/>
      <c r="E125" s="313">
        <f t="shared" si="26"/>
        <v>1</v>
      </c>
      <c r="F125" s="1129"/>
      <c r="G125" s="313">
        <f t="shared" si="27"/>
        <v>0.02</v>
      </c>
      <c r="H125" s="1129"/>
      <c r="I125" s="313">
        <f t="shared" si="28"/>
        <v>1</v>
      </c>
      <c r="J125" s="1129"/>
      <c r="K125" s="313">
        <f t="shared" si="29"/>
        <v>1</v>
      </c>
      <c r="L125" s="1129"/>
      <c r="M125" s="313">
        <f t="shared" si="30"/>
        <v>1</v>
      </c>
      <c r="N125" s="1129"/>
      <c r="O125" s="313">
        <f t="shared" si="31"/>
        <v>1</v>
      </c>
      <c r="P125" s="1129"/>
      <c r="Q125" s="313">
        <f t="shared" si="32"/>
        <v>0</v>
      </c>
      <c r="R125" s="1125">
        <f t="shared" si="33"/>
        <v>0</v>
      </c>
      <c r="S125" s="698">
        <f t="shared" si="34"/>
        <v>0</v>
      </c>
    </row>
    <row r="126" spans="1:19">
      <c r="A126" s="491"/>
      <c r="B126" s="348"/>
      <c r="C126" s="313">
        <f t="shared" si="25"/>
        <v>1</v>
      </c>
      <c r="D126" s="1129"/>
      <c r="E126" s="313">
        <f t="shared" si="26"/>
        <v>1</v>
      </c>
      <c r="F126" s="1129"/>
      <c r="G126" s="313">
        <f t="shared" si="27"/>
        <v>0.02</v>
      </c>
      <c r="H126" s="1129"/>
      <c r="I126" s="313">
        <f t="shared" si="28"/>
        <v>1</v>
      </c>
      <c r="J126" s="1129"/>
      <c r="K126" s="313">
        <f t="shared" si="29"/>
        <v>1</v>
      </c>
      <c r="L126" s="1129"/>
      <c r="M126" s="313">
        <f t="shared" si="30"/>
        <v>1</v>
      </c>
      <c r="N126" s="1129"/>
      <c r="O126" s="313">
        <f t="shared" si="31"/>
        <v>1</v>
      </c>
      <c r="P126" s="1129"/>
      <c r="Q126" s="313">
        <f t="shared" si="32"/>
        <v>0</v>
      </c>
      <c r="R126" s="1125">
        <f t="shared" si="33"/>
        <v>0</v>
      </c>
      <c r="S126" s="698">
        <f t="shared" si="34"/>
        <v>0</v>
      </c>
    </row>
    <row r="127" spans="1:19">
      <c r="A127" s="491"/>
      <c r="B127" s="348"/>
      <c r="C127" s="313">
        <f t="shared" si="25"/>
        <v>1</v>
      </c>
      <c r="D127" s="1129"/>
      <c r="E127" s="313">
        <f t="shared" si="26"/>
        <v>1</v>
      </c>
      <c r="F127" s="1129"/>
      <c r="G127" s="313">
        <f t="shared" si="27"/>
        <v>0.02</v>
      </c>
      <c r="H127" s="1129"/>
      <c r="I127" s="313">
        <f t="shared" si="28"/>
        <v>1</v>
      </c>
      <c r="J127" s="1129"/>
      <c r="K127" s="313">
        <f t="shared" si="29"/>
        <v>1</v>
      </c>
      <c r="L127" s="1129"/>
      <c r="M127" s="313">
        <f t="shared" si="30"/>
        <v>1</v>
      </c>
      <c r="N127" s="1129"/>
      <c r="O127" s="313">
        <f t="shared" si="31"/>
        <v>1</v>
      </c>
      <c r="P127" s="1129"/>
      <c r="Q127" s="313">
        <f t="shared" si="32"/>
        <v>0</v>
      </c>
      <c r="R127" s="1125">
        <f t="shared" si="33"/>
        <v>0</v>
      </c>
      <c r="S127" s="698">
        <f t="shared" si="34"/>
        <v>0</v>
      </c>
    </row>
    <row r="128" spans="1:19">
      <c r="A128" s="491"/>
      <c r="B128" s="348"/>
      <c r="C128" s="313">
        <f t="shared" si="25"/>
        <v>1</v>
      </c>
      <c r="D128" s="1129"/>
      <c r="E128" s="313">
        <f t="shared" si="26"/>
        <v>1</v>
      </c>
      <c r="F128" s="1129"/>
      <c r="G128" s="313">
        <f t="shared" si="27"/>
        <v>0.02</v>
      </c>
      <c r="H128" s="1129"/>
      <c r="I128" s="313">
        <f t="shared" si="28"/>
        <v>1</v>
      </c>
      <c r="J128" s="1129"/>
      <c r="K128" s="313">
        <f t="shared" si="29"/>
        <v>1</v>
      </c>
      <c r="L128" s="1129"/>
      <c r="M128" s="313">
        <f t="shared" si="30"/>
        <v>1</v>
      </c>
      <c r="N128" s="1129"/>
      <c r="O128" s="313">
        <f t="shared" si="31"/>
        <v>1</v>
      </c>
      <c r="P128" s="1129"/>
      <c r="Q128" s="313">
        <f t="shared" si="32"/>
        <v>0</v>
      </c>
      <c r="R128" s="1125">
        <f t="shared" si="33"/>
        <v>0</v>
      </c>
      <c r="S128" s="698">
        <f t="shared" si="34"/>
        <v>0</v>
      </c>
    </row>
    <row r="129" spans="1:19">
      <c r="A129" s="491"/>
      <c r="B129" s="348"/>
      <c r="C129" s="313">
        <f t="shared" si="25"/>
        <v>1</v>
      </c>
      <c r="D129" s="1129"/>
      <c r="E129" s="313">
        <f t="shared" si="26"/>
        <v>1</v>
      </c>
      <c r="F129" s="1129"/>
      <c r="G129" s="313">
        <f t="shared" si="27"/>
        <v>0.02</v>
      </c>
      <c r="H129" s="1129"/>
      <c r="I129" s="313">
        <f t="shared" si="28"/>
        <v>1</v>
      </c>
      <c r="J129" s="1129"/>
      <c r="K129" s="313">
        <f t="shared" si="29"/>
        <v>1</v>
      </c>
      <c r="L129" s="1129"/>
      <c r="M129" s="313">
        <f t="shared" si="30"/>
        <v>1</v>
      </c>
      <c r="N129" s="1129"/>
      <c r="O129" s="313">
        <f t="shared" si="31"/>
        <v>1</v>
      </c>
      <c r="P129" s="1129"/>
      <c r="Q129" s="313">
        <f t="shared" si="32"/>
        <v>0</v>
      </c>
      <c r="R129" s="1125">
        <f t="shared" si="33"/>
        <v>0</v>
      </c>
      <c r="S129" s="698">
        <f t="shared" si="34"/>
        <v>0</v>
      </c>
    </row>
    <row r="130" spans="1:19">
      <c r="A130" s="491"/>
      <c r="B130" s="348"/>
      <c r="C130" s="313">
        <f t="shared" si="25"/>
        <v>1</v>
      </c>
      <c r="D130" s="1129"/>
      <c r="E130" s="313">
        <f t="shared" si="26"/>
        <v>1</v>
      </c>
      <c r="F130" s="1129"/>
      <c r="G130" s="313">
        <f t="shared" si="27"/>
        <v>0.02</v>
      </c>
      <c r="H130" s="1129"/>
      <c r="I130" s="313">
        <f t="shared" si="28"/>
        <v>1</v>
      </c>
      <c r="J130" s="1129"/>
      <c r="K130" s="313">
        <f t="shared" si="29"/>
        <v>1</v>
      </c>
      <c r="L130" s="1129"/>
      <c r="M130" s="313">
        <f t="shared" si="30"/>
        <v>1</v>
      </c>
      <c r="N130" s="1129"/>
      <c r="O130" s="313">
        <f t="shared" si="31"/>
        <v>1</v>
      </c>
      <c r="P130" s="1129"/>
      <c r="Q130" s="313">
        <f t="shared" si="32"/>
        <v>0</v>
      </c>
      <c r="R130" s="1125">
        <f t="shared" si="33"/>
        <v>0</v>
      </c>
      <c r="S130" s="698">
        <f t="shared" si="34"/>
        <v>0</v>
      </c>
    </row>
    <row r="131" spans="1:19">
      <c r="A131" s="491"/>
      <c r="B131" s="348"/>
      <c r="C131" s="313">
        <f t="shared" si="25"/>
        <v>1</v>
      </c>
      <c r="D131" s="1129"/>
      <c r="E131" s="313">
        <f t="shared" si="26"/>
        <v>1</v>
      </c>
      <c r="F131" s="1129"/>
      <c r="G131" s="313">
        <f t="shared" si="27"/>
        <v>0.02</v>
      </c>
      <c r="H131" s="1129"/>
      <c r="I131" s="313">
        <f t="shared" si="28"/>
        <v>1</v>
      </c>
      <c r="J131" s="1129"/>
      <c r="K131" s="313">
        <f t="shared" si="29"/>
        <v>1</v>
      </c>
      <c r="L131" s="1129"/>
      <c r="M131" s="313">
        <f t="shared" si="30"/>
        <v>1</v>
      </c>
      <c r="N131" s="1129"/>
      <c r="O131" s="313">
        <f t="shared" si="31"/>
        <v>1</v>
      </c>
      <c r="P131" s="1129"/>
      <c r="Q131" s="313">
        <f t="shared" si="32"/>
        <v>0</v>
      </c>
      <c r="R131" s="1125">
        <f t="shared" si="33"/>
        <v>0</v>
      </c>
      <c r="S131" s="698">
        <f t="shared" si="34"/>
        <v>0</v>
      </c>
    </row>
    <row r="132" spans="1:19">
      <c r="A132" s="491"/>
      <c r="B132" s="348"/>
      <c r="C132" s="313">
        <f t="shared" si="25"/>
        <v>1</v>
      </c>
      <c r="D132" s="1129"/>
      <c r="E132" s="313">
        <f t="shared" si="26"/>
        <v>1</v>
      </c>
      <c r="F132" s="1129"/>
      <c r="G132" s="313">
        <f t="shared" si="27"/>
        <v>0.02</v>
      </c>
      <c r="H132" s="1129"/>
      <c r="I132" s="313">
        <f t="shared" si="28"/>
        <v>1</v>
      </c>
      <c r="J132" s="1129"/>
      <c r="K132" s="313">
        <f t="shared" si="29"/>
        <v>1</v>
      </c>
      <c r="L132" s="1129"/>
      <c r="M132" s="313">
        <f t="shared" si="30"/>
        <v>1</v>
      </c>
      <c r="N132" s="1129"/>
      <c r="O132" s="313">
        <f t="shared" si="31"/>
        <v>1</v>
      </c>
      <c r="P132" s="1129"/>
      <c r="Q132" s="313">
        <f t="shared" si="32"/>
        <v>0</v>
      </c>
      <c r="R132" s="1125">
        <f t="shared" si="33"/>
        <v>0</v>
      </c>
      <c r="S132" s="698">
        <f t="shared" si="34"/>
        <v>0</v>
      </c>
    </row>
    <row r="133" spans="1:19">
      <c r="A133" s="491"/>
      <c r="B133" s="348"/>
      <c r="C133" s="313">
        <f t="shared" si="25"/>
        <v>1</v>
      </c>
      <c r="D133" s="1129"/>
      <c r="E133" s="313">
        <f t="shared" si="26"/>
        <v>1</v>
      </c>
      <c r="F133" s="1129"/>
      <c r="G133" s="313">
        <f t="shared" si="27"/>
        <v>0.02</v>
      </c>
      <c r="H133" s="1129"/>
      <c r="I133" s="313">
        <f t="shared" si="28"/>
        <v>1</v>
      </c>
      <c r="J133" s="1129"/>
      <c r="K133" s="313">
        <f t="shared" si="29"/>
        <v>1</v>
      </c>
      <c r="L133" s="1129"/>
      <c r="M133" s="313">
        <f t="shared" si="30"/>
        <v>1</v>
      </c>
      <c r="N133" s="1129"/>
      <c r="O133" s="313">
        <f t="shared" si="31"/>
        <v>1</v>
      </c>
      <c r="P133" s="1129"/>
      <c r="Q133" s="313">
        <f t="shared" si="32"/>
        <v>0</v>
      </c>
      <c r="R133" s="1125">
        <f t="shared" si="33"/>
        <v>0</v>
      </c>
      <c r="S133" s="698">
        <f t="shared" si="34"/>
        <v>0</v>
      </c>
    </row>
    <row r="134" spans="1:19">
      <c r="A134" s="491"/>
      <c r="B134" s="348"/>
      <c r="C134" s="313">
        <f t="shared" si="25"/>
        <v>1</v>
      </c>
      <c r="D134" s="1129"/>
      <c r="E134" s="313">
        <f t="shared" si="26"/>
        <v>1</v>
      </c>
      <c r="F134" s="1129"/>
      <c r="G134" s="313">
        <f t="shared" si="27"/>
        <v>0.02</v>
      </c>
      <c r="H134" s="1129"/>
      <c r="I134" s="313">
        <f t="shared" si="28"/>
        <v>1</v>
      </c>
      <c r="J134" s="1129"/>
      <c r="K134" s="313">
        <f t="shared" si="29"/>
        <v>1</v>
      </c>
      <c r="L134" s="1129"/>
      <c r="M134" s="313">
        <f t="shared" si="30"/>
        <v>1</v>
      </c>
      <c r="N134" s="1129"/>
      <c r="O134" s="313">
        <f t="shared" si="31"/>
        <v>1</v>
      </c>
      <c r="P134" s="1129"/>
      <c r="Q134" s="313">
        <f t="shared" si="32"/>
        <v>0</v>
      </c>
      <c r="R134" s="1125">
        <f t="shared" si="33"/>
        <v>0</v>
      </c>
      <c r="S134" s="698">
        <f t="shared" si="34"/>
        <v>0</v>
      </c>
    </row>
    <row r="135" spans="1:19">
      <c r="A135" s="491"/>
      <c r="B135" s="348"/>
      <c r="C135" s="313">
        <f t="shared" si="25"/>
        <v>1</v>
      </c>
      <c r="D135" s="1129"/>
      <c r="E135" s="313">
        <f t="shared" si="26"/>
        <v>1</v>
      </c>
      <c r="F135" s="1129"/>
      <c r="G135" s="313">
        <f t="shared" si="27"/>
        <v>0.02</v>
      </c>
      <c r="H135" s="1129"/>
      <c r="I135" s="313">
        <f t="shared" si="28"/>
        <v>1</v>
      </c>
      <c r="J135" s="1129"/>
      <c r="K135" s="313">
        <f t="shared" si="29"/>
        <v>1</v>
      </c>
      <c r="L135" s="1129"/>
      <c r="M135" s="313">
        <f t="shared" si="30"/>
        <v>1</v>
      </c>
      <c r="N135" s="1129"/>
      <c r="O135" s="313">
        <f t="shared" si="31"/>
        <v>1</v>
      </c>
      <c r="P135" s="1129"/>
      <c r="Q135" s="313">
        <f t="shared" si="32"/>
        <v>0</v>
      </c>
      <c r="R135" s="1125">
        <f t="shared" si="33"/>
        <v>0</v>
      </c>
      <c r="S135" s="698">
        <f t="shared" si="34"/>
        <v>0</v>
      </c>
    </row>
    <row r="136" spans="1:19">
      <c r="A136" s="491"/>
      <c r="B136" s="348"/>
      <c r="C136" s="313">
        <f t="shared" si="25"/>
        <v>1</v>
      </c>
      <c r="D136" s="1129"/>
      <c r="E136" s="313">
        <f t="shared" si="26"/>
        <v>1</v>
      </c>
      <c r="F136" s="1129"/>
      <c r="G136" s="313">
        <f t="shared" si="27"/>
        <v>0.02</v>
      </c>
      <c r="H136" s="1129"/>
      <c r="I136" s="313">
        <f t="shared" si="28"/>
        <v>1</v>
      </c>
      <c r="J136" s="1129"/>
      <c r="K136" s="313">
        <f t="shared" si="29"/>
        <v>1</v>
      </c>
      <c r="L136" s="1129"/>
      <c r="M136" s="313">
        <f t="shared" si="30"/>
        <v>1</v>
      </c>
      <c r="N136" s="1129"/>
      <c r="O136" s="313">
        <f t="shared" si="31"/>
        <v>1</v>
      </c>
      <c r="P136" s="1129"/>
      <c r="Q136" s="313">
        <f t="shared" si="32"/>
        <v>0</v>
      </c>
      <c r="R136" s="1125">
        <f t="shared" si="33"/>
        <v>0</v>
      </c>
      <c r="S136" s="698">
        <f t="shared" si="34"/>
        <v>0</v>
      </c>
    </row>
    <row r="137" spans="1:19">
      <c r="A137" s="491"/>
      <c r="B137" s="348"/>
      <c r="C137" s="313">
        <f t="shared" si="25"/>
        <v>1</v>
      </c>
      <c r="D137" s="1129"/>
      <c r="E137" s="313">
        <f t="shared" si="26"/>
        <v>1</v>
      </c>
      <c r="F137" s="1129"/>
      <c r="G137" s="313">
        <f t="shared" si="27"/>
        <v>0.02</v>
      </c>
      <c r="H137" s="1129"/>
      <c r="I137" s="313">
        <f t="shared" si="28"/>
        <v>1</v>
      </c>
      <c r="J137" s="1129"/>
      <c r="K137" s="313">
        <f t="shared" si="29"/>
        <v>1</v>
      </c>
      <c r="L137" s="1129"/>
      <c r="M137" s="313">
        <f t="shared" si="30"/>
        <v>1</v>
      </c>
      <c r="N137" s="1129"/>
      <c r="O137" s="313">
        <f t="shared" si="31"/>
        <v>1</v>
      </c>
      <c r="P137" s="1129"/>
      <c r="Q137" s="313">
        <f t="shared" si="32"/>
        <v>0</v>
      </c>
      <c r="R137" s="1125">
        <f t="shared" si="33"/>
        <v>0</v>
      </c>
      <c r="S137" s="698">
        <f t="shared" si="34"/>
        <v>0</v>
      </c>
    </row>
    <row r="138" spans="1:19">
      <c r="A138" s="491"/>
      <c r="B138" s="348"/>
      <c r="C138" s="313">
        <f t="shared" si="25"/>
        <v>1</v>
      </c>
      <c r="D138" s="1129"/>
      <c r="E138" s="313">
        <f t="shared" si="26"/>
        <v>1</v>
      </c>
      <c r="F138" s="1129"/>
      <c r="G138" s="313">
        <f t="shared" si="27"/>
        <v>0.02</v>
      </c>
      <c r="H138" s="1129"/>
      <c r="I138" s="313">
        <f t="shared" si="28"/>
        <v>1</v>
      </c>
      <c r="J138" s="1129"/>
      <c r="K138" s="313">
        <f t="shared" si="29"/>
        <v>1</v>
      </c>
      <c r="L138" s="1129"/>
      <c r="M138" s="313">
        <f t="shared" si="30"/>
        <v>1</v>
      </c>
      <c r="N138" s="1129"/>
      <c r="O138" s="313">
        <f t="shared" si="31"/>
        <v>1</v>
      </c>
      <c r="P138" s="1129"/>
      <c r="Q138" s="313">
        <f t="shared" si="32"/>
        <v>0</v>
      </c>
      <c r="R138" s="1125">
        <f t="shared" si="33"/>
        <v>0</v>
      </c>
      <c r="S138" s="698">
        <f t="shared" si="34"/>
        <v>0</v>
      </c>
    </row>
    <row r="139" spans="1:19">
      <c r="A139" s="491"/>
      <c r="B139" s="348"/>
      <c r="C139" s="313">
        <f t="shared" si="25"/>
        <v>1</v>
      </c>
      <c r="D139" s="1129"/>
      <c r="E139" s="313">
        <f t="shared" si="26"/>
        <v>1</v>
      </c>
      <c r="F139" s="1129"/>
      <c r="G139" s="313">
        <f t="shared" si="27"/>
        <v>0.02</v>
      </c>
      <c r="H139" s="1129"/>
      <c r="I139" s="313">
        <f t="shared" si="28"/>
        <v>1</v>
      </c>
      <c r="J139" s="1129"/>
      <c r="K139" s="313">
        <f t="shared" si="29"/>
        <v>1</v>
      </c>
      <c r="L139" s="1129"/>
      <c r="M139" s="313">
        <f t="shared" si="30"/>
        <v>1</v>
      </c>
      <c r="N139" s="1129"/>
      <c r="O139" s="313">
        <f t="shared" si="31"/>
        <v>1</v>
      </c>
      <c r="P139" s="1129"/>
      <c r="Q139" s="313">
        <f t="shared" si="32"/>
        <v>0</v>
      </c>
      <c r="R139" s="1125">
        <f t="shared" si="33"/>
        <v>0</v>
      </c>
      <c r="S139" s="698">
        <f t="shared" si="34"/>
        <v>0</v>
      </c>
    </row>
    <row r="140" spans="1:19">
      <c r="A140" s="491"/>
      <c r="B140" s="348"/>
      <c r="C140" s="313">
        <f t="shared" si="25"/>
        <v>1</v>
      </c>
      <c r="D140" s="1129"/>
      <c r="E140" s="313">
        <f t="shared" si="26"/>
        <v>1</v>
      </c>
      <c r="F140" s="1129"/>
      <c r="G140" s="313">
        <f t="shared" si="27"/>
        <v>0.02</v>
      </c>
      <c r="H140" s="1129"/>
      <c r="I140" s="313">
        <f t="shared" si="28"/>
        <v>1</v>
      </c>
      <c r="J140" s="1129"/>
      <c r="K140" s="313">
        <f t="shared" si="29"/>
        <v>1</v>
      </c>
      <c r="L140" s="1129"/>
      <c r="M140" s="313">
        <f t="shared" si="30"/>
        <v>1</v>
      </c>
      <c r="N140" s="1129"/>
      <c r="O140" s="313">
        <f t="shared" si="31"/>
        <v>1</v>
      </c>
      <c r="P140" s="1129"/>
      <c r="Q140" s="313">
        <f t="shared" si="32"/>
        <v>0</v>
      </c>
      <c r="R140" s="1125">
        <f t="shared" si="33"/>
        <v>0</v>
      </c>
      <c r="S140" s="698">
        <f t="shared" si="34"/>
        <v>0</v>
      </c>
    </row>
    <row r="141" spans="1:19">
      <c r="A141" s="491"/>
      <c r="B141" s="348"/>
      <c r="C141" s="313">
        <f t="shared" si="25"/>
        <v>1</v>
      </c>
      <c r="D141" s="1129"/>
      <c r="E141" s="313">
        <f t="shared" si="26"/>
        <v>1</v>
      </c>
      <c r="F141" s="1129"/>
      <c r="G141" s="313">
        <f t="shared" si="27"/>
        <v>0.02</v>
      </c>
      <c r="H141" s="1129"/>
      <c r="I141" s="313">
        <f t="shared" si="28"/>
        <v>1</v>
      </c>
      <c r="J141" s="1129"/>
      <c r="K141" s="313">
        <f t="shared" si="29"/>
        <v>1</v>
      </c>
      <c r="L141" s="1129"/>
      <c r="M141" s="313">
        <f t="shared" si="30"/>
        <v>1</v>
      </c>
      <c r="N141" s="1129"/>
      <c r="O141" s="313">
        <f t="shared" si="31"/>
        <v>1</v>
      </c>
      <c r="P141" s="1129"/>
      <c r="Q141" s="313">
        <f t="shared" si="32"/>
        <v>0</v>
      </c>
      <c r="R141" s="1125">
        <f t="shared" si="33"/>
        <v>0</v>
      </c>
      <c r="S141" s="698">
        <f t="shared" si="34"/>
        <v>0</v>
      </c>
    </row>
    <row r="142" spans="1:19">
      <c r="A142" s="491"/>
      <c r="B142" s="348"/>
      <c r="C142" s="313">
        <f t="shared" si="25"/>
        <v>1</v>
      </c>
      <c r="D142" s="1129"/>
      <c r="E142" s="313">
        <f t="shared" si="26"/>
        <v>1</v>
      </c>
      <c r="F142" s="1129"/>
      <c r="G142" s="313">
        <f t="shared" si="27"/>
        <v>0.02</v>
      </c>
      <c r="H142" s="1129"/>
      <c r="I142" s="313">
        <f t="shared" si="28"/>
        <v>1</v>
      </c>
      <c r="J142" s="1129"/>
      <c r="K142" s="313">
        <f t="shared" si="29"/>
        <v>1</v>
      </c>
      <c r="L142" s="1129"/>
      <c r="M142" s="313">
        <f t="shared" si="30"/>
        <v>1</v>
      </c>
      <c r="N142" s="1129"/>
      <c r="O142" s="313">
        <f t="shared" si="31"/>
        <v>1</v>
      </c>
      <c r="P142" s="1129"/>
      <c r="Q142" s="313">
        <f t="shared" si="32"/>
        <v>0</v>
      </c>
      <c r="R142" s="1125">
        <f t="shared" si="33"/>
        <v>0</v>
      </c>
      <c r="S142" s="698">
        <f t="shared" si="34"/>
        <v>0</v>
      </c>
    </row>
    <row r="143" spans="1:19">
      <c r="A143" s="491"/>
      <c r="B143" s="348"/>
      <c r="C143" s="313">
        <f t="shared" si="25"/>
        <v>1</v>
      </c>
      <c r="D143" s="1129"/>
      <c r="E143" s="313">
        <f t="shared" si="26"/>
        <v>1</v>
      </c>
      <c r="F143" s="1129"/>
      <c r="G143" s="313">
        <f t="shared" si="27"/>
        <v>0.02</v>
      </c>
      <c r="H143" s="1129"/>
      <c r="I143" s="313">
        <f t="shared" si="28"/>
        <v>1</v>
      </c>
      <c r="J143" s="1129"/>
      <c r="K143" s="313">
        <f t="shared" si="29"/>
        <v>1</v>
      </c>
      <c r="L143" s="1129"/>
      <c r="M143" s="313">
        <f t="shared" si="30"/>
        <v>1</v>
      </c>
      <c r="N143" s="1129"/>
      <c r="O143" s="313">
        <f t="shared" si="31"/>
        <v>1</v>
      </c>
      <c r="P143" s="1129"/>
      <c r="Q143" s="313">
        <f t="shared" si="32"/>
        <v>0</v>
      </c>
      <c r="R143" s="1125">
        <f t="shared" si="33"/>
        <v>0</v>
      </c>
      <c r="S143" s="698">
        <f t="shared" si="34"/>
        <v>0</v>
      </c>
    </row>
    <row r="144" spans="1:19">
      <c r="A144" s="491"/>
      <c r="B144" s="348"/>
      <c r="C144" s="313">
        <f t="shared" si="25"/>
        <v>1</v>
      </c>
      <c r="D144" s="1129"/>
      <c r="E144" s="313">
        <f t="shared" si="26"/>
        <v>1</v>
      </c>
      <c r="F144" s="1129"/>
      <c r="G144" s="313">
        <f t="shared" si="27"/>
        <v>0.02</v>
      </c>
      <c r="H144" s="1129"/>
      <c r="I144" s="313">
        <f t="shared" si="28"/>
        <v>1</v>
      </c>
      <c r="J144" s="1129"/>
      <c r="K144" s="313">
        <f t="shared" si="29"/>
        <v>1</v>
      </c>
      <c r="L144" s="1129"/>
      <c r="M144" s="313">
        <f t="shared" si="30"/>
        <v>1</v>
      </c>
      <c r="N144" s="1129"/>
      <c r="O144" s="313">
        <f t="shared" si="31"/>
        <v>1</v>
      </c>
      <c r="P144" s="1129"/>
      <c r="Q144" s="313">
        <f t="shared" si="32"/>
        <v>0</v>
      </c>
      <c r="R144" s="1125">
        <f t="shared" si="33"/>
        <v>0</v>
      </c>
      <c r="S144" s="698">
        <f t="shared" si="34"/>
        <v>0</v>
      </c>
    </row>
    <row r="145" spans="1:19">
      <c r="A145" s="491"/>
      <c r="B145" s="348"/>
      <c r="C145" s="313">
        <f t="shared" si="25"/>
        <v>1</v>
      </c>
      <c r="D145" s="1129"/>
      <c r="E145" s="313">
        <f t="shared" si="26"/>
        <v>1</v>
      </c>
      <c r="F145" s="1129"/>
      <c r="G145" s="313">
        <f t="shared" si="27"/>
        <v>0.02</v>
      </c>
      <c r="H145" s="1129"/>
      <c r="I145" s="313">
        <f t="shared" si="28"/>
        <v>1</v>
      </c>
      <c r="J145" s="1129"/>
      <c r="K145" s="313">
        <f t="shared" si="29"/>
        <v>1</v>
      </c>
      <c r="L145" s="1129"/>
      <c r="M145" s="313">
        <f t="shared" si="30"/>
        <v>1</v>
      </c>
      <c r="N145" s="1129"/>
      <c r="O145" s="313">
        <f t="shared" si="31"/>
        <v>1</v>
      </c>
      <c r="P145" s="1129"/>
      <c r="Q145" s="313">
        <f t="shared" si="32"/>
        <v>0</v>
      </c>
      <c r="R145" s="1125">
        <f t="shared" si="33"/>
        <v>0</v>
      </c>
      <c r="S145" s="698">
        <f t="shared" si="34"/>
        <v>0</v>
      </c>
    </row>
    <row r="146" spans="1:19">
      <c r="A146" s="491"/>
      <c r="B146" s="348"/>
      <c r="C146" s="313">
        <f t="shared" si="25"/>
        <v>1</v>
      </c>
      <c r="D146" s="1129"/>
      <c r="E146" s="313">
        <f t="shared" si="26"/>
        <v>1</v>
      </c>
      <c r="F146" s="1129"/>
      <c r="G146" s="313">
        <f t="shared" si="27"/>
        <v>0.02</v>
      </c>
      <c r="H146" s="1129"/>
      <c r="I146" s="313">
        <f t="shared" si="28"/>
        <v>1</v>
      </c>
      <c r="J146" s="1129"/>
      <c r="K146" s="313">
        <f t="shared" si="29"/>
        <v>1</v>
      </c>
      <c r="L146" s="1129"/>
      <c r="M146" s="313">
        <f t="shared" si="30"/>
        <v>1</v>
      </c>
      <c r="N146" s="1129"/>
      <c r="O146" s="313">
        <f t="shared" si="31"/>
        <v>1</v>
      </c>
      <c r="P146" s="1129"/>
      <c r="Q146" s="313">
        <f t="shared" si="32"/>
        <v>0</v>
      </c>
      <c r="R146" s="1125">
        <f t="shared" si="33"/>
        <v>0</v>
      </c>
      <c r="S146" s="698">
        <f t="shared" si="34"/>
        <v>0</v>
      </c>
    </row>
    <row r="147" spans="1:19">
      <c r="A147" s="491"/>
      <c r="B147" s="348"/>
      <c r="C147" s="313">
        <f t="shared" si="25"/>
        <v>1</v>
      </c>
      <c r="D147" s="1129"/>
      <c r="E147" s="313">
        <f t="shared" si="26"/>
        <v>1</v>
      </c>
      <c r="F147" s="1129"/>
      <c r="G147" s="313">
        <f t="shared" si="27"/>
        <v>0.02</v>
      </c>
      <c r="H147" s="1129"/>
      <c r="I147" s="313">
        <f t="shared" si="28"/>
        <v>1</v>
      </c>
      <c r="J147" s="1129"/>
      <c r="K147" s="313">
        <f t="shared" si="29"/>
        <v>1</v>
      </c>
      <c r="L147" s="1129"/>
      <c r="M147" s="313">
        <f t="shared" si="30"/>
        <v>1</v>
      </c>
      <c r="N147" s="1129"/>
      <c r="O147" s="313">
        <f t="shared" si="31"/>
        <v>1</v>
      </c>
      <c r="P147" s="1129"/>
      <c r="Q147" s="313">
        <f t="shared" si="32"/>
        <v>0</v>
      </c>
      <c r="R147" s="1125">
        <f t="shared" si="33"/>
        <v>0</v>
      </c>
      <c r="S147" s="698">
        <f t="shared" si="34"/>
        <v>0</v>
      </c>
    </row>
    <row r="148" spans="1:19">
      <c r="A148" s="491"/>
      <c r="B148" s="348"/>
      <c r="C148" s="313">
        <f t="shared" si="25"/>
        <v>1</v>
      </c>
      <c r="D148" s="1129"/>
      <c r="E148" s="313">
        <f t="shared" si="26"/>
        <v>1</v>
      </c>
      <c r="F148" s="1129"/>
      <c r="G148" s="313">
        <f t="shared" si="27"/>
        <v>0.02</v>
      </c>
      <c r="H148" s="1129"/>
      <c r="I148" s="313">
        <f t="shared" si="28"/>
        <v>1</v>
      </c>
      <c r="J148" s="1129"/>
      <c r="K148" s="313">
        <f t="shared" si="29"/>
        <v>1</v>
      </c>
      <c r="L148" s="1129"/>
      <c r="M148" s="313">
        <f t="shared" si="30"/>
        <v>1</v>
      </c>
      <c r="N148" s="1129"/>
      <c r="O148" s="313">
        <f t="shared" si="31"/>
        <v>1</v>
      </c>
      <c r="P148" s="1129"/>
      <c r="Q148" s="313">
        <f t="shared" si="32"/>
        <v>0</v>
      </c>
      <c r="R148" s="1125">
        <f t="shared" si="33"/>
        <v>0</v>
      </c>
      <c r="S148" s="698">
        <f t="shared" si="34"/>
        <v>0</v>
      </c>
    </row>
    <row r="149" spans="1:19">
      <c r="A149" s="491"/>
      <c r="B149" s="348"/>
      <c r="C149" s="313">
        <f t="shared" si="25"/>
        <v>1</v>
      </c>
      <c r="D149" s="1129"/>
      <c r="E149" s="313">
        <f t="shared" si="26"/>
        <v>1</v>
      </c>
      <c r="F149" s="1129"/>
      <c r="G149" s="313">
        <f t="shared" si="27"/>
        <v>0.02</v>
      </c>
      <c r="H149" s="1129"/>
      <c r="I149" s="313">
        <f t="shared" si="28"/>
        <v>1</v>
      </c>
      <c r="J149" s="1129"/>
      <c r="K149" s="313">
        <f t="shared" si="29"/>
        <v>1</v>
      </c>
      <c r="L149" s="1129"/>
      <c r="M149" s="313">
        <f t="shared" si="30"/>
        <v>1</v>
      </c>
      <c r="N149" s="1129"/>
      <c r="O149" s="313">
        <f t="shared" si="31"/>
        <v>1</v>
      </c>
      <c r="P149" s="1129"/>
      <c r="Q149" s="313">
        <f t="shared" si="32"/>
        <v>0</v>
      </c>
      <c r="R149" s="1125">
        <f t="shared" si="33"/>
        <v>0</v>
      </c>
      <c r="S149" s="698">
        <f t="shared" si="34"/>
        <v>0</v>
      </c>
    </row>
    <row r="150" spans="1:19">
      <c r="A150" s="491"/>
      <c r="B150" s="348"/>
      <c r="C150" s="313">
        <f t="shared" si="25"/>
        <v>1</v>
      </c>
      <c r="D150" s="1129"/>
      <c r="E150" s="313">
        <f t="shared" si="26"/>
        <v>1</v>
      </c>
      <c r="F150" s="1129"/>
      <c r="G150" s="313">
        <f t="shared" si="27"/>
        <v>0.02</v>
      </c>
      <c r="H150" s="1129"/>
      <c r="I150" s="313">
        <f t="shared" si="28"/>
        <v>1</v>
      </c>
      <c r="J150" s="1129"/>
      <c r="K150" s="313">
        <f t="shared" si="29"/>
        <v>1</v>
      </c>
      <c r="L150" s="1129"/>
      <c r="M150" s="313">
        <f t="shared" si="30"/>
        <v>1</v>
      </c>
      <c r="N150" s="1129"/>
      <c r="O150" s="313">
        <f t="shared" si="31"/>
        <v>1</v>
      </c>
      <c r="P150" s="1129"/>
      <c r="Q150" s="313">
        <f t="shared" si="32"/>
        <v>0</v>
      </c>
      <c r="R150" s="1125">
        <f t="shared" si="33"/>
        <v>0</v>
      </c>
      <c r="S150" s="698">
        <f t="shared" si="34"/>
        <v>0</v>
      </c>
    </row>
    <row r="151" spans="1:19">
      <c r="A151" s="491"/>
      <c r="B151" s="348"/>
      <c r="C151" s="313">
        <f t="shared" si="25"/>
        <v>1</v>
      </c>
      <c r="D151" s="1129"/>
      <c r="E151" s="313">
        <f t="shared" si="26"/>
        <v>1</v>
      </c>
      <c r="F151" s="1129"/>
      <c r="G151" s="313">
        <f t="shared" si="27"/>
        <v>0.02</v>
      </c>
      <c r="H151" s="1129"/>
      <c r="I151" s="313">
        <f t="shared" si="28"/>
        <v>1</v>
      </c>
      <c r="J151" s="1129"/>
      <c r="K151" s="313">
        <f t="shared" si="29"/>
        <v>1</v>
      </c>
      <c r="L151" s="1129"/>
      <c r="M151" s="313">
        <f t="shared" si="30"/>
        <v>1</v>
      </c>
      <c r="N151" s="1129"/>
      <c r="O151" s="313">
        <f t="shared" si="31"/>
        <v>1</v>
      </c>
      <c r="P151" s="1129"/>
      <c r="Q151" s="313">
        <f t="shared" si="32"/>
        <v>0</v>
      </c>
      <c r="R151" s="1125">
        <f t="shared" si="33"/>
        <v>0</v>
      </c>
      <c r="S151" s="698">
        <f t="shared" si="34"/>
        <v>0</v>
      </c>
    </row>
    <row r="152" spans="1:19">
      <c r="A152" s="491"/>
      <c r="B152" s="348"/>
      <c r="C152" s="313">
        <f t="shared" si="25"/>
        <v>1</v>
      </c>
      <c r="D152" s="1129"/>
      <c r="E152" s="313">
        <f t="shared" si="26"/>
        <v>1</v>
      </c>
      <c r="F152" s="1129"/>
      <c r="G152" s="313">
        <f t="shared" si="27"/>
        <v>0.02</v>
      </c>
      <c r="H152" s="1129"/>
      <c r="I152" s="313">
        <f t="shared" si="28"/>
        <v>1</v>
      </c>
      <c r="J152" s="1129"/>
      <c r="K152" s="313">
        <f t="shared" si="29"/>
        <v>1</v>
      </c>
      <c r="L152" s="1129"/>
      <c r="M152" s="313">
        <f t="shared" si="30"/>
        <v>1</v>
      </c>
      <c r="N152" s="1129"/>
      <c r="O152" s="313">
        <f t="shared" si="31"/>
        <v>1</v>
      </c>
      <c r="P152" s="1129"/>
      <c r="Q152" s="313">
        <f t="shared" si="32"/>
        <v>0</v>
      </c>
      <c r="R152" s="1125">
        <f t="shared" si="33"/>
        <v>0</v>
      </c>
      <c r="S152" s="698">
        <f t="shared" si="34"/>
        <v>0</v>
      </c>
    </row>
    <row r="153" spans="1:19">
      <c r="A153" s="491"/>
      <c r="B153" s="348"/>
      <c r="C153" s="313">
        <f t="shared" si="25"/>
        <v>1</v>
      </c>
      <c r="D153" s="1129"/>
      <c r="E153" s="313">
        <f t="shared" si="26"/>
        <v>1</v>
      </c>
      <c r="F153" s="1129"/>
      <c r="G153" s="313">
        <f t="shared" si="27"/>
        <v>0.02</v>
      </c>
      <c r="H153" s="1129"/>
      <c r="I153" s="313">
        <f t="shared" si="28"/>
        <v>1</v>
      </c>
      <c r="J153" s="1129"/>
      <c r="K153" s="313">
        <f t="shared" si="29"/>
        <v>1</v>
      </c>
      <c r="L153" s="1129"/>
      <c r="M153" s="313">
        <f t="shared" si="30"/>
        <v>1</v>
      </c>
      <c r="N153" s="1129"/>
      <c r="O153" s="313">
        <f t="shared" si="31"/>
        <v>1</v>
      </c>
      <c r="P153" s="1129"/>
      <c r="Q153" s="313">
        <f t="shared" si="32"/>
        <v>0</v>
      </c>
      <c r="R153" s="1125">
        <f t="shared" si="33"/>
        <v>0</v>
      </c>
      <c r="S153" s="698">
        <f t="shared" si="34"/>
        <v>0</v>
      </c>
    </row>
    <row r="154" spans="1:19">
      <c r="A154" s="491"/>
      <c r="B154" s="348"/>
      <c r="C154" s="313">
        <f t="shared" ref="C154:C217" si="35">IF(B154="",1,(LOOKUP(B154,$3:$3,$4:$4)-LOOKUP($B$24,$3:$3,$4:$4)+100)/100)</f>
        <v>1</v>
      </c>
      <c r="D154" s="1129"/>
      <c r="E154" s="313">
        <f t="shared" ref="E154:E217" si="36">(SUMIF($5:$5,D154,$6:$6)-SUMIF($5:$5,$D$24,$6:$6)+100)/100</f>
        <v>1</v>
      </c>
      <c r="F154" s="1129"/>
      <c r="G154" s="313">
        <f t="shared" ref="G154:G217" si="37">(SUMIF($7:$7,F154,$8:$8)-SUMIF($7:$7,$F$24,$8:$8)+100)/100</f>
        <v>0.02</v>
      </c>
      <c r="H154" s="1129"/>
      <c r="I154" s="313">
        <f t="shared" ref="I154:I217" si="38">(SUMIF($9:$9,H154,$10:$10)-SUMIF($9:$9,$H$24,$10:$10)+100)/100</f>
        <v>1</v>
      </c>
      <c r="J154" s="1129"/>
      <c r="K154" s="313">
        <f t="shared" ref="K154:K217" si="39">(SUMIF($11:$11,J154,$12:$12)-SUMIF($11:$11,$J$24,$12:$12)+100)/100</f>
        <v>1</v>
      </c>
      <c r="L154" s="1129"/>
      <c r="M154" s="313">
        <f t="shared" ref="M154:M217" si="40">(SUMIF($13:$13,L154,$14:$14)-SUMIF($13:$13,$L$24,$14:$14)+100)/100</f>
        <v>1</v>
      </c>
      <c r="N154" s="1129"/>
      <c r="O154" s="313">
        <f t="shared" ref="O154:O217" si="41">(SUMIF($15:$15,N154,$16:$16)-SUMIF($15:$15,$N$24,$16:$16)+100)/100</f>
        <v>1</v>
      </c>
      <c r="P154" s="1129"/>
      <c r="Q154" s="313">
        <f t="shared" ref="Q154:Q217" si="42">(SUMIF($17:$17,P154,$18:$18)-SUMIF($17:$17,$P$24,$18:$18)+100)/100</f>
        <v>0</v>
      </c>
      <c r="R154" s="1125">
        <f t="shared" ref="R154:R217" si="43">IF(B154="",0,ROUND($R$24*C154*E154*G154*I154*K154*M154*O154*Q154,0))</f>
        <v>0</v>
      </c>
      <c r="S154" s="698">
        <f t="shared" si="34"/>
        <v>0</v>
      </c>
    </row>
    <row r="155" spans="1:19">
      <c r="A155" s="491"/>
      <c r="B155" s="348"/>
      <c r="C155" s="313">
        <f t="shared" si="35"/>
        <v>1</v>
      </c>
      <c r="D155" s="1129"/>
      <c r="E155" s="313">
        <f t="shared" si="36"/>
        <v>1</v>
      </c>
      <c r="F155" s="1129"/>
      <c r="G155" s="313">
        <f t="shared" si="37"/>
        <v>0.02</v>
      </c>
      <c r="H155" s="1129"/>
      <c r="I155" s="313">
        <f t="shared" si="38"/>
        <v>1</v>
      </c>
      <c r="J155" s="1129"/>
      <c r="K155" s="313">
        <f t="shared" si="39"/>
        <v>1</v>
      </c>
      <c r="L155" s="1129"/>
      <c r="M155" s="313">
        <f t="shared" si="40"/>
        <v>1</v>
      </c>
      <c r="N155" s="1129"/>
      <c r="O155" s="313">
        <f t="shared" si="41"/>
        <v>1</v>
      </c>
      <c r="P155" s="1129"/>
      <c r="Q155" s="313">
        <f t="shared" si="42"/>
        <v>0</v>
      </c>
      <c r="R155" s="1125">
        <f t="shared" si="43"/>
        <v>0</v>
      </c>
      <c r="S155" s="698">
        <f t="shared" si="34"/>
        <v>0</v>
      </c>
    </row>
    <row r="156" spans="1:19">
      <c r="A156" s="491"/>
      <c r="B156" s="348"/>
      <c r="C156" s="313">
        <f t="shared" si="35"/>
        <v>1</v>
      </c>
      <c r="D156" s="1129"/>
      <c r="E156" s="313">
        <f t="shared" si="36"/>
        <v>1</v>
      </c>
      <c r="F156" s="1129"/>
      <c r="G156" s="313">
        <f t="shared" si="37"/>
        <v>0.02</v>
      </c>
      <c r="H156" s="1129"/>
      <c r="I156" s="313">
        <f t="shared" si="38"/>
        <v>1</v>
      </c>
      <c r="J156" s="1129"/>
      <c r="K156" s="313">
        <f t="shared" si="39"/>
        <v>1</v>
      </c>
      <c r="L156" s="1129"/>
      <c r="M156" s="313">
        <f t="shared" si="40"/>
        <v>1</v>
      </c>
      <c r="N156" s="1129"/>
      <c r="O156" s="313">
        <f t="shared" si="41"/>
        <v>1</v>
      </c>
      <c r="P156" s="1129"/>
      <c r="Q156" s="313">
        <f t="shared" si="42"/>
        <v>0</v>
      </c>
      <c r="R156" s="1125">
        <f t="shared" si="43"/>
        <v>0</v>
      </c>
      <c r="S156" s="698">
        <f t="shared" si="34"/>
        <v>0</v>
      </c>
    </row>
    <row r="157" spans="1:19">
      <c r="A157" s="491"/>
      <c r="B157" s="348"/>
      <c r="C157" s="313">
        <f t="shared" si="35"/>
        <v>1</v>
      </c>
      <c r="D157" s="1129"/>
      <c r="E157" s="313">
        <f t="shared" si="36"/>
        <v>1</v>
      </c>
      <c r="F157" s="1129"/>
      <c r="G157" s="313">
        <f t="shared" si="37"/>
        <v>0.02</v>
      </c>
      <c r="H157" s="1129"/>
      <c r="I157" s="313">
        <f t="shared" si="38"/>
        <v>1</v>
      </c>
      <c r="J157" s="1129"/>
      <c r="K157" s="313">
        <f t="shared" si="39"/>
        <v>1</v>
      </c>
      <c r="L157" s="1129"/>
      <c r="M157" s="313">
        <f t="shared" si="40"/>
        <v>1</v>
      </c>
      <c r="N157" s="1129"/>
      <c r="O157" s="313">
        <f t="shared" si="41"/>
        <v>1</v>
      </c>
      <c r="P157" s="1129"/>
      <c r="Q157" s="313">
        <f t="shared" si="42"/>
        <v>0</v>
      </c>
      <c r="R157" s="1125">
        <f t="shared" si="43"/>
        <v>0</v>
      </c>
      <c r="S157" s="698">
        <f t="shared" si="34"/>
        <v>0</v>
      </c>
    </row>
    <row r="158" spans="1:19">
      <c r="A158" s="491"/>
      <c r="B158" s="348"/>
      <c r="C158" s="313">
        <f t="shared" si="35"/>
        <v>1</v>
      </c>
      <c r="D158" s="1129"/>
      <c r="E158" s="313">
        <f t="shared" si="36"/>
        <v>1</v>
      </c>
      <c r="F158" s="1129"/>
      <c r="G158" s="313">
        <f t="shared" si="37"/>
        <v>0.02</v>
      </c>
      <c r="H158" s="1129"/>
      <c r="I158" s="313">
        <f t="shared" si="38"/>
        <v>1</v>
      </c>
      <c r="J158" s="1129"/>
      <c r="K158" s="313">
        <f t="shared" si="39"/>
        <v>1</v>
      </c>
      <c r="L158" s="1129"/>
      <c r="M158" s="313">
        <f t="shared" si="40"/>
        <v>1</v>
      </c>
      <c r="N158" s="1129"/>
      <c r="O158" s="313">
        <f t="shared" si="41"/>
        <v>1</v>
      </c>
      <c r="P158" s="1129"/>
      <c r="Q158" s="313">
        <f t="shared" si="42"/>
        <v>0</v>
      </c>
      <c r="R158" s="1125">
        <f t="shared" si="43"/>
        <v>0</v>
      </c>
      <c r="S158" s="698">
        <f t="shared" si="34"/>
        <v>0</v>
      </c>
    </row>
    <row r="159" spans="1:19">
      <c r="A159" s="491"/>
      <c r="B159" s="348"/>
      <c r="C159" s="313">
        <f t="shared" si="35"/>
        <v>1</v>
      </c>
      <c r="D159" s="1129"/>
      <c r="E159" s="313">
        <f t="shared" si="36"/>
        <v>1</v>
      </c>
      <c r="F159" s="1129"/>
      <c r="G159" s="313">
        <f t="shared" si="37"/>
        <v>0.02</v>
      </c>
      <c r="H159" s="1129"/>
      <c r="I159" s="313">
        <f t="shared" si="38"/>
        <v>1</v>
      </c>
      <c r="J159" s="1129"/>
      <c r="K159" s="313">
        <f t="shared" si="39"/>
        <v>1</v>
      </c>
      <c r="L159" s="1129"/>
      <c r="M159" s="313">
        <f t="shared" si="40"/>
        <v>1</v>
      </c>
      <c r="N159" s="1129"/>
      <c r="O159" s="313">
        <f t="shared" si="41"/>
        <v>1</v>
      </c>
      <c r="P159" s="1129"/>
      <c r="Q159" s="313">
        <f t="shared" si="42"/>
        <v>0</v>
      </c>
      <c r="R159" s="1125">
        <f t="shared" si="43"/>
        <v>0</v>
      </c>
      <c r="S159" s="698">
        <f t="shared" si="34"/>
        <v>0</v>
      </c>
    </row>
    <row r="160" spans="1:19">
      <c r="A160" s="491"/>
      <c r="B160" s="348"/>
      <c r="C160" s="313">
        <f t="shared" si="35"/>
        <v>1</v>
      </c>
      <c r="D160" s="1129"/>
      <c r="E160" s="313">
        <f t="shared" si="36"/>
        <v>1</v>
      </c>
      <c r="F160" s="1129"/>
      <c r="G160" s="313">
        <f t="shared" si="37"/>
        <v>0.02</v>
      </c>
      <c r="H160" s="1129"/>
      <c r="I160" s="313">
        <f t="shared" si="38"/>
        <v>1</v>
      </c>
      <c r="J160" s="1129"/>
      <c r="K160" s="313">
        <f t="shared" si="39"/>
        <v>1</v>
      </c>
      <c r="L160" s="1129"/>
      <c r="M160" s="313">
        <f t="shared" si="40"/>
        <v>1</v>
      </c>
      <c r="N160" s="1129"/>
      <c r="O160" s="313">
        <f t="shared" si="41"/>
        <v>1</v>
      </c>
      <c r="P160" s="1129"/>
      <c r="Q160" s="313">
        <f t="shared" si="42"/>
        <v>0</v>
      </c>
      <c r="R160" s="1125">
        <f t="shared" si="43"/>
        <v>0</v>
      </c>
      <c r="S160" s="698">
        <f t="shared" si="34"/>
        <v>0</v>
      </c>
    </row>
    <row r="161" spans="1:19">
      <c r="A161" s="491"/>
      <c r="B161" s="348"/>
      <c r="C161" s="313">
        <f t="shared" si="35"/>
        <v>1</v>
      </c>
      <c r="D161" s="1129"/>
      <c r="E161" s="313">
        <f t="shared" si="36"/>
        <v>1</v>
      </c>
      <c r="F161" s="1129"/>
      <c r="G161" s="313">
        <f t="shared" si="37"/>
        <v>0.02</v>
      </c>
      <c r="H161" s="1129"/>
      <c r="I161" s="313">
        <f t="shared" si="38"/>
        <v>1</v>
      </c>
      <c r="J161" s="1129"/>
      <c r="K161" s="313">
        <f t="shared" si="39"/>
        <v>1</v>
      </c>
      <c r="L161" s="1129"/>
      <c r="M161" s="313">
        <f t="shared" si="40"/>
        <v>1</v>
      </c>
      <c r="N161" s="1129"/>
      <c r="O161" s="313">
        <f t="shared" si="41"/>
        <v>1</v>
      </c>
      <c r="P161" s="1129"/>
      <c r="Q161" s="313">
        <f t="shared" si="42"/>
        <v>0</v>
      </c>
      <c r="R161" s="1125">
        <f t="shared" si="43"/>
        <v>0</v>
      </c>
      <c r="S161" s="698">
        <f t="shared" si="34"/>
        <v>0</v>
      </c>
    </row>
    <row r="162" spans="1:19">
      <c r="A162" s="491"/>
      <c r="B162" s="348"/>
      <c r="C162" s="313">
        <f t="shared" si="35"/>
        <v>1</v>
      </c>
      <c r="D162" s="1129"/>
      <c r="E162" s="313">
        <f t="shared" si="36"/>
        <v>1</v>
      </c>
      <c r="F162" s="1129"/>
      <c r="G162" s="313">
        <f t="shared" si="37"/>
        <v>0.02</v>
      </c>
      <c r="H162" s="1129"/>
      <c r="I162" s="313">
        <f t="shared" si="38"/>
        <v>1</v>
      </c>
      <c r="J162" s="1129"/>
      <c r="K162" s="313">
        <f t="shared" si="39"/>
        <v>1</v>
      </c>
      <c r="L162" s="1129"/>
      <c r="M162" s="313">
        <f t="shared" si="40"/>
        <v>1</v>
      </c>
      <c r="N162" s="1129"/>
      <c r="O162" s="313">
        <f t="shared" si="41"/>
        <v>1</v>
      </c>
      <c r="P162" s="1129"/>
      <c r="Q162" s="313">
        <f t="shared" si="42"/>
        <v>0</v>
      </c>
      <c r="R162" s="1125">
        <f t="shared" si="43"/>
        <v>0</v>
      </c>
      <c r="S162" s="698">
        <f t="shared" si="34"/>
        <v>0</v>
      </c>
    </row>
    <row r="163" spans="1:19">
      <c r="A163" s="491"/>
      <c r="B163" s="348"/>
      <c r="C163" s="313">
        <f t="shared" si="35"/>
        <v>1</v>
      </c>
      <c r="D163" s="1129"/>
      <c r="E163" s="313">
        <f t="shared" si="36"/>
        <v>1</v>
      </c>
      <c r="F163" s="1129"/>
      <c r="G163" s="313">
        <f t="shared" si="37"/>
        <v>0.02</v>
      </c>
      <c r="H163" s="1129"/>
      <c r="I163" s="313">
        <f t="shared" si="38"/>
        <v>1</v>
      </c>
      <c r="J163" s="1129"/>
      <c r="K163" s="313">
        <f t="shared" si="39"/>
        <v>1</v>
      </c>
      <c r="L163" s="1129"/>
      <c r="M163" s="313">
        <f t="shared" si="40"/>
        <v>1</v>
      </c>
      <c r="N163" s="1129"/>
      <c r="O163" s="313">
        <f t="shared" si="41"/>
        <v>1</v>
      </c>
      <c r="P163" s="1129"/>
      <c r="Q163" s="313">
        <f t="shared" si="42"/>
        <v>0</v>
      </c>
      <c r="R163" s="1125">
        <f t="shared" si="43"/>
        <v>0</v>
      </c>
      <c r="S163" s="698">
        <f t="shared" si="34"/>
        <v>0</v>
      </c>
    </row>
    <row r="164" spans="1:19">
      <c r="A164" s="491"/>
      <c r="B164" s="348"/>
      <c r="C164" s="313">
        <f t="shared" si="35"/>
        <v>1</v>
      </c>
      <c r="D164" s="1129"/>
      <c r="E164" s="313">
        <f t="shared" si="36"/>
        <v>1</v>
      </c>
      <c r="F164" s="1129"/>
      <c r="G164" s="313">
        <f t="shared" si="37"/>
        <v>0.02</v>
      </c>
      <c r="H164" s="1129"/>
      <c r="I164" s="313">
        <f t="shared" si="38"/>
        <v>1</v>
      </c>
      <c r="J164" s="1129"/>
      <c r="K164" s="313">
        <f t="shared" si="39"/>
        <v>1</v>
      </c>
      <c r="L164" s="1129"/>
      <c r="M164" s="313">
        <f t="shared" si="40"/>
        <v>1</v>
      </c>
      <c r="N164" s="1129"/>
      <c r="O164" s="313">
        <f t="shared" si="41"/>
        <v>1</v>
      </c>
      <c r="P164" s="1129"/>
      <c r="Q164" s="313">
        <f t="shared" si="42"/>
        <v>0</v>
      </c>
      <c r="R164" s="1125">
        <f t="shared" si="43"/>
        <v>0</v>
      </c>
      <c r="S164" s="698">
        <f t="shared" si="34"/>
        <v>0</v>
      </c>
    </row>
    <row r="165" spans="1:19">
      <c r="A165" s="491"/>
      <c r="B165" s="348"/>
      <c r="C165" s="313">
        <f t="shared" si="35"/>
        <v>1</v>
      </c>
      <c r="D165" s="1129"/>
      <c r="E165" s="313">
        <f t="shared" si="36"/>
        <v>1</v>
      </c>
      <c r="F165" s="1129"/>
      <c r="G165" s="313">
        <f t="shared" si="37"/>
        <v>0.02</v>
      </c>
      <c r="H165" s="1129"/>
      <c r="I165" s="313">
        <f t="shared" si="38"/>
        <v>1</v>
      </c>
      <c r="J165" s="1129"/>
      <c r="K165" s="313">
        <f t="shared" si="39"/>
        <v>1</v>
      </c>
      <c r="L165" s="1129"/>
      <c r="M165" s="313">
        <f t="shared" si="40"/>
        <v>1</v>
      </c>
      <c r="N165" s="1129"/>
      <c r="O165" s="313">
        <f t="shared" si="41"/>
        <v>1</v>
      </c>
      <c r="P165" s="1129"/>
      <c r="Q165" s="313">
        <f t="shared" si="42"/>
        <v>0</v>
      </c>
      <c r="R165" s="1125">
        <f t="shared" si="43"/>
        <v>0</v>
      </c>
      <c r="S165" s="698">
        <f t="shared" si="34"/>
        <v>0</v>
      </c>
    </row>
    <row r="166" spans="1:19">
      <c r="A166" s="491"/>
      <c r="B166" s="348"/>
      <c r="C166" s="313">
        <f t="shared" si="35"/>
        <v>1</v>
      </c>
      <c r="D166" s="1129"/>
      <c r="E166" s="313">
        <f t="shared" si="36"/>
        <v>1</v>
      </c>
      <c r="F166" s="1129"/>
      <c r="G166" s="313">
        <f t="shared" si="37"/>
        <v>0.02</v>
      </c>
      <c r="H166" s="1129"/>
      <c r="I166" s="313">
        <f t="shared" si="38"/>
        <v>1</v>
      </c>
      <c r="J166" s="1129"/>
      <c r="K166" s="313">
        <f t="shared" si="39"/>
        <v>1</v>
      </c>
      <c r="L166" s="1129"/>
      <c r="M166" s="313">
        <f t="shared" si="40"/>
        <v>1</v>
      </c>
      <c r="N166" s="1129"/>
      <c r="O166" s="313">
        <f t="shared" si="41"/>
        <v>1</v>
      </c>
      <c r="P166" s="1129"/>
      <c r="Q166" s="313">
        <f t="shared" si="42"/>
        <v>0</v>
      </c>
      <c r="R166" s="1125">
        <f t="shared" si="43"/>
        <v>0</v>
      </c>
      <c r="S166" s="698">
        <f t="shared" si="34"/>
        <v>0</v>
      </c>
    </row>
    <row r="167" spans="1:19">
      <c r="A167" s="491"/>
      <c r="B167" s="348"/>
      <c r="C167" s="313">
        <f t="shared" si="35"/>
        <v>1</v>
      </c>
      <c r="D167" s="1129"/>
      <c r="E167" s="313">
        <f t="shared" si="36"/>
        <v>1</v>
      </c>
      <c r="F167" s="1129"/>
      <c r="G167" s="313">
        <f t="shared" si="37"/>
        <v>0.02</v>
      </c>
      <c r="H167" s="1129"/>
      <c r="I167" s="313">
        <f t="shared" si="38"/>
        <v>1</v>
      </c>
      <c r="J167" s="1129"/>
      <c r="K167" s="313">
        <f t="shared" si="39"/>
        <v>1</v>
      </c>
      <c r="L167" s="1129"/>
      <c r="M167" s="313">
        <f t="shared" si="40"/>
        <v>1</v>
      </c>
      <c r="N167" s="1129"/>
      <c r="O167" s="313">
        <f t="shared" si="41"/>
        <v>1</v>
      </c>
      <c r="P167" s="1129"/>
      <c r="Q167" s="313">
        <f t="shared" si="42"/>
        <v>0</v>
      </c>
      <c r="R167" s="1125">
        <f t="shared" si="43"/>
        <v>0</v>
      </c>
      <c r="S167" s="698">
        <f t="shared" si="34"/>
        <v>0</v>
      </c>
    </row>
    <row r="168" spans="1:19">
      <c r="A168" s="491"/>
      <c r="B168" s="348"/>
      <c r="C168" s="313">
        <f t="shared" si="35"/>
        <v>1</v>
      </c>
      <c r="D168" s="1129"/>
      <c r="E168" s="313">
        <f t="shared" si="36"/>
        <v>1</v>
      </c>
      <c r="F168" s="1129"/>
      <c r="G168" s="313">
        <f t="shared" si="37"/>
        <v>0.02</v>
      </c>
      <c r="H168" s="1129"/>
      <c r="I168" s="313">
        <f t="shared" si="38"/>
        <v>1</v>
      </c>
      <c r="J168" s="1129"/>
      <c r="K168" s="313">
        <f t="shared" si="39"/>
        <v>1</v>
      </c>
      <c r="L168" s="1129"/>
      <c r="M168" s="313">
        <f t="shared" si="40"/>
        <v>1</v>
      </c>
      <c r="N168" s="1129"/>
      <c r="O168" s="313">
        <f t="shared" si="41"/>
        <v>1</v>
      </c>
      <c r="P168" s="1129"/>
      <c r="Q168" s="313">
        <f t="shared" si="42"/>
        <v>0</v>
      </c>
      <c r="R168" s="1125">
        <f t="shared" si="43"/>
        <v>0</v>
      </c>
      <c r="S168" s="698">
        <f t="shared" si="34"/>
        <v>0</v>
      </c>
    </row>
    <row r="169" spans="1:19">
      <c r="A169" s="491"/>
      <c r="B169" s="348"/>
      <c r="C169" s="313">
        <f t="shared" si="35"/>
        <v>1</v>
      </c>
      <c r="D169" s="1129"/>
      <c r="E169" s="313">
        <f t="shared" si="36"/>
        <v>1</v>
      </c>
      <c r="F169" s="1129"/>
      <c r="G169" s="313">
        <f t="shared" si="37"/>
        <v>0.02</v>
      </c>
      <c r="H169" s="1129"/>
      <c r="I169" s="313">
        <f t="shared" si="38"/>
        <v>1</v>
      </c>
      <c r="J169" s="1129"/>
      <c r="K169" s="313">
        <f t="shared" si="39"/>
        <v>1</v>
      </c>
      <c r="L169" s="1129"/>
      <c r="M169" s="313">
        <f t="shared" si="40"/>
        <v>1</v>
      </c>
      <c r="N169" s="1129"/>
      <c r="O169" s="313">
        <f t="shared" si="41"/>
        <v>1</v>
      </c>
      <c r="P169" s="1129"/>
      <c r="Q169" s="313">
        <f t="shared" si="42"/>
        <v>0</v>
      </c>
      <c r="R169" s="1125">
        <f t="shared" si="43"/>
        <v>0</v>
      </c>
      <c r="S169" s="698">
        <f t="shared" si="34"/>
        <v>0</v>
      </c>
    </row>
    <row r="170" spans="1:19">
      <c r="A170" s="491"/>
      <c r="B170" s="348"/>
      <c r="C170" s="313">
        <f t="shared" si="35"/>
        <v>1</v>
      </c>
      <c r="D170" s="1129"/>
      <c r="E170" s="313">
        <f t="shared" si="36"/>
        <v>1</v>
      </c>
      <c r="F170" s="1129"/>
      <c r="G170" s="313">
        <f t="shared" si="37"/>
        <v>0.02</v>
      </c>
      <c r="H170" s="1129"/>
      <c r="I170" s="313">
        <f t="shared" si="38"/>
        <v>1</v>
      </c>
      <c r="J170" s="1129"/>
      <c r="K170" s="313">
        <f t="shared" si="39"/>
        <v>1</v>
      </c>
      <c r="L170" s="1129"/>
      <c r="M170" s="313">
        <f t="shared" si="40"/>
        <v>1</v>
      </c>
      <c r="N170" s="1129"/>
      <c r="O170" s="313">
        <f t="shared" si="41"/>
        <v>1</v>
      </c>
      <c r="P170" s="1129"/>
      <c r="Q170" s="313">
        <f t="shared" si="42"/>
        <v>0</v>
      </c>
      <c r="R170" s="1125">
        <f t="shared" si="43"/>
        <v>0</v>
      </c>
      <c r="S170" s="698">
        <f t="shared" si="34"/>
        <v>0</v>
      </c>
    </row>
    <row r="171" spans="1:19">
      <c r="A171" s="491"/>
      <c r="B171" s="348"/>
      <c r="C171" s="313">
        <f t="shared" si="35"/>
        <v>1</v>
      </c>
      <c r="D171" s="1129"/>
      <c r="E171" s="313">
        <f t="shared" si="36"/>
        <v>1</v>
      </c>
      <c r="F171" s="1129"/>
      <c r="G171" s="313">
        <f t="shared" si="37"/>
        <v>0.02</v>
      </c>
      <c r="H171" s="1129"/>
      <c r="I171" s="313">
        <f t="shared" si="38"/>
        <v>1</v>
      </c>
      <c r="J171" s="1129"/>
      <c r="K171" s="313">
        <f t="shared" si="39"/>
        <v>1</v>
      </c>
      <c r="L171" s="1129"/>
      <c r="M171" s="313">
        <f t="shared" si="40"/>
        <v>1</v>
      </c>
      <c r="N171" s="1129"/>
      <c r="O171" s="313">
        <f t="shared" si="41"/>
        <v>1</v>
      </c>
      <c r="P171" s="1129"/>
      <c r="Q171" s="313">
        <f t="shared" si="42"/>
        <v>0</v>
      </c>
      <c r="R171" s="1125">
        <f t="shared" si="43"/>
        <v>0</v>
      </c>
      <c r="S171" s="698">
        <f t="shared" si="34"/>
        <v>0</v>
      </c>
    </row>
    <row r="172" spans="1:19">
      <c r="A172" s="491"/>
      <c r="B172" s="348"/>
      <c r="C172" s="313">
        <f t="shared" si="35"/>
        <v>1</v>
      </c>
      <c r="D172" s="1129"/>
      <c r="E172" s="313">
        <f t="shared" si="36"/>
        <v>1</v>
      </c>
      <c r="F172" s="1129"/>
      <c r="G172" s="313">
        <f t="shared" si="37"/>
        <v>0.02</v>
      </c>
      <c r="H172" s="1129"/>
      <c r="I172" s="313">
        <f t="shared" si="38"/>
        <v>1</v>
      </c>
      <c r="J172" s="1129"/>
      <c r="K172" s="313">
        <f t="shared" si="39"/>
        <v>1</v>
      </c>
      <c r="L172" s="1129"/>
      <c r="M172" s="313">
        <f t="shared" si="40"/>
        <v>1</v>
      </c>
      <c r="N172" s="1129"/>
      <c r="O172" s="313">
        <f t="shared" si="41"/>
        <v>1</v>
      </c>
      <c r="P172" s="1129"/>
      <c r="Q172" s="313">
        <f t="shared" si="42"/>
        <v>0</v>
      </c>
      <c r="R172" s="1125">
        <f t="shared" si="43"/>
        <v>0</v>
      </c>
      <c r="S172" s="698">
        <f t="shared" si="34"/>
        <v>0</v>
      </c>
    </row>
    <row r="173" spans="1:19">
      <c r="A173" s="491"/>
      <c r="B173" s="348"/>
      <c r="C173" s="313">
        <f t="shared" si="35"/>
        <v>1</v>
      </c>
      <c r="D173" s="1129"/>
      <c r="E173" s="313">
        <f t="shared" si="36"/>
        <v>1</v>
      </c>
      <c r="F173" s="1129"/>
      <c r="G173" s="313">
        <f t="shared" si="37"/>
        <v>0.02</v>
      </c>
      <c r="H173" s="1129"/>
      <c r="I173" s="313">
        <f t="shared" si="38"/>
        <v>1</v>
      </c>
      <c r="J173" s="1129"/>
      <c r="K173" s="313">
        <f t="shared" si="39"/>
        <v>1</v>
      </c>
      <c r="L173" s="1129"/>
      <c r="M173" s="313">
        <f t="shared" si="40"/>
        <v>1</v>
      </c>
      <c r="N173" s="1129"/>
      <c r="O173" s="313">
        <f t="shared" si="41"/>
        <v>1</v>
      </c>
      <c r="P173" s="1129"/>
      <c r="Q173" s="313">
        <f t="shared" si="42"/>
        <v>0</v>
      </c>
      <c r="R173" s="1125">
        <f t="shared" si="43"/>
        <v>0</v>
      </c>
      <c r="S173" s="698">
        <f t="shared" si="34"/>
        <v>0</v>
      </c>
    </row>
    <row r="174" spans="1:19">
      <c r="A174" s="491"/>
      <c r="B174" s="348"/>
      <c r="C174" s="313">
        <f t="shared" si="35"/>
        <v>1</v>
      </c>
      <c r="D174" s="1129"/>
      <c r="E174" s="313">
        <f t="shared" si="36"/>
        <v>1</v>
      </c>
      <c r="F174" s="1129"/>
      <c r="G174" s="313">
        <f t="shared" si="37"/>
        <v>0.02</v>
      </c>
      <c r="H174" s="1129"/>
      <c r="I174" s="313">
        <f t="shared" si="38"/>
        <v>1</v>
      </c>
      <c r="J174" s="1129"/>
      <c r="K174" s="313">
        <f t="shared" si="39"/>
        <v>1</v>
      </c>
      <c r="L174" s="1129"/>
      <c r="M174" s="313">
        <f t="shared" si="40"/>
        <v>1</v>
      </c>
      <c r="N174" s="1129"/>
      <c r="O174" s="313">
        <f t="shared" si="41"/>
        <v>1</v>
      </c>
      <c r="P174" s="1129"/>
      <c r="Q174" s="313">
        <f t="shared" si="42"/>
        <v>0</v>
      </c>
      <c r="R174" s="1125">
        <f t="shared" si="43"/>
        <v>0</v>
      </c>
      <c r="S174" s="698">
        <f t="shared" si="34"/>
        <v>0</v>
      </c>
    </row>
    <row r="175" spans="1:19">
      <c r="A175" s="491"/>
      <c r="B175" s="348"/>
      <c r="C175" s="313">
        <f t="shared" si="35"/>
        <v>1</v>
      </c>
      <c r="D175" s="1129"/>
      <c r="E175" s="313">
        <f t="shared" si="36"/>
        <v>1</v>
      </c>
      <c r="F175" s="1129"/>
      <c r="G175" s="313">
        <f t="shared" si="37"/>
        <v>0.02</v>
      </c>
      <c r="H175" s="1129"/>
      <c r="I175" s="313">
        <f t="shared" si="38"/>
        <v>1</v>
      </c>
      <c r="J175" s="1129"/>
      <c r="K175" s="313">
        <f t="shared" si="39"/>
        <v>1</v>
      </c>
      <c r="L175" s="1129"/>
      <c r="M175" s="313">
        <f t="shared" si="40"/>
        <v>1</v>
      </c>
      <c r="N175" s="1129"/>
      <c r="O175" s="313">
        <f t="shared" si="41"/>
        <v>1</v>
      </c>
      <c r="P175" s="1129"/>
      <c r="Q175" s="313">
        <f t="shared" si="42"/>
        <v>0</v>
      </c>
      <c r="R175" s="1125">
        <f t="shared" si="43"/>
        <v>0</v>
      </c>
      <c r="S175" s="698">
        <f t="shared" si="34"/>
        <v>0</v>
      </c>
    </row>
    <row r="176" spans="1:19">
      <c r="A176" s="491"/>
      <c r="B176" s="348"/>
      <c r="C176" s="313">
        <f t="shared" si="35"/>
        <v>1</v>
      </c>
      <c r="D176" s="1129"/>
      <c r="E176" s="313">
        <f t="shared" si="36"/>
        <v>1</v>
      </c>
      <c r="F176" s="1129"/>
      <c r="G176" s="313">
        <f t="shared" si="37"/>
        <v>0.02</v>
      </c>
      <c r="H176" s="1129"/>
      <c r="I176" s="313">
        <f t="shared" si="38"/>
        <v>1</v>
      </c>
      <c r="J176" s="1129"/>
      <c r="K176" s="313">
        <f t="shared" si="39"/>
        <v>1</v>
      </c>
      <c r="L176" s="1129"/>
      <c r="M176" s="313">
        <f t="shared" si="40"/>
        <v>1</v>
      </c>
      <c r="N176" s="1129"/>
      <c r="O176" s="313">
        <f t="shared" si="41"/>
        <v>1</v>
      </c>
      <c r="P176" s="1129"/>
      <c r="Q176" s="313">
        <f t="shared" si="42"/>
        <v>0</v>
      </c>
      <c r="R176" s="1125">
        <f t="shared" si="43"/>
        <v>0</v>
      </c>
      <c r="S176" s="698">
        <f t="shared" si="34"/>
        <v>0</v>
      </c>
    </row>
    <row r="177" spans="1:19">
      <c r="A177" s="491"/>
      <c r="B177" s="348"/>
      <c r="C177" s="313">
        <f t="shared" si="35"/>
        <v>1</v>
      </c>
      <c r="D177" s="1129"/>
      <c r="E177" s="313">
        <f t="shared" si="36"/>
        <v>1</v>
      </c>
      <c r="F177" s="1129"/>
      <c r="G177" s="313">
        <f t="shared" si="37"/>
        <v>0.02</v>
      </c>
      <c r="H177" s="1129"/>
      <c r="I177" s="313">
        <f t="shared" si="38"/>
        <v>1</v>
      </c>
      <c r="J177" s="1129"/>
      <c r="K177" s="313">
        <f t="shared" si="39"/>
        <v>1</v>
      </c>
      <c r="L177" s="1129"/>
      <c r="M177" s="313">
        <f t="shared" si="40"/>
        <v>1</v>
      </c>
      <c r="N177" s="1129"/>
      <c r="O177" s="313">
        <f t="shared" si="41"/>
        <v>1</v>
      </c>
      <c r="P177" s="1129"/>
      <c r="Q177" s="313">
        <f t="shared" si="42"/>
        <v>0</v>
      </c>
      <c r="R177" s="1125">
        <f t="shared" si="43"/>
        <v>0</v>
      </c>
      <c r="S177" s="698">
        <f t="shared" si="34"/>
        <v>0</v>
      </c>
    </row>
    <row r="178" spans="1:19">
      <c r="A178" s="491"/>
      <c r="B178" s="348"/>
      <c r="C178" s="313">
        <f t="shared" si="35"/>
        <v>1</v>
      </c>
      <c r="D178" s="1129"/>
      <c r="E178" s="313">
        <f t="shared" si="36"/>
        <v>1</v>
      </c>
      <c r="F178" s="1129"/>
      <c r="G178" s="313">
        <f t="shared" si="37"/>
        <v>0.02</v>
      </c>
      <c r="H178" s="1129"/>
      <c r="I178" s="313">
        <f t="shared" si="38"/>
        <v>1</v>
      </c>
      <c r="J178" s="1129"/>
      <c r="K178" s="313">
        <f t="shared" si="39"/>
        <v>1</v>
      </c>
      <c r="L178" s="1129"/>
      <c r="M178" s="313">
        <f t="shared" si="40"/>
        <v>1</v>
      </c>
      <c r="N178" s="1129"/>
      <c r="O178" s="313">
        <f t="shared" si="41"/>
        <v>1</v>
      </c>
      <c r="P178" s="1129"/>
      <c r="Q178" s="313">
        <f t="shared" si="42"/>
        <v>0</v>
      </c>
      <c r="R178" s="1125">
        <f t="shared" si="43"/>
        <v>0</v>
      </c>
      <c r="S178" s="698">
        <f t="shared" si="34"/>
        <v>0</v>
      </c>
    </row>
    <row r="179" spans="1:19">
      <c r="A179" s="491"/>
      <c r="B179" s="348"/>
      <c r="C179" s="313">
        <f t="shared" si="35"/>
        <v>1</v>
      </c>
      <c r="D179" s="1129"/>
      <c r="E179" s="313">
        <f t="shared" si="36"/>
        <v>1</v>
      </c>
      <c r="F179" s="1129"/>
      <c r="G179" s="313">
        <f t="shared" si="37"/>
        <v>0.02</v>
      </c>
      <c r="H179" s="1129"/>
      <c r="I179" s="313">
        <f t="shared" si="38"/>
        <v>1</v>
      </c>
      <c r="J179" s="1129"/>
      <c r="K179" s="313">
        <f t="shared" si="39"/>
        <v>1</v>
      </c>
      <c r="L179" s="1129"/>
      <c r="M179" s="313">
        <f t="shared" si="40"/>
        <v>1</v>
      </c>
      <c r="N179" s="1129"/>
      <c r="O179" s="313">
        <f t="shared" si="41"/>
        <v>1</v>
      </c>
      <c r="P179" s="1129"/>
      <c r="Q179" s="313">
        <f t="shared" si="42"/>
        <v>0</v>
      </c>
      <c r="R179" s="1125">
        <f t="shared" si="43"/>
        <v>0</v>
      </c>
      <c r="S179" s="698">
        <f t="shared" si="34"/>
        <v>0</v>
      </c>
    </row>
    <row r="180" spans="1:19">
      <c r="A180" s="491"/>
      <c r="B180" s="348"/>
      <c r="C180" s="313">
        <f t="shared" si="35"/>
        <v>1</v>
      </c>
      <c r="D180" s="1129"/>
      <c r="E180" s="313">
        <f t="shared" si="36"/>
        <v>1</v>
      </c>
      <c r="F180" s="1129"/>
      <c r="G180" s="313">
        <f t="shared" si="37"/>
        <v>0.02</v>
      </c>
      <c r="H180" s="1129"/>
      <c r="I180" s="313">
        <f t="shared" si="38"/>
        <v>1</v>
      </c>
      <c r="J180" s="1129"/>
      <c r="K180" s="313">
        <f t="shared" si="39"/>
        <v>1</v>
      </c>
      <c r="L180" s="1129"/>
      <c r="M180" s="313">
        <f t="shared" si="40"/>
        <v>1</v>
      </c>
      <c r="N180" s="1129"/>
      <c r="O180" s="313">
        <f t="shared" si="41"/>
        <v>1</v>
      </c>
      <c r="P180" s="1129"/>
      <c r="Q180" s="313">
        <f t="shared" si="42"/>
        <v>0</v>
      </c>
      <c r="R180" s="1125">
        <f t="shared" si="43"/>
        <v>0</v>
      </c>
      <c r="S180" s="698">
        <f t="shared" si="34"/>
        <v>0</v>
      </c>
    </row>
    <row r="181" spans="1:19">
      <c r="A181" s="491"/>
      <c r="B181" s="348"/>
      <c r="C181" s="313">
        <f t="shared" si="35"/>
        <v>1</v>
      </c>
      <c r="D181" s="1129"/>
      <c r="E181" s="313">
        <f t="shared" si="36"/>
        <v>1</v>
      </c>
      <c r="F181" s="1129"/>
      <c r="G181" s="313">
        <f t="shared" si="37"/>
        <v>0.02</v>
      </c>
      <c r="H181" s="1129"/>
      <c r="I181" s="313">
        <f t="shared" si="38"/>
        <v>1</v>
      </c>
      <c r="J181" s="1129"/>
      <c r="K181" s="313">
        <f t="shared" si="39"/>
        <v>1</v>
      </c>
      <c r="L181" s="1129"/>
      <c r="M181" s="313">
        <f t="shared" si="40"/>
        <v>1</v>
      </c>
      <c r="N181" s="1129"/>
      <c r="O181" s="313">
        <f t="shared" si="41"/>
        <v>1</v>
      </c>
      <c r="P181" s="1129"/>
      <c r="Q181" s="313">
        <f t="shared" si="42"/>
        <v>0</v>
      </c>
      <c r="R181" s="1125">
        <f t="shared" si="43"/>
        <v>0</v>
      </c>
      <c r="S181" s="698">
        <f t="shared" si="34"/>
        <v>0</v>
      </c>
    </row>
    <row r="182" spans="1:19">
      <c r="A182" s="491"/>
      <c r="B182" s="348"/>
      <c r="C182" s="313">
        <f t="shared" si="35"/>
        <v>1</v>
      </c>
      <c r="D182" s="1129"/>
      <c r="E182" s="313">
        <f t="shared" si="36"/>
        <v>1</v>
      </c>
      <c r="F182" s="1129"/>
      <c r="G182" s="313">
        <f t="shared" si="37"/>
        <v>0.02</v>
      </c>
      <c r="H182" s="1129"/>
      <c r="I182" s="313">
        <f t="shared" si="38"/>
        <v>1</v>
      </c>
      <c r="J182" s="1129"/>
      <c r="K182" s="313">
        <f t="shared" si="39"/>
        <v>1</v>
      </c>
      <c r="L182" s="1129"/>
      <c r="M182" s="313">
        <f t="shared" si="40"/>
        <v>1</v>
      </c>
      <c r="N182" s="1129"/>
      <c r="O182" s="313">
        <f t="shared" si="41"/>
        <v>1</v>
      </c>
      <c r="P182" s="1129"/>
      <c r="Q182" s="313">
        <f t="shared" si="42"/>
        <v>0</v>
      </c>
      <c r="R182" s="1125">
        <f t="shared" si="43"/>
        <v>0</v>
      </c>
      <c r="S182" s="698">
        <f t="shared" si="34"/>
        <v>0</v>
      </c>
    </row>
    <row r="183" spans="1:19">
      <c r="A183" s="491"/>
      <c r="B183" s="348"/>
      <c r="C183" s="313">
        <f t="shared" si="35"/>
        <v>1</v>
      </c>
      <c r="D183" s="1129"/>
      <c r="E183" s="313">
        <f t="shared" si="36"/>
        <v>1</v>
      </c>
      <c r="F183" s="1129"/>
      <c r="G183" s="313">
        <f t="shared" si="37"/>
        <v>0.02</v>
      </c>
      <c r="H183" s="1129"/>
      <c r="I183" s="313">
        <f t="shared" si="38"/>
        <v>1</v>
      </c>
      <c r="J183" s="1129"/>
      <c r="K183" s="313">
        <f t="shared" si="39"/>
        <v>1</v>
      </c>
      <c r="L183" s="1129"/>
      <c r="M183" s="313">
        <f t="shared" si="40"/>
        <v>1</v>
      </c>
      <c r="N183" s="1129"/>
      <c r="O183" s="313">
        <f t="shared" si="41"/>
        <v>1</v>
      </c>
      <c r="P183" s="1129"/>
      <c r="Q183" s="313">
        <f t="shared" si="42"/>
        <v>0</v>
      </c>
      <c r="R183" s="1125">
        <f t="shared" si="43"/>
        <v>0</v>
      </c>
      <c r="S183" s="698">
        <f t="shared" si="34"/>
        <v>0</v>
      </c>
    </row>
    <row r="184" spans="1:19">
      <c r="A184" s="491"/>
      <c r="B184" s="348"/>
      <c r="C184" s="313">
        <f t="shared" si="35"/>
        <v>1</v>
      </c>
      <c r="D184" s="1129"/>
      <c r="E184" s="313">
        <f t="shared" si="36"/>
        <v>1</v>
      </c>
      <c r="F184" s="1129"/>
      <c r="G184" s="313">
        <f t="shared" si="37"/>
        <v>0.02</v>
      </c>
      <c r="H184" s="1129"/>
      <c r="I184" s="313">
        <f t="shared" si="38"/>
        <v>1</v>
      </c>
      <c r="J184" s="1129"/>
      <c r="K184" s="313">
        <f t="shared" si="39"/>
        <v>1</v>
      </c>
      <c r="L184" s="1129"/>
      <c r="M184" s="313">
        <f t="shared" si="40"/>
        <v>1</v>
      </c>
      <c r="N184" s="1129"/>
      <c r="O184" s="313">
        <f t="shared" si="41"/>
        <v>1</v>
      </c>
      <c r="P184" s="1129"/>
      <c r="Q184" s="313">
        <f t="shared" si="42"/>
        <v>0</v>
      </c>
      <c r="R184" s="1125">
        <f t="shared" si="43"/>
        <v>0</v>
      </c>
      <c r="S184" s="698">
        <f t="shared" si="34"/>
        <v>0</v>
      </c>
    </row>
    <row r="185" spans="1:19">
      <c r="A185" s="491"/>
      <c r="B185" s="348"/>
      <c r="C185" s="313">
        <f t="shared" si="35"/>
        <v>1</v>
      </c>
      <c r="D185" s="1129"/>
      <c r="E185" s="313">
        <f t="shared" si="36"/>
        <v>1</v>
      </c>
      <c r="F185" s="1129"/>
      <c r="G185" s="313">
        <f t="shared" si="37"/>
        <v>0.02</v>
      </c>
      <c r="H185" s="1129"/>
      <c r="I185" s="313">
        <f t="shared" si="38"/>
        <v>1</v>
      </c>
      <c r="J185" s="1129"/>
      <c r="K185" s="313">
        <f t="shared" si="39"/>
        <v>1</v>
      </c>
      <c r="L185" s="1129"/>
      <c r="M185" s="313">
        <f t="shared" si="40"/>
        <v>1</v>
      </c>
      <c r="N185" s="1129"/>
      <c r="O185" s="313">
        <f t="shared" si="41"/>
        <v>1</v>
      </c>
      <c r="P185" s="1129"/>
      <c r="Q185" s="313">
        <f t="shared" si="42"/>
        <v>0</v>
      </c>
      <c r="R185" s="1125">
        <f t="shared" si="43"/>
        <v>0</v>
      </c>
      <c r="S185" s="698">
        <f t="shared" si="34"/>
        <v>0</v>
      </c>
    </row>
    <row r="186" spans="1:19">
      <c r="A186" s="491"/>
      <c r="B186" s="348"/>
      <c r="C186" s="313">
        <f t="shared" si="35"/>
        <v>1</v>
      </c>
      <c r="D186" s="1129"/>
      <c r="E186" s="313">
        <f t="shared" si="36"/>
        <v>1</v>
      </c>
      <c r="F186" s="1129"/>
      <c r="G186" s="313">
        <f t="shared" si="37"/>
        <v>0.02</v>
      </c>
      <c r="H186" s="1129"/>
      <c r="I186" s="313">
        <f t="shared" si="38"/>
        <v>1</v>
      </c>
      <c r="J186" s="1129"/>
      <c r="K186" s="313">
        <f t="shared" si="39"/>
        <v>1</v>
      </c>
      <c r="L186" s="1129"/>
      <c r="M186" s="313">
        <f t="shared" si="40"/>
        <v>1</v>
      </c>
      <c r="N186" s="1129"/>
      <c r="O186" s="313">
        <f t="shared" si="41"/>
        <v>1</v>
      </c>
      <c r="P186" s="1129"/>
      <c r="Q186" s="313">
        <f t="shared" si="42"/>
        <v>0</v>
      </c>
      <c r="R186" s="1125">
        <f t="shared" si="43"/>
        <v>0</v>
      </c>
      <c r="S186" s="698">
        <f t="shared" si="34"/>
        <v>0</v>
      </c>
    </row>
    <row r="187" spans="1:19">
      <c r="A187" s="491"/>
      <c r="B187" s="348"/>
      <c r="C187" s="313">
        <f t="shared" si="35"/>
        <v>1</v>
      </c>
      <c r="D187" s="1129"/>
      <c r="E187" s="313">
        <f t="shared" si="36"/>
        <v>1</v>
      </c>
      <c r="F187" s="1129"/>
      <c r="G187" s="313">
        <f t="shared" si="37"/>
        <v>0.02</v>
      </c>
      <c r="H187" s="1129"/>
      <c r="I187" s="313">
        <f t="shared" si="38"/>
        <v>1</v>
      </c>
      <c r="J187" s="1129"/>
      <c r="K187" s="313">
        <f t="shared" si="39"/>
        <v>1</v>
      </c>
      <c r="L187" s="1129"/>
      <c r="M187" s="313">
        <f t="shared" si="40"/>
        <v>1</v>
      </c>
      <c r="N187" s="1129"/>
      <c r="O187" s="313">
        <f t="shared" si="41"/>
        <v>1</v>
      </c>
      <c r="P187" s="1129"/>
      <c r="Q187" s="313">
        <f t="shared" si="42"/>
        <v>0</v>
      </c>
      <c r="R187" s="1125">
        <f t="shared" si="43"/>
        <v>0</v>
      </c>
      <c r="S187" s="698">
        <f t="shared" ref="S187:S222" si="44">ROUND(R187*B187/10000,0)</f>
        <v>0</v>
      </c>
    </row>
    <row r="188" spans="1:19">
      <c r="A188" s="491"/>
      <c r="B188" s="348"/>
      <c r="C188" s="313">
        <f t="shared" si="35"/>
        <v>1</v>
      </c>
      <c r="D188" s="1129"/>
      <c r="E188" s="313">
        <f t="shared" si="36"/>
        <v>1</v>
      </c>
      <c r="F188" s="1129"/>
      <c r="G188" s="313">
        <f t="shared" si="37"/>
        <v>0.02</v>
      </c>
      <c r="H188" s="1129"/>
      <c r="I188" s="313">
        <f t="shared" si="38"/>
        <v>1</v>
      </c>
      <c r="J188" s="1129"/>
      <c r="K188" s="313">
        <f t="shared" si="39"/>
        <v>1</v>
      </c>
      <c r="L188" s="1129"/>
      <c r="M188" s="313">
        <f t="shared" si="40"/>
        <v>1</v>
      </c>
      <c r="N188" s="1129"/>
      <c r="O188" s="313">
        <f t="shared" si="41"/>
        <v>1</v>
      </c>
      <c r="P188" s="1129"/>
      <c r="Q188" s="313">
        <f t="shared" si="42"/>
        <v>0</v>
      </c>
      <c r="R188" s="1125">
        <f t="shared" si="43"/>
        <v>0</v>
      </c>
      <c r="S188" s="698">
        <f t="shared" si="44"/>
        <v>0</v>
      </c>
    </row>
    <row r="189" spans="1:19">
      <c r="A189" s="491"/>
      <c r="B189" s="348"/>
      <c r="C189" s="313">
        <f t="shared" si="35"/>
        <v>1</v>
      </c>
      <c r="D189" s="1129"/>
      <c r="E189" s="313">
        <f t="shared" si="36"/>
        <v>1</v>
      </c>
      <c r="F189" s="1129"/>
      <c r="G189" s="313">
        <f t="shared" si="37"/>
        <v>0.02</v>
      </c>
      <c r="H189" s="1129"/>
      <c r="I189" s="313">
        <f t="shared" si="38"/>
        <v>1</v>
      </c>
      <c r="J189" s="1129"/>
      <c r="K189" s="313">
        <f t="shared" si="39"/>
        <v>1</v>
      </c>
      <c r="L189" s="1129"/>
      <c r="M189" s="313">
        <f t="shared" si="40"/>
        <v>1</v>
      </c>
      <c r="N189" s="1129"/>
      <c r="O189" s="313">
        <f t="shared" si="41"/>
        <v>1</v>
      </c>
      <c r="P189" s="1129"/>
      <c r="Q189" s="313">
        <f t="shared" si="42"/>
        <v>0</v>
      </c>
      <c r="R189" s="1125">
        <f t="shared" si="43"/>
        <v>0</v>
      </c>
      <c r="S189" s="698">
        <f t="shared" si="44"/>
        <v>0</v>
      </c>
    </row>
    <row r="190" spans="1:19">
      <c r="A190" s="491"/>
      <c r="B190" s="348"/>
      <c r="C190" s="313">
        <f t="shared" si="35"/>
        <v>1</v>
      </c>
      <c r="D190" s="1129"/>
      <c r="E190" s="313">
        <f t="shared" si="36"/>
        <v>1</v>
      </c>
      <c r="F190" s="1129"/>
      <c r="G190" s="313">
        <f t="shared" si="37"/>
        <v>0.02</v>
      </c>
      <c r="H190" s="1129"/>
      <c r="I190" s="313">
        <f t="shared" si="38"/>
        <v>1</v>
      </c>
      <c r="J190" s="1129"/>
      <c r="K190" s="313">
        <f t="shared" si="39"/>
        <v>1</v>
      </c>
      <c r="L190" s="1129"/>
      <c r="M190" s="313">
        <f t="shared" si="40"/>
        <v>1</v>
      </c>
      <c r="N190" s="1129"/>
      <c r="O190" s="313">
        <f t="shared" si="41"/>
        <v>1</v>
      </c>
      <c r="P190" s="1129"/>
      <c r="Q190" s="313">
        <f t="shared" si="42"/>
        <v>0</v>
      </c>
      <c r="R190" s="1125">
        <f t="shared" si="43"/>
        <v>0</v>
      </c>
      <c r="S190" s="698">
        <f t="shared" si="44"/>
        <v>0</v>
      </c>
    </row>
    <row r="191" spans="1:19">
      <c r="A191" s="491"/>
      <c r="B191" s="348"/>
      <c r="C191" s="313">
        <f t="shared" si="35"/>
        <v>1</v>
      </c>
      <c r="D191" s="1129"/>
      <c r="E191" s="313">
        <f t="shared" si="36"/>
        <v>1</v>
      </c>
      <c r="F191" s="1129"/>
      <c r="G191" s="313">
        <f t="shared" si="37"/>
        <v>0.02</v>
      </c>
      <c r="H191" s="1129"/>
      <c r="I191" s="313">
        <f t="shared" si="38"/>
        <v>1</v>
      </c>
      <c r="J191" s="1129"/>
      <c r="K191" s="313">
        <f t="shared" si="39"/>
        <v>1</v>
      </c>
      <c r="L191" s="1129"/>
      <c r="M191" s="313">
        <f t="shared" si="40"/>
        <v>1</v>
      </c>
      <c r="N191" s="1129"/>
      <c r="O191" s="313">
        <f t="shared" si="41"/>
        <v>1</v>
      </c>
      <c r="P191" s="1129"/>
      <c r="Q191" s="313">
        <f t="shared" si="42"/>
        <v>0</v>
      </c>
      <c r="R191" s="1125">
        <f t="shared" si="43"/>
        <v>0</v>
      </c>
      <c r="S191" s="698">
        <f t="shared" si="44"/>
        <v>0</v>
      </c>
    </row>
    <row r="192" spans="1:19">
      <c r="A192" s="491"/>
      <c r="B192" s="348"/>
      <c r="C192" s="313">
        <f t="shared" si="35"/>
        <v>1</v>
      </c>
      <c r="D192" s="1129"/>
      <c r="E192" s="313">
        <f t="shared" si="36"/>
        <v>1</v>
      </c>
      <c r="F192" s="1129"/>
      <c r="G192" s="313">
        <f t="shared" si="37"/>
        <v>0.02</v>
      </c>
      <c r="H192" s="1129"/>
      <c r="I192" s="313">
        <f t="shared" si="38"/>
        <v>1</v>
      </c>
      <c r="J192" s="1129"/>
      <c r="K192" s="313">
        <f t="shared" si="39"/>
        <v>1</v>
      </c>
      <c r="L192" s="1129"/>
      <c r="M192" s="313">
        <f t="shared" si="40"/>
        <v>1</v>
      </c>
      <c r="N192" s="1129"/>
      <c r="O192" s="313">
        <f t="shared" si="41"/>
        <v>1</v>
      </c>
      <c r="P192" s="1129"/>
      <c r="Q192" s="313">
        <f t="shared" si="42"/>
        <v>0</v>
      </c>
      <c r="R192" s="1125">
        <f t="shared" si="43"/>
        <v>0</v>
      </c>
      <c r="S192" s="698">
        <f t="shared" si="44"/>
        <v>0</v>
      </c>
    </row>
    <row r="193" spans="1:19">
      <c r="A193" s="491"/>
      <c r="B193" s="348"/>
      <c r="C193" s="313">
        <f t="shared" si="35"/>
        <v>1</v>
      </c>
      <c r="D193" s="1129"/>
      <c r="E193" s="313">
        <f t="shared" si="36"/>
        <v>1</v>
      </c>
      <c r="F193" s="1129"/>
      <c r="G193" s="313">
        <f t="shared" si="37"/>
        <v>0.02</v>
      </c>
      <c r="H193" s="1129"/>
      <c r="I193" s="313">
        <f t="shared" si="38"/>
        <v>1</v>
      </c>
      <c r="J193" s="1129"/>
      <c r="K193" s="313">
        <f t="shared" si="39"/>
        <v>1</v>
      </c>
      <c r="L193" s="1129"/>
      <c r="M193" s="313">
        <f t="shared" si="40"/>
        <v>1</v>
      </c>
      <c r="N193" s="1129"/>
      <c r="O193" s="313">
        <f t="shared" si="41"/>
        <v>1</v>
      </c>
      <c r="P193" s="1129"/>
      <c r="Q193" s="313">
        <f t="shared" si="42"/>
        <v>0</v>
      </c>
      <c r="R193" s="1125">
        <f t="shared" si="43"/>
        <v>0</v>
      </c>
      <c r="S193" s="698">
        <f t="shared" si="44"/>
        <v>0</v>
      </c>
    </row>
    <row r="194" spans="1:19">
      <c r="A194" s="491"/>
      <c r="B194" s="348"/>
      <c r="C194" s="313">
        <f t="shared" si="35"/>
        <v>1</v>
      </c>
      <c r="D194" s="1129"/>
      <c r="E194" s="313">
        <f t="shared" si="36"/>
        <v>1</v>
      </c>
      <c r="F194" s="1129"/>
      <c r="G194" s="313">
        <f t="shared" si="37"/>
        <v>0.02</v>
      </c>
      <c r="H194" s="1129"/>
      <c r="I194" s="313">
        <f t="shared" si="38"/>
        <v>1</v>
      </c>
      <c r="J194" s="1129"/>
      <c r="K194" s="313">
        <f t="shared" si="39"/>
        <v>1</v>
      </c>
      <c r="L194" s="1129"/>
      <c r="M194" s="313">
        <f t="shared" si="40"/>
        <v>1</v>
      </c>
      <c r="N194" s="1129"/>
      <c r="O194" s="313">
        <f t="shared" si="41"/>
        <v>1</v>
      </c>
      <c r="P194" s="1129"/>
      <c r="Q194" s="313">
        <f t="shared" si="42"/>
        <v>0</v>
      </c>
      <c r="R194" s="1125">
        <f t="shared" si="43"/>
        <v>0</v>
      </c>
      <c r="S194" s="698">
        <f t="shared" si="44"/>
        <v>0</v>
      </c>
    </row>
    <row r="195" spans="1:19">
      <c r="A195" s="491"/>
      <c r="B195" s="348"/>
      <c r="C195" s="313">
        <f t="shared" si="35"/>
        <v>1</v>
      </c>
      <c r="D195" s="1129"/>
      <c r="E195" s="313">
        <f t="shared" si="36"/>
        <v>1</v>
      </c>
      <c r="F195" s="1129"/>
      <c r="G195" s="313">
        <f t="shared" si="37"/>
        <v>0.02</v>
      </c>
      <c r="H195" s="1129"/>
      <c r="I195" s="313">
        <f t="shared" si="38"/>
        <v>1</v>
      </c>
      <c r="J195" s="1129"/>
      <c r="K195" s="313">
        <f t="shared" si="39"/>
        <v>1</v>
      </c>
      <c r="L195" s="1129"/>
      <c r="M195" s="313">
        <f t="shared" si="40"/>
        <v>1</v>
      </c>
      <c r="N195" s="1129"/>
      <c r="O195" s="313">
        <f t="shared" si="41"/>
        <v>1</v>
      </c>
      <c r="P195" s="1129"/>
      <c r="Q195" s="313">
        <f t="shared" si="42"/>
        <v>0</v>
      </c>
      <c r="R195" s="1125">
        <f t="shared" si="43"/>
        <v>0</v>
      </c>
      <c r="S195" s="698">
        <f t="shared" si="44"/>
        <v>0</v>
      </c>
    </row>
    <row r="196" spans="1:19">
      <c r="A196" s="491"/>
      <c r="B196" s="348"/>
      <c r="C196" s="313">
        <f t="shared" si="35"/>
        <v>1</v>
      </c>
      <c r="D196" s="1129"/>
      <c r="E196" s="313">
        <f t="shared" si="36"/>
        <v>1</v>
      </c>
      <c r="F196" s="1129"/>
      <c r="G196" s="313">
        <f t="shared" si="37"/>
        <v>0.02</v>
      </c>
      <c r="H196" s="1129"/>
      <c r="I196" s="313">
        <f t="shared" si="38"/>
        <v>1</v>
      </c>
      <c r="J196" s="1129"/>
      <c r="K196" s="313">
        <f t="shared" si="39"/>
        <v>1</v>
      </c>
      <c r="L196" s="1129"/>
      <c r="M196" s="313">
        <f t="shared" si="40"/>
        <v>1</v>
      </c>
      <c r="N196" s="1129"/>
      <c r="O196" s="313">
        <f t="shared" si="41"/>
        <v>1</v>
      </c>
      <c r="P196" s="1129"/>
      <c r="Q196" s="313">
        <f t="shared" si="42"/>
        <v>0</v>
      </c>
      <c r="R196" s="1125">
        <f t="shared" si="43"/>
        <v>0</v>
      </c>
      <c r="S196" s="698">
        <f t="shared" si="44"/>
        <v>0</v>
      </c>
    </row>
    <row r="197" spans="1:19">
      <c r="A197" s="491"/>
      <c r="B197" s="348"/>
      <c r="C197" s="313">
        <f t="shared" si="35"/>
        <v>1</v>
      </c>
      <c r="D197" s="1129"/>
      <c r="E197" s="313">
        <f t="shared" si="36"/>
        <v>1</v>
      </c>
      <c r="F197" s="1129"/>
      <c r="G197" s="313">
        <f t="shared" si="37"/>
        <v>0.02</v>
      </c>
      <c r="H197" s="1129"/>
      <c r="I197" s="313">
        <f t="shared" si="38"/>
        <v>1</v>
      </c>
      <c r="J197" s="1129"/>
      <c r="K197" s="313">
        <f t="shared" si="39"/>
        <v>1</v>
      </c>
      <c r="L197" s="1129"/>
      <c r="M197" s="313">
        <f t="shared" si="40"/>
        <v>1</v>
      </c>
      <c r="N197" s="1129"/>
      <c r="O197" s="313">
        <f t="shared" si="41"/>
        <v>1</v>
      </c>
      <c r="P197" s="1129"/>
      <c r="Q197" s="313">
        <f t="shared" si="42"/>
        <v>0</v>
      </c>
      <c r="R197" s="1125">
        <f t="shared" si="43"/>
        <v>0</v>
      </c>
      <c r="S197" s="698">
        <f t="shared" si="44"/>
        <v>0</v>
      </c>
    </row>
    <row r="198" spans="1:19">
      <c r="A198" s="491"/>
      <c r="B198" s="348"/>
      <c r="C198" s="313">
        <f t="shared" si="35"/>
        <v>1</v>
      </c>
      <c r="D198" s="1129"/>
      <c r="E198" s="313">
        <f t="shared" si="36"/>
        <v>1</v>
      </c>
      <c r="F198" s="1129"/>
      <c r="G198" s="313">
        <f t="shared" si="37"/>
        <v>0.02</v>
      </c>
      <c r="H198" s="1129"/>
      <c r="I198" s="313">
        <f t="shared" si="38"/>
        <v>1</v>
      </c>
      <c r="J198" s="1129"/>
      <c r="K198" s="313">
        <f t="shared" si="39"/>
        <v>1</v>
      </c>
      <c r="L198" s="1129"/>
      <c r="M198" s="313">
        <f t="shared" si="40"/>
        <v>1</v>
      </c>
      <c r="N198" s="1129"/>
      <c r="O198" s="313">
        <f t="shared" si="41"/>
        <v>1</v>
      </c>
      <c r="P198" s="1129"/>
      <c r="Q198" s="313">
        <f t="shared" si="42"/>
        <v>0</v>
      </c>
      <c r="R198" s="1125">
        <f t="shared" si="43"/>
        <v>0</v>
      </c>
      <c r="S198" s="698">
        <f t="shared" si="44"/>
        <v>0</v>
      </c>
    </row>
    <row r="199" spans="1:19">
      <c r="A199" s="491"/>
      <c r="B199" s="348"/>
      <c r="C199" s="313">
        <f t="shared" si="35"/>
        <v>1</v>
      </c>
      <c r="D199" s="1129"/>
      <c r="E199" s="313">
        <f t="shared" si="36"/>
        <v>1</v>
      </c>
      <c r="F199" s="1129"/>
      <c r="G199" s="313">
        <f t="shared" si="37"/>
        <v>0.02</v>
      </c>
      <c r="H199" s="1129"/>
      <c r="I199" s="313">
        <f t="shared" si="38"/>
        <v>1</v>
      </c>
      <c r="J199" s="1129"/>
      <c r="K199" s="313">
        <f t="shared" si="39"/>
        <v>1</v>
      </c>
      <c r="L199" s="1129"/>
      <c r="M199" s="313">
        <f t="shared" si="40"/>
        <v>1</v>
      </c>
      <c r="N199" s="1129"/>
      <c r="O199" s="313">
        <f t="shared" si="41"/>
        <v>1</v>
      </c>
      <c r="P199" s="1129"/>
      <c r="Q199" s="313">
        <f t="shared" si="42"/>
        <v>0</v>
      </c>
      <c r="R199" s="1125">
        <f t="shared" si="43"/>
        <v>0</v>
      </c>
      <c r="S199" s="698">
        <f t="shared" si="44"/>
        <v>0</v>
      </c>
    </row>
    <row r="200" spans="1:19">
      <c r="A200" s="491"/>
      <c r="B200" s="348"/>
      <c r="C200" s="313">
        <f t="shared" si="35"/>
        <v>1</v>
      </c>
      <c r="D200" s="1129"/>
      <c r="E200" s="313">
        <f t="shared" si="36"/>
        <v>1</v>
      </c>
      <c r="F200" s="1129"/>
      <c r="G200" s="313">
        <f t="shared" si="37"/>
        <v>0.02</v>
      </c>
      <c r="H200" s="1129"/>
      <c r="I200" s="313">
        <f t="shared" si="38"/>
        <v>1</v>
      </c>
      <c r="J200" s="1129"/>
      <c r="K200" s="313">
        <f t="shared" si="39"/>
        <v>1</v>
      </c>
      <c r="L200" s="1129"/>
      <c r="M200" s="313">
        <f t="shared" si="40"/>
        <v>1</v>
      </c>
      <c r="N200" s="1129"/>
      <c r="O200" s="313">
        <f t="shared" si="41"/>
        <v>1</v>
      </c>
      <c r="P200" s="1129"/>
      <c r="Q200" s="313">
        <f t="shared" si="42"/>
        <v>0</v>
      </c>
      <c r="R200" s="1125">
        <f t="shared" si="43"/>
        <v>0</v>
      </c>
      <c r="S200" s="698">
        <f t="shared" si="44"/>
        <v>0</v>
      </c>
    </row>
    <row r="201" spans="1:19">
      <c r="A201" s="491"/>
      <c r="B201" s="348"/>
      <c r="C201" s="313">
        <f t="shared" si="35"/>
        <v>1</v>
      </c>
      <c r="D201" s="1129"/>
      <c r="E201" s="313">
        <f t="shared" si="36"/>
        <v>1</v>
      </c>
      <c r="F201" s="1129"/>
      <c r="G201" s="313">
        <f t="shared" si="37"/>
        <v>0.02</v>
      </c>
      <c r="H201" s="1129"/>
      <c r="I201" s="313">
        <f t="shared" si="38"/>
        <v>1</v>
      </c>
      <c r="J201" s="1129"/>
      <c r="K201" s="313">
        <f t="shared" si="39"/>
        <v>1</v>
      </c>
      <c r="L201" s="1129"/>
      <c r="M201" s="313">
        <f t="shared" si="40"/>
        <v>1</v>
      </c>
      <c r="N201" s="1129"/>
      <c r="O201" s="313">
        <f t="shared" si="41"/>
        <v>1</v>
      </c>
      <c r="P201" s="1129"/>
      <c r="Q201" s="313">
        <f t="shared" si="42"/>
        <v>0</v>
      </c>
      <c r="R201" s="1125">
        <f t="shared" si="43"/>
        <v>0</v>
      </c>
      <c r="S201" s="698">
        <f t="shared" si="44"/>
        <v>0</v>
      </c>
    </row>
    <row r="202" spans="1:19">
      <c r="A202" s="491"/>
      <c r="B202" s="348"/>
      <c r="C202" s="313">
        <f t="shared" si="35"/>
        <v>1</v>
      </c>
      <c r="D202" s="1129"/>
      <c r="E202" s="313">
        <f t="shared" si="36"/>
        <v>1</v>
      </c>
      <c r="F202" s="1129"/>
      <c r="G202" s="313">
        <f t="shared" si="37"/>
        <v>0.02</v>
      </c>
      <c r="H202" s="1129"/>
      <c r="I202" s="313">
        <f t="shared" si="38"/>
        <v>1</v>
      </c>
      <c r="J202" s="1129"/>
      <c r="K202" s="313">
        <f t="shared" si="39"/>
        <v>1</v>
      </c>
      <c r="L202" s="1129"/>
      <c r="M202" s="313">
        <f t="shared" si="40"/>
        <v>1</v>
      </c>
      <c r="N202" s="1129"/>
      <c r="O202" s="313">
        <f t="shared" si="41"/>
        <v>1</v>
      </c>
      <c r="P202" s="1129"/>
      <c r="Q202" s="313">
        <f t="shared" si="42"/>
        <v>0</v>
      </c>
      <c r="R202" s="1125">
        <f t="shared" si="43"/>
        <v>0</v>
      </c>
      <c r="S202" s="698">
        <f t="shared" si="44"/>
        <v>0</v>
      </c>
    </row>
    <row r="203" spans="1:19">
      <c r="A203" s="491"/>
      <c r="B203" s="348"/>
      <c r="C203" s="313">
        <f t="shared" si="35"/>
        <v>1</v>
      </c>
      <c r="D203" s="1129"/>
      <c r="E203" s="313">
        <f t="shared" si="36"/>
        <v>1</v>
      </c>
      <c r="F203" s="1129"/>
      <c r="G203" s="313">
        <f t="shared" si="37"/>
        <v>0.02</v>
      </c>
      <c r="H203" s="1129"/>
      <c r="I203" s="313">
        <f t="shared" si="38"/>
        <v>1</v>
      </c>
      <c r="J203" s="1129"/>
      <c r="K203" s="313">
        <f t="shared" si="39"/>
        <v>1</v>
      </c>
      <c r="L203" s="1129"/>
      <c r="M203" s="313">
        <f t="shared" si="40"/>
        <v>1</v>
      </c>
      <c r="N203" s="1129"/>
      <c r="O203" s="313">
        <f t="shared" si="41"/>
        <v>1</v>
      </c>
      <c r="P203" s="1129"/>
      <c r="Q203" s="313">
        <f t="shared" si="42"/>
        <v>0</v>
      </c>
      <c r="R203" s="1125">
        <f t="shared" si="43"/>
        <v>0</v>
      </c>
      <c r="S203" s="698">
        <f t="shared" si="44"/>
        <v>0</v>
      </c>
    </row>
    <row r="204" spans="1:19">
      <c r="A204" s="491"/>
      <c r="B204" s="348"/>
      <c r="C204" s="313">
        <f t="shared" si="35"/>
        <v>1</v>
      </c>
      <c r="D204" s="1129"/>
      <c r="E204" s="313">
        <f t="shared" si="36"/>
        <v>1</v>
      </c>
      <c r="F204" s="1129"/>
      <c r="G204" s="313">
        <f t="shared" si="37"/>
        <v>0.02</v>
      </c>
      <c r="H204" s="1129"/>
      <c r="I204" s="313">
        <f t="shared" si="38"/>
        <v>1</v>
      </c>
      <c r="J204" s="1129"/>
      <c r="K204" s="313">
        <f t="shared" si="39"/>
        <v>1</v>
      </c>
      <c r="L204" s="1129"/>
      <c r="M204" s="313">
        <f t="shared" si="40"/>
        <v>1</v>
      </c>
      <c r="N204" s="1129"/>
      <c r="O204" s="313">
        <f t="shared" si="41"/>
        <v>1</v>
      </c>
      <c r="P204" s="1129"/>
      <c r="Q204" s="313">
        <f t="shared" si="42"/>
        <v>0</v>
      </c>
      <c r="R204" s="1125">
        <f t="shared" si="43"/>
        <v>0</v>
      </c>
      <c r="S204" s="698">
        <f t="shared" si="44"/>
        <v>0</v>
      </c>
    </row>
    <row r="205" spans="1:19">
      <c r="A205" s="491"/>
      <c r="B205" s="348"/>
      <c r="C205" s="313">
        <f t="shared" si="35"/>
        <v>1</v>
      </c>
      <c r="D205" s="1129"/>
      <c r="E205" s="313">
        <f t="shared" si="36"/>
        <v>1</v>
      </c>
      <c r="F205" s="1129"/>
      <c r="G205" s="313">
        <f t="shared" si="37"/>
        <v>0.02</v>
      </c>
      <c r="H205" s="1129"/>
      <c r="I205" s="313">
        <f t="shared" si="38"/>
        <v>1</v>
      </c>
      <c r="J205" s="1129"/>
      <c r="K205" s="313">
        <f t="shared" si="39"/>
        <v>1</v>
      </c>
      <c r="L205" s="1129"/>
      <c r="M205" s="313">
        <f t="shared" si="40"/>
        <v>1</v>
      </c>
      <c r="N205" s="1129"/>
      <c r="O205" s="313">
        <f t="shared" si="41"/>
        <v>1</v>
      </c>
      <c r="P205" s="1129"/>
      <c r="Q205" s="313">
        <f t="shared" si="42"/>
        <v>0</v>
      </c>
      <c r="R205" s="1125">
        <f t="shared" si="43"/>
        <v>0</v>
      </c>
      <c r="S205" s="698">
        <f t="shared" si="44"/>
        <v>0</v>
      </c>
    </row>
    <row r="206" spans="1:19">
      <c r="A206" s="491"/>
      <c r="B206" s="348"/>
      <c r="C206" s="313">
        <f t="shared" si="35"/>
        <v>1</v>
      </c>
      <c r="D206" s="1129"/>
      <c r="E206" s="313">
        <f t="shared" si="36"/>
        <v>1</v>
      </c>
      <c r="F206" s="1129"/>
      <c r="G206" s="313">
        <f t="shared" si="37"/>
        <v>0.02</v>
      </c>
      <c r="H206" s="1129"/>
      <c r="I206" s="313">
        <f t="shared" si="38"/>
        <v>1</v>
      </c>
      <c r="J206" s="1129"/>
      <c r="K206" s="313">
        <f t="shared" si="39"/>
        <v>1</v>
      </c>
      <c r="L206" s="1129"/>
      <c r="M206" s="313">
        <f t="shared" si="40"/>
        <v>1</v>
      </c>
      <c r="N206" s="1129"/>
      <c r="O206" s="313">
        <f t="shared" si="41"/>
        <v>1</v>
      </c>
      <c r="P206" s="1129"/>
      <c r="Q206" s="313">
        <f t="shared" si="42"/>
        <v>0</v>
      </c>
      <c r="R206" s="1125">
        <f t="shared" si="43"/>
        <v>0</v>
      </c>
      <c r="S206" s="698">
        <f t="shared" si="44"/>
        <v>0</v>
      </c>
    </row>
    <row r="207" spans="1:19">
      <c r="A207" s="491"/>
      <c r="B207" s="348"/>
      <c r="C207" s="313">
        <f t="shared" si="35"/>
        <v>1</v>
      </c>
      <c r="D207" s="1129"/>
      <c r="E207" s="313">
        <f t="shared" si="36"/>
        <v>1</v>
      </c>
      <c r="F207" s="1129"/>
      <c r="G207" s="313">
        <f t="shared" si="37"/>
        <v>0.02</v>
      </c>
      <c r="H207" s="1129"/>
      <c r="I207" s="313">
        <f t="shared" si="38"/>
        <v>1</v>
      </c>
      <c r="J207" s="1129"/>
      <c r="K207" s="313">
        <f t="shared" si="39"/>
        <v>1</v>
      </c>
      <c r="L207" s="1129"/>
      <c r="M207" s="313">
        <f t="shared" si="40"/>
        <v>1</v>
      </c>
      <c r="N207" s="1129"/>
      <c r="O207" s="313">
        <f t="shared" si="41"/>
        <v>1</v>
      </c>
      <c r="P207" s="1129"/>
      <c r="Q207" s="313">
        <f t="shared" si="42"/>
        <v>0</v>
      </c>
      <c r="R207" s="1125">
        <f t="shared" si="43"/>
        <v>0</v>
      </c>
      <c r="S207" s="698">
        <f t="shared" si="44"/>
        <v>0</v>
      </c>
    </row>
    <row r="208" spans="1:19">
      <c r="A208" s="491"/>
      <c r="B208" s="348"/>
      <c r="C208" s="313">
        <f t="shared" si="35"/>
        <v>1</v>
      </c>
      <c r="D208" s="1129"/>
      <c r="E208" s="313">
        <f t="shared" si="36"/>
        <v>1</v>
      </c>
      <c r="F208" s="1129"/>
      <c r="G208" s="313">
        <f t="shared" si="37"/>
        <v>0.02</v>
      </c>
      <c r="H208" s="1129"/>
      <c r="I208" s="313">
        <f t="shared" si="38"/>
        <v>1</v>
      </c>
      <c r="J208" s="1129"/>
      <c r="K208" s="313">
        <f t="shared" si="39"/>
        <v>1</v>
      </c>
      <c r="L208" s="1129"/>
      <c r="M208" s="313">
        <f t="shared" si="40"/>
        <v>1</v>
      </c>
      <c r="N208" s="1129"/>
      <c r="O208" s="313">
        <f t="shared" si="41"/>
        <v>1</v>
      </c>
      <c r="P208" s="1129"/>
      <c r="Q208" s="313">
        <f t="shared" si="42"/>
        <v>0</v>
      </c>
      <c r="R208" s="1125">
        <f t="shared" si="43"/>
        <v>0</v>
      </c>
      <c r="S208" s="698">
        <f t="shared" si="44"/>
        <v>0</v>
      </c>
    </row>
    <row r="209" spans="1:19">
      <c r="A209" s="491"/>
      <c r="B209" s="348"/>
      <c r="C209" s="313">
        <f t="shared" si="35"/>
        <v>1</v>
      </c>
      <c r="D209" s="1129"/>
      <c r="E209" s="313">
        <f t="shared" si="36"/>
        <v>1</v>
      </c>
      <c r="F209" s="1129"/>
      <c r="G209" s="313">
        <f t="shared" si="37"/>
        <v>0.02</v>
      </c>
      <c r="H209" s="1129"/>
      <c r="I209" s="313">
        <f t="shared" si="38"/>
        <v>1</v>
      </c>
      <c r="J209" s="1129"/>
      <c r="K209" s="313">
        <f t="shared" si="39"/>
        <v>1</v>
      </c>
      <c r="L209" s="1129"/>
      <c r="M209" s="313">
        <f t="shared" si="40"/>
        <v>1</v>
      </c>
      <c r="N209" s="1129"/>
      <c r="O209" s="313">
        <f t="shared" si="41"/>
        <v>1</v>
      </c>
      <c r="P209" s="1129"/>
      <c r="Q209" s="313">
        <f t="shared" si="42"/>
        <v>0</v>
      </c>
      <c r="R209" s="1125">
        <f t="shared" si="43"/>
        <v>0</v>
      </c>
      <c r="S209" s="698">
        <f t="shared" si="44"/>
        <v>0</v>
      </c>
    </row>
    <row r="210" spans="1:19">
      <c r="A210" s="491"/>
      <c r="B210" s="348"/>
      <c r="C210" s="313">
        <f t="shared" si="35"/>
        <v>1</v>
      </c>
      <c r="D210" s="1129"/>
      <c r="E210" s="313">
        <f t="shared" si="36"/>
        <v>1</v>
      </c>
      <c r="F210" s="1129"/>
      <c r="G210" s="313">
        <f t="shared" si="37"/>
        <v>0.02</v>
      </c>
      <c r="H210" s="1129"/>
      <c r="I210" s="313">
        <f t="shared" si="38"/>
        <v>1</v>
      </c>
      <c r="J210" s="1129"/>
      <c r="K210" s="313">
        <f t="shared" si="39"/>
        <v>1</v>
      </c>
      <c r="L210" s="1129"/>
      <c r="M210" s="313">
        <f t="shared" si="40"/>
        <v>1</v>
      </c>
      <c r="N210" s="1129"/>
      <c r="O210" s="313">
        <f t="shared" si="41"/>
        <v>1</v>
      </c>
      <c r="P210" s="1129"/>
      <c r="Q210" s="313">
        <f t="shared" si="42"/>
        <v>0</v>
      </c>
      <c r="R210" s="1125">
        <f t="shared" si="43"/>
        <v>0</v>
      </c>
      <c r="S210" s="698">
        <f t="shared" si="44"/>
        <v>0</v>
      </c>
    </row>
    <row r="211" spans="1:19">
      <c r="A211" s="491"/>
      <c r="B211" s="348"/>
      <c r="C211" s="313">
        <f t="shared" si="35"/>
        <v>1</v>
      </c>
      <c r="D211" s="1129"/>
      <c r="E211" s="313">
        <f t="shared" si="36"/>
        <v>1</v>
      </c>
      <c r="F211" s="1129"/>
      <c r="G211" s="313">
        <f t="shared" si="37"/>
        <v>0.02</v>
      </c>
      <c r="H211" s="1129"/>
      <c r="I211" s="313">
        <f t="shared" si="38"/>
        <v>1</v>
      </c>
      <c r="J211" s="1129"/>
      <c r="K211" s="313">
        <f t="shared" si="39"/>
        <v>1</v>
      </c>
      <c r="L211" s="1129"/>
      <c r="M211" s="313">
        <f t="shared" si="40"/>
        <v>1</v>
      </c>
      <c r="N211" s="1129"/>
      <c r="O211" s="313">
        <f t="shared" si="41"/>
        <v>1</v>
      </c>
      <c r="P211" s="1129"/>
      <c r="Q211" s="313">
        <f t="shared" si="42"/>
        <v>0</v>
      </c>
      <c r="R211" s="1125">
        <f t="shared" si="43"/>
        <v>0</v>
      </c>
      <c r="S211" s="698">
        <f t="shared" si="44"/>
        <v>0</v>
      </c>
    </row>
    <row r="212" spans="1:19">
      <c r="A212" s="491"/>
      <c r="B212" s="348"/>
      <c r="C212" s="313">
        <f t="shared" si="35"/>
        <v>1</v>
      </c>
      <c r="D212" s="1129"/>
      <c r="E212" s="313">
        <f t="shared" si="36"/>
        <v>1</v>
      </c>
      <c r="F212" s="1129"/>
      <c r="G212" s="313">
        <f t="shared" si="37"/>
        <v>0.02</v>
      </c>
      <c r="H212" s="1129"/>
      <c r="I212" s="313">
        <f t="shared" si="38"/>
        <v>1</v>
      </c>
      <c r="J212" s="1129"/>
      <c r="K212" s="313">
        <f t="shared" si="39"/>
        <v>1</v>
      </c>
      <c r="L212" s="1129"/>
      <c r="M212" s="313">
        <f t="shared" si="40"/>
        <v>1</v>
      </c>
      <c r="N212" s="1129"/>
      <c r="O212" s="313">
        <f t="shared" si="41"/>
        <v>1</v>
      </c>
      <c r="P212" s="1129"/>
      <c r="Q212" s="313">
        <f t="shared" si="42"/>
        <v>0</v>
      </c>
      <c r="R212" s="1125">
        <f t="shared" si="43"/>
        <v>0</v>
      </c>
      <c r="S212" s="698">
        <f t="shared" si="44"/>
        <v>0</v>
      </c>
    </row>
    <row r="213" spans="1:19">
      <c r="A213" s="491"/>
      <c r="B213" s="348"/>
      <c r="C213" s="313">
        <f t="shared" si="35"/>
        <v>1</v>
      </c>
      <c r="D213" s="1129"/>
      <c r="E213" s="313">
        <f t="shared" si="36"/>
        <v>1</v>
      </c>
      <c r="F213" s="1129"/>
      <c r="G213" s="313">
        <f t="shared" si="37"/>
        <v>0.02</v>
      </c>
      <c r="H213" s="1129"/>
      <c r="I213" s="313">
        <f t="shared" si="38"/>
        <v>1</v>
      </c>
      <c r="J213" s="1129"/>
      <c r="K213" s="313">
        <f t="shared" si="39"/>
        <v>1</v>
      </c>
      <c r="L213" s="1129"/>
      <c r="M213" s="313">
        <f t="shared" si="40"/>
        <v>1</v>
      </c>
      <c r="N213" s="1129"/>
      <c r="O213" s="313">
        <f t="shared" si="41"/>
        <v>1</v>
      </c>
      <c r="P213" s="1129"/>
      <c r="Q213" s="313">
        <f t="shared" si="42"/>
        <v>0</v>
      </c>
      <c r="R213" s="1125">
        <f t="shared" si="43"/>
        <v>0</v>
      </c>
      <c r="S213" s="698">
        <f t="shared" si="44"/>
        <v>0</v>
      </c>
    </row>
    <row r="214" spans="1:19">
      <c r="A214" s="491"/>
      <c r="B214" s="348"/>
      <c r="C214" s="313">
        <f t="shared" si="35"/>
        <v>1</v>
      </c>
      <c r="D214" s="1129"/>
      <c r="E214" s="313">
        <f t="shared" si="36"/>
        <v>1</v>
      </c>
      <c r="F214" s="1129"/>
      <c r="G214" s="313">
        <f t="shared" si="37"/>
        <v>0.02</v>
      </c>
      <c r="H214" s="1129"/>
      <c r="I214" s="313">
        <f t="shared" si="38"/>
        <v>1</v>
      </c>
      <c r="J214" s="1129"/>
      <c r="K214" s="313">
        <f t="shared" si="39"/>
        <v>1</v>
      </c>
      <c r="L214" s="1129"/>
      <c r="M214" s="313">
        <f t="shared" si="40"/>
        <v>1</v>
      </c>
      <c r="N214" s="1129"/>
      <c r="O214" s="313">
        <f t="shared" si="41"/>
        <v>1</v>
      </c>
      <c r="P214" s="1129"/>
      <c r="Q214" s="313">
        <f t="shared" si="42"/>
        <v>0</v>
      </c>
      <c r="R214" s="1125">
        <f t="shared" si="43"/>
        <v>0</v>
      </c>
      <c r="S214" s="698">
        <f t="shared" si="44"/>
        <v>0</v>
      </c>
    </row>
    <row r="215" spans="1:19">
      <c r="A215" s="491"/>
      <c r="B215" s="348"/>
      <c r="C215" s="313">
        <f t="shared" si="35"/>
        <v>1</v>
      </c>
      <c r="D215" s="1129"/>
      <c r="E215" s="313">
        <f t="shared" si="36"/>
        <v>1</v>
      </c>
      <c r="F215" s="1129"/>
      <c r="G215" s="313">
        <f t="shared" si="37"/>
        <v>0.02</v>
      </c>
      <c r="H215" s="1129"/>
      <c r="I215" s="313">
        <f t="shared" si="38"/>
        <v>1</v>
      </c>
      <c r="J215" s="1129"/>
      <c r="K215" s="313">
        <f t="shared" si="39"/>
        <v>1</v>
      </c>
      <c r="L215" s="1129"/>
      <c r="M215" s="313">
        <f t="shared" si="40"/>
        <v>1</v>
      </c>
      <c r="N215" s="1129"/>
      <c r="O215" s="313">
        <f t="shared" si="41"/>
        <v>1</v>
      </c>
      <c r="P215" s="1129"/>
      <c r="Q215" s="313">
        <f t="shared" si="42"/>
        <v>0</v>
      </c>
      <c r="R215" s="1125">
        <f t="shared" si="43"/>
        <v>0</v>
      </c>
      <c r="S215" s="698">
        <f t="shared" si="44"/>
        <v>0</v>
      </c>
    </row>
    <row r="216" spans="1:19">
      <c r="A216" s="491"/>
      <c r="B216" s="348"/>
      <c r="C216" s="313">
        <f t="shared" si="35"/>
        <v>1</v>
      </c>
      <c r="D216" s="1129"/>
      <c r="E216" s="313">
        <f t="shared" si="36"/>
        <v>1</v>
      </c>
      <c r="F216" s="1129"/>
      <c r="G216" s="313">
        <f t="shared" si="37"/>
        <v>0.02</v>
      </c>
      <c r="H216" s="1129"/>
      <c r="I216" s="313">
        <f t="shared" si="38"/>
        <v>1</v>
      </c>
      <c r="J216" s="1129"/>
      <c r="K216" s="313">
        <f t="shared" si="39"/>
        <v>1</v>
      </c>
      <c r="L216" s="1129"/>
      <c r="M216" s="313">
        <f t="shared" si="40"/>
        <v>1</v>
      </c>
      <c r="N216" s="1129"/>
      <c r="O216" s="313">
        <f t="shared" si="41"/>
        <v>1</v>
      </c>
      <c r="P216" s="1129"/>
      <c r="Q216" s="313">
        <f t="shared" si="42"/>
        <v>0</v>
      </c>
      <c r="R216" s="1125">
        <f t="shared" si="43"/>
        <v>0</v>
      </c>
      <c r="S216" s="698">
        <f t="shared" si="44"/>
        <v>0</v>
      </c>
    </row>
    <row r="217" spans="1:19">
      <c r="A217" s="491"/>
      <c r="B217" s="348"/>
      <c r="C217" s="313">
        <f t="shared" si="35"/>
        <v>1</v>
      </c>
      <c r="D217" s="1129"/>
      <c r="E217" s="313">
        <f t="shared" si="36"/>
        <v>1</v>
      </c>
      <c r="F217" s="1129"/>
      <c r="G217" s="313">
        <f t="shared" si="37"/>
        <v>0.02</v>
      </c>
      <c r="H217" s="1129"/>
      <c r="I217" s="313">
        <f t="shared" si="38"/>
        <v>1</v>
      </c>
      <c r="J217" s="1129"/>
      <c r="K217" s="313">
        <f t="shared" si="39"/>
        <v>1</v>
      </c>
      <c r="L217" s="1129"/>
      <c r="M217" s="313">
        <f t="shared" si="40"/>
        <v>1</v>
      </c>
      <c r="N217" s="1129"/>
      <c r="O217" s="313">
        <f t="shared" si="41"/>
        <v>1</v>
      </c>
      <c r="P217" s="1129"/>
      <c r="Q217" s="313">
        <f t="shared" si="42"/>
        <v>0</v>
      </c>
      <c r="R217" s="1125">
        <f t="shared" si="43"/>
        <v>0</v>
      </c>
      <c r="S217" s="698">
        <f t="shared" si="44"/>
        <v>0</v>
      </c>
    </row>
    <row r="218" spans="1:19">
      <c r="A218" s="491"/>
      <c r="B218" s="348"/>
      <c r="C218" s="313">
        <f t="shared" ref="C218:C281" si="45">IF(B218="",1,(LOOKUP(B218,$3:$3,$4:$4)-LOOKUP($B$24,$3:$3,$4:$4)+100)/100)</f>
        <v>1</v>
      </c>
      <c r="D218" s="1129"/>
      <c r="E218" s="313">
        <f t="shared" ref="E218:E281" si="46">(SUMIF($5:$5,D218,$6:$6)-SUMIF($5:$5,$D$24,$6:$6)+100)/100</f>
        <v>1</v>
      </c>
      <c r="F218" s="1129"/>
      <c r="G218" s="313">
        <f t="shared" ref="G218:G281" si="47">(SUMIF($7:$7,F218,$8:$8)-SUMIF($7:$7,$F$24,$8:$8)+100)/100</f>
        <v>0.02</v>
      </c>
      <c r="H218" s="1129"/>
      <c r="I218" s="313">
        <f t="shared" ref="I218:I281" si="48">(SUMIF($9:$9,H218,$10:$10)-SUMIF($9:$9,$H$24,$10:$10)+100)/100</f>
        <v>1</v>
      </c>
      <c r="J218" s="1129"/>
      <c r="K218" s="313">
        <f t="shared" ref="K218:K281" si="49">(SUMIF($11:$11,J218,$12:$12)-SUMIF($11:$11,$J$24,$12:$12)+100)/100</f>
        <v>1</v>
      </c>
      <c r="L218" s="1129"/>
      <c r="M218" s="313">
        <f t="shared" ref="M218:M281" si="50">(SUMIF($13:$13,L218,$14:$14)-SUMIF($13:$13,$L$24,$14:$14)+100)/100</f>
        <v>1</v>
      </c>
      <c r="N218" s="1129"/>
      <c r="O218" s="313">
        <f t="shared" ref="O218:O281" si="51">(SUMIF($15:$15,N218,$16:$16)-SUMIF($15:$15,$N$24,$16:$16)+100)/100</f>
        <v>1</v>
      </c>
      <c r="P218" s="1129"/>
      <c r="Q218" s="313">
        <f t="shared" ref="Q218:Q281" si="52">(SUMIF($17:$17,P218,$18:$18)-SUMIF($17:$17,$P$24,$18:$18)+100)/100</f>
        <v>0</v>
      </c>
      <c r="R218" s="1125">
        <f t="shared" ref="R218:R281" si="53">IF(B218="",0,ROUND($R$24*C218*E218*G218*I218*K218*M218*O218*Q218,0))</f>
        <v>0</v>
      </c>
      <c r="S218" s="698">
        <f t="shared" si="44"/>
        <v>0</v>
      </c>
    </row>
    <row r="219" spans="1:19">
      <c r="A219" s="491"/>
      <c r="B219" s="348"/>
      <c r="C219" s="313">
        <f t="shared" si="45"/>
        <v>1</v>
      </c>
      <c r="D219" s="1129"/>
      <c r="E219" s="313">
        <f t="shared" si="46"/>
        <v>1</v>
      </c>
      <c r="F219" s="1129"/>
      <c r="G219" s="313">
        <f t="shared" si="47"/>
        <v>0.02</v>
      </c>
      <c r="H219" s="1129"/>
      <c r="I219" s="313">
        <f t="shared" si="48"/>
        <v>1</v>
      </c>
      <c r="J219" s="1129"/>
      <c r="K219" s="313">
        <f t="shared" si="49"/>
        <v>1</v>
      </c>
      <c r="L219" s="1129"/>
      <c r="M219" s="313">
        <f t="shared" si="50"/>
        <v>1</v>
      </c>
      <c r="N219" s="1129"/>
      <c r="O219" s="313">
        <f t="shared" si="51"/>
        <v>1</v>
      </c>
      <c r="P219" s="1129"/>
      <c r="Q219" s="313">
        <f t="shared" si="52"/>
        <v>0</v>
      </c>
      <c r="R219" s="1125">
        <f t="shared" si="53"/>
        <v>0</v>
      </c>
      <c r="S219" s="698">
        <f t="shared" si="44"/>
        <v>0</v>
      </c>
    </row>
    <row r="220" spans="1:19">
      <c r="A220" s="491"/>
      <c r="B220" s="348"/>
      <c r="C220" s="313">
        <f t="shared" si="45"/>
        <v>1</v>
      </c>
      <c r="D220" s="1129"/>
      <c r="E220" s="313">
        <f t="shared" si="46"/>
        <v>1</v>
      </c>
      <c r="F220" s="1129"/>
      <c r="G220" s="313">
        <f t="shared" si="47"/>
        <v>0.02</v>
      </c>
      <c r="H220" s="1129"/>
      <c r="I220" s="313">
        <f t="shared" si="48"/>
        <v>1</v>
      </c>
      <c r="J220" s="1129"/>
      <c r="K220" s="313">
        <f t="shared" si="49"/>
        <v>1</v>
      </c>
      <c r="L220" s="1129"/>
      <c r="M220" s="313">
        <f t="shared" si="50"/>
        <v>1</v>
      </c>
      <c r="N220" s="1129"/>
      <c r="O220" s="313">
        <f t="shared" si="51"/>
        <v>1</v>
      </c>
      <c r="P220" s="1129"/>
      <c r="Q220" s="313">
        <f t="shared" si="52"/>
        <v>0</v>
      </c>
      <c r="R220" s="1125">
        <f t="shared" si="53"/>
        <v>0</v>
      </c>
      <c r="S220" s="698">
        <f t="shared" si="44"/>
        <v>0</v>
      </c>
    </row>
    <row r="221" spans="1:19">
      <c r="A221" s="491"/>
      <c r="B221" s="348"/>
      <c r="C221" s="313">
        <f t="shared" si="45"/>
        <v>1</v>
      </c>
      <c r="D221" s="1129"/>
      <c r="E221" s="313">
        <f t="shared" si="46"/>
        <v>1</v>
      </c>
      <c r="F221" s="1129"/>
      <c r="G221" s="313">
        <f t="shared" si="47"/>
        <v>0.02</v>
      </c>
      <c r="H221" s="1129"/>
      <c r="I221" s="313">
        <f t="shared" si="48"/>
        <v>1</v>
      </c>
      <c r="J221" s="1129"/>
      <c r="K221" s="313">
        <f t="shared" si="49"/>
        <v>1</v>
      </c>
      <c r="L221" s="1129"/>
      <c r="M221" s="313">
        <f t="shared" si="50"/>
        <v>1</v>
      </c>
      <c r="N221" s="1129"/>
      <c r="O221" s="313">
        <f t="shared" si="51"/>
        <v>1</v>
      </c>
      <c r="P221" s="1129"/>
      <c r="Q221" s="313">
        <f t="shared" si="52"/>
        <v>0</v>
      </c>
      <c r="R221" s="1125">
        <f t="shared" si="53"/>
        <v>0</v>
      </c>
      <c r="S221" s="698">
        <f t="shared" si="44"/>
        <v>0</v>
      </c>
    </row>
    <row r="222" spans="1:19">
      <c r="A222" s="491"/>
      <c r="B222" s="348"/>
      <c r="C222" s="313">
        <f t="shared" si="45"/>
        <v>1</v>
      </c>
      <c r="D222" s="1129"/>
      <c r="E222" s="313">
        <f t="shared" si="46"/>
        <v>1</v>
      </c>
      <c r="F222" s="1129"/>
      <c r="G222" s="313">
        <f t="shared" si="47"/>
        <v>0.02</v>
      </c>
      <c r="H222" s="1129"/>
      <c r="I222" s="313">
        <f t="shared" si="48"/>
        <v>1</v>
      </c>
      <c r="J222" s="1129"/>
      <c r="K222" s="313">
        <f t="shared" si="49"/>
        <v>1</v>
      </c>
      <c r="L222" s="1129"/>
      <c r="M222" s="313">
        <f t="shared" si="50"/>
        <v>1</v>
      </c>
      <c r="N222" s="1129"/>
      <c r="O222" s="313">
        <f t="shared" si="51"/>
        <v>1</v>
      </c>
      <c r="P222" s="1129"/>
      <c r="Q222" s="313">
        <f t="shared" si="52"/>
        <v>0</v>
      </c>
      <c r="R222" s="1125">
        <f t="shared" si="53"/>
        <v>0</v>
      </c>
      <c r="S222" s="698">
        <f t="shared" si="44"/>
        <v>0</v>
      </c>
    </row>
    <row r="223" spans="1:19">
      <c r="A223" s="491"/>
      <c r="B223" s="348"/>
      <c r="C223" s="313">
        <f t="shared" si="45"/>
        <v>1</v>
      </c>
      <c r="D223" s="1129"/>
      <c r="E223" s="313">
        <f t="shared" si="46"/>
        <v>1</v>
      </c>
      <c r="F223" s="1129"/>
      <c r="G223" s="313">
        <f t="shared" si="47"/>
        <v>0.02</v>
      </c>
      <c r="H223" s="1129"/>
      <c r="I223" s="313">
        <f t="shared" si="48"/>
        <v>1</v>
      </c>
      <c r="J223" s="1129"/>
      <c r="K223" s="313">
        <f t="shared" si="49"/>
        <v>1</v>
      </c>
      <c r="L223" s="1129"/>
      <c r="M223" s="313">
        <f t="shared" si="50"/>
        <v>1</v>
      </c>
      <c r="N223" s="1129"/>
      <c r="O223" s="313">
        <f t="shared" si="51"/>
        <v>1</v>
      </c>
      <c r="P223" s="1129"/>
      <c r="Q223" s="313">
        <f t="shared" si="52"/>
        <v>0</v>
      </c>
      <c r="R223" s="1125">
        <f t="shared" si="53"/>
        <v>0</v>
      </c>
      <c r="S223" s="698">
        <f t="shared" ref="S223:S286" si="54">ROUND(R223*B223/10000,0)</f>
        <v>0</v>
      </c>
    </row>
    <row r="224" spans="1:19">
      <c r="A224" s="491"/>
      <c r="B224" s="348"/>
      <c r="C224" s="313">
        <f t="shared" si="45"/>
        <v>1</v>
      </c>
      <c r="D224" s="1129"/>
      <c r="E224" s="313">
        <f t="shared" si="46"/>
        <v>1</v>
      </c>
      <c r="F224" s="1129"/>
      <c r="G224" s="313">
        <f t="shared" si="47"/>
        <v>0.02</v>
      </c>
      <c r="H224" s="1129"/>
      <c r="I224" s="313">
        <f t="shared" si="48"/>
        <v>1</v>
      </c>
      <c r="J224" s="1129"/>
      <c r="K224" s="313">
        <f t="shared" si="49"/>
        <v>1</v>
      </c>
      <c r="L224" s="1129"/>
      <c r="M224" s="313">
        <f t="shared" si="50"/>
        <v>1</v>
      </c>
      <c r="N224" s="1129"/>
      <c r="O224" s="313">
        <f t="shared" si="51"/>
        <v>1</v>
      </c>
      <c r="P224" s="1129"/>
      <c r="Q224" s="313">
        <f t="shared" si="52"/>
        <v>0</v>
      </c>
      <c r="R224" s="1125">
        <f t="shared" si="53"/>
        <v>0</v>
      </c>
      <c r="S224" s="698">
        <f t="shared" si="54"/>
        <v>0</v>
      </c>
    </row>
    <row r="225" spans="1:19">
      <c r="A225" s="491"/>
      <c r="B225" s="348"/>
      <c r="C225" s="313">
        <f t="shared" si="45"/>
        <v>1</v>
      </c>
      <c r="D225" s="1129"/>
      <c r="E225" s="313">
        <f t="shared" si="46"/>
        <v>1</v>
      </c>
      <c r="F225" s="1129"/>
      <c r="G225" s="313">
        <f t="shared" si="47"/>
        <v>0.02</v>
      </c>
      <c r="H225" s="1129"/>
      <c r="I225" s="313">
        <f t="shared" si="48"/>
        <v>1</v>
      </c>
      <c r="J225" s="1129"/>
      <c r="K225" s="313">
        <f t="shared" si="49"/>
        <v>1</v>
      </c>
      <c r="L225" s="1129"/>
      <c r="M225" s="313">
        <f t="shared" si="50"/>
        <v>1</v>
      </c>
      <c r="N225" s="1129"/>
      <c r="O225" s="313">
        <f t="shared" si="51"/>
        <v>1</v>
      </c>
      <c r="P225" s="1129"/>
      <c r="Q225" s="313">
        <f t="shared" si="52"/>
        <v>0</v>
      </c>
      <c r="R225" s="1125">
        <f t="shared" si="53"/>
        <v>0</v>
      </c>
      <c r="S225" s="698">
        <f t="shared" si="54"/>
        <v>0</v>
      </c>
    </row>
    <row r="226" spans="1:19">
      <c r="A226" s="491"/>
      <c r="B226" s="348"/>
      <c r="C226" s="313">
        <f t="shared" si="45"/>
        <v>1</v>
      </c>
      <c r="D226" s="1129"/>
      <c r="E226" s="313">
        <f t="shared" si="46"/>
        <v>1</v>
      </c>
      <c r="F226" s="1129"/>
      <c r="G226" s="313">
        <f t="shared" si="47"/>
        <v>0.02</v>
      </c>
      <c r="H226" s="1129"/>
      <c r="I226" s="313">
        <f t="shared" si="48"/>
        <v>1</v>
      </c>
      <c r="J226" s="1129"/>
      <c r="K226" s="313">
        <f t="shared" si="49"/>
        <v>1</v>
      </c>
      <c r="L226" s="1129"/>
      <c r="M226" s="313">
        <f t="shared" si="50"/>
        <v>1</v>
      </c>
      <c r="N226" s="1129"/>
      <c r="O226" s="313">
        <f t="shared" si="51"/>
        <v>1</v>
      </c>
      <c r="P226" s="1129"/>
      <c r="Q226" s="313">
        <f t="shared" si="52"/>
        <v>0</v>
      </c>
      <c r="R226" s="1125">
        <f t="shared" si="53"/>
        <v>0</v>
      </c>
      <c r="S226" s="698">
        <f t="shared" si="54"/>
        <v>0</v>
      </c>
    </row>
    <row r="227" spans="1:19">
      <c r="A227" s="491"/>
      <c r="B227" s="348"/>
      <c r="C227" s="313">
        <f t="shared" si="45"/>
        <v>1</v>
      </c>
      <c r="D227" s="1129"/>
      <c r="E227" s="313">
        <f t="shared" si="46"/>
        <v>1</v>
      </c>
      <c r="F227" s="1129"/>
      <c r="G227" s="313">
        <f t="shared" si="47"/>
        <v>0.02</v>
      </c>
      <c r="H227" s="1129"/>
      <c r="I227" s="313">
        <f t="shared" si="48"/>
        <v>1</v>
      </c>
      <c r="J227" s="1129"/>
      <c r="K227" s="313">
        <f t="shared" si="49"/>
        <v>1</v>
      </c>
      <c r="L227" s="1129"/>
      <c r="M227" s="313">
        <f t="shared" si="50"/>
        <v>1</v>
      </c>
      <c r="N227" s="1129"/>
      <c r="O227" s="313">
        <f t="shared" si="51"/>
        <v>1</v>
      </c>
      <c r="P227" s="1129"/>
      <c r="Q227" s="313">
        <f t="shared" si="52"/>
        <v>0</v>
      </c>
      <c r="R227" s="1125">
        <f t="shared" si="53"/>
        <v>0</v>
      </c>
      <c r="S227" s="698">
        <f t="shared" si="54"/>
        <v>0</v>
      </c>
    </row>
    <row r="228" spans="1:19">
      <c r="A228" s="491"/>
      <c r="B228" s="348"/>
      <c r="C228" s="313">
        <f t="shared" si="45"/>
        <v>1</v>
      </c>
      <c r="D228" s="1129"/>
      <c r="E228" s="313">
        <f t="shared" si="46"/>
        <v>1</v>
      </c>
      <c r="F228" s="1129"/>
      <c r="G228" s="313">
        <f t="shared" si="47"/>
        <v>0.02</v>
      </c>
      <c r="H228" s="1129"/>
      <c r="I228" s="313">
        <f t="shared" si="48"/>
        <v>1</v>
      </c>
      <c r="J228" s="1129"/>
      <c r="K228" s="313">
        <f t="shared" si="49"/>
        <v>1</v>
      </c>
      <c r="L228" s="1129"/>
      <c r="M228" s="313">
        <f t="shared" si="50"/>
        <v>1</v>
      </c>
      <c r="N228" s="1129"/>
      <c r="O228" s="313">
        <f t="shared" si="51"/>
        <v>1</v>
      </c>
      <c r="P228" s="1129"/>
      <c r="Q228" s="313">
        <f t="shared" si="52"/>
        <v>0</v>
      </c>
      <c r="R228" s="1125">
        <f t="shared" si="53"/>
        <v>0</v>
      </c>
      <c r="S228" s="698">
        <f t="shared" si="54"/>
        <v>0</v>
      </c>
    </row>
    <row r="229" spans="1:19">
      <c r="A229" s="491"/>
      <c r="B229" s="348"/>
      <c r="C229" s="313">
        <f t="shared" si="45"/>
        <v>1</v>
      </c>
      <c r="D229" s="1129"/>
      <c r="E229" s="313">
        <f t="shared" si="46"/>
        <v>1</v>
      </c>
      <c r="F229" s="1129"/>
      <c r="G229" s="313">
        <f t="shared" si="47"/>
        <v>0.02</v>
      </c>
      <c r="H229" s="1129"/>
      <c r="I229" s="313">
        <f t="shared" si="48"/>
        <v>1</v>
      </c>
      <c r="J229" s="1129"/>
      <c r="K229" s="313">
        <f t="shared" si="49"/>
        <v>1</v>
      </c>
      <c r="L229" s="1129"/>
      <c r="M229" s="313">
        <f t="shared" si="50"/>
        <v>1</v>
      </c>
      <c r="N229" s="1129"/>
      <c r="O229" s="313">
        <f t="shared" si="51"/>
        <v>1</v>
      </c>
      <c r="P229" s="1129"/>
      <c r="Q229" s="313">
        <f t="shared" si="52"/>
        <v>0</v>
      </c>
      <c r="R229" s="1125">
        <f t="shared" si="53"/>
        <v>0</v>
      </c>
      <c r="S229" s="698">
        <f t="shared" si="54"/>
        <v>0</v>
      </c>
    </row>
    <row r="230" spans="1:19">
      <c r="A230" s="491"/>
      <c r="B230" s="348"/>
      <c r="C230" s="313">
        <f t="shared" si="45"/>
        <v>1</v>
      </c>
      <c r="D230" s="1129"/>
      <c r="E230" s="313">
        <f t="shared" si="46"/>
        <v>1</v>
      </c>
      <c r="F230" s="1129"/>
      <c r="G230" s="313">
        <f t="shared" si="47"/>
        <v>0.02</v>
      </c>
      <c r="H230" s="1129"/>
      <c r="I230" s="313">
        <f t="shared" si="48"/>
        <v>1</v>
      </c>
      <c r="J230" s="1129"/>
      <c r="K230" s="313">
        <f t="shared" si="49"/>
        <v>1</v>
      </c>
      <c r="L230" s="1129"/>
      <c r="M230" s="313">
        <f t="shared" si="50"/>
        <v>1</v>
      </c>
      <c r="N230" s="1129"/>
      <c r="O230" s="313">
        <f t="shared" si="51"/>
        <v>1</v>
      </c>
      <c r="P230" s="1129"/>
      <c r="Q230" s="313">
        <f t="shared" si="52"/>
        <v>0</v>
      </c>
      <c r="R230" s="1125">
        <f t="shared" si="53"/>
        <v>0</v>
      </c>
      <c r="S230" s="698">
        <f t="shared" si="54"/>
        <v>0</v>
      </c>
    </row>
    <row r="231" spans="1:19">
      <c r="A231" s="491"/>
      <c r="B231" s="348"/>
      <c r="C231" s="313">
        <f t="shared" si="45"/>
        <v>1</v>
      </c>
      <c r="D231" s="1129"/>
      <c r="E231" s="313">
        <f t="shared" si="46"/>
        <v>1</v>
      </c>
      <c r="F231" s="1129"/>
      <c r="G231" s="313">
        <f t="shared" si="47"/>
        <v>0.02</v>
      </c>
      <c r="H231" s="1129"/>
      <c r="I231" s="313">
        <f t="shared" si="48"/>
        <v>1</v>
      </c>
      <c r="J231" s="1129"/>
      <c r="K231" s="313">
        <f t="shared" si="49"/>
        <v>1</v>
      </c>
      <c r="L231" s="1129"/>
      <c r="M231" s="313">
        <f t="shared" si="50"/>
        <v>1</v>
      </c>
      <c r="N231" s="1129"/>
      <c r="O231" s="313">
        <f t="shared" si="51"/>
        <v>1</v>
      </c>
      <c r="P231" s="1129"/>
      <c r="Q231" s="313">
        <f t="shared" si="52"/>
        <v>0</v>
      </c>
      <c r="R231" s="1125">
        <f t="shared" si="53"/>
        <v>0</v>
      </c>
      <c r="S231" s="698">
        <f t="shared" si="54"/>
        <v>0</v>
      </c>
    </row>
    <row r="232" spans="1:19">
      <c r="A232" s="491"/>
      <c r="B232" s="348"/>
      <c r="C232" s="313">
        <f t="shared" si="45"/>
        <v>1</v>
      </c>
      <c r="D232" s="1129"/>
      <c r="E232" s="313">
        <f t="shared" si="46"/>
        <v>1</v>
      </c>
      <c r="F232" s="1129"/>
      <c r="G232" s="313">
        <f t="shared" si="47"/>
        <v>0.02</v>
      </c>
      <c r="H232" s="1129"/>
      <c r="I232" s="313">
        <f t="shared" si="48"/>
        <v>1</v>
      </c>
      <c r="J232" s="1129"/>
      <c r="K232" s="313">
        <f t="shared" si="49"/>
        <v>1</v>
      </c>
      <c r="L232" s="1129"/>
      <c r="M232" s="313">
        <f t="shared" si="50"/>
        <v>1</v>
      </c>
      <c r="N232" s="1129"/>
      <c r="O232" s="313">
        <f t="shared" si="51"/>
        <v>1</v>
      </c>
      <c r="P232" s="1129"/>
      <c r="Q232" s="313">
        <f t="shared" si="52"/>
        <v>0</v>
      </c>
      <c r="R232" s="1125">
        <f t="shared" si="53"/>
        <v>0</v>
      </c>
      <c r="S232" s="698">
        <f t="shared" si="54"/>
        <v>0</v>
      </c>
    </row>
    <row r="233" spans="1:19">
      <c r="A233" s="491"/>
      <c r="B233" s="348"/>
      <c r="C233" s="313">
        <f t="shared" si="45"/>
        <v>1</v>
      </c>
      <c r="D233" s="1129"/>
      <c r="E233" s="313">
        <f t="shared" si="46"/>
        <v>1</v>
      </c>
      <c r="F233" s="1129"/>
      <c r="G233" s="313">
        <f t="shared" si="47"/>
        <v>0.02</v>
      </c>
      <c r="H233" s="1129"/>
      <c r="I233" s="313">
        <f t="shared" si="48"/>
        <v>1</v>
      </c>
      <c r="J233" s="1129"/>
      <c r="K233" s="313">
        <f t="shared" si="49"/>
        <v>1</v>
      </c>
      <c r="L233" s="1129"/>
      <c r="M233" s="313">
        <f t="shared" si="50"/>
        <v>1</v>
      </c>
      <c r="N233" s="1129"/>
      <c r="O233" s="313">
        <f t="shared" si="51"/>
        <v>1</v>
      </c>
      <c r="P233" s="1129"/>
      <c r="Q233" s="313">
        <f t="shared" si="52"/>
        <v>0</v>
      </c>
      <c r="R233" s="1125">
        <f t="shared" si="53"/>
        <v>0</v>
      </c>
      <c r="S233" s="698">
        <f t="shared" si="54"/>
        <v>0</v>
      </c>
    </row>
    <row r="234" spans="1:19">
      <c r="A234" s="491"/>
      <c r="B234" s="348"/>
      <c r="C234" s="313">
        <f t="shared" si="45"/>
        <v>1</v>
      </c>
      <c r="D234" s="1129"/>
      <c r="E234" s="313">
        <f t="shared" si="46"/>
        <v>1</v>
      </c>
      <c r="F234" s="1129"/>
      <c r="G234" s="313">
        <f t="shared" si="47"/>
        <v>0.02</v>
      </c>
      <c r="H234" s="1129"/>
      <c r="I234" s="313">
        <f t="shared" si="48"/>
        <v>1</v>
      </c>
      <c r="J234" s="1129"/>
      <c r="K234" s="313">
        <f t="shared" si="49"/>
        <v>1</v>
      </c>
      <c r="L234" s="1129"/>
      <c r="M234" s="313">
        <f t="shared" si="50"/>
        <v>1</v>
      </c>
      <c r="N234" s="1129"/>
      <c r="O234" s="313">
        <f t="shared" si="51"/>
        <v>1</v>
      </c>
      <c r="P234" s="1129"/>
      <c r="Q234" s="313">
        <f t="shared" si="52"/>
        <v>0</v>
      </c>
      <c r="R234" s="1125">
        <f t="shared" si="53"/>
        <v>0</v>
      </c>
      <c r="S234" s="698">
        <f t="shared" si="54"/>
        <v>0</v>
      </c>
    </row>
    <row r="235" spans="1:19">
      <c r="A235" s="491"/>
      <c r="B235" s="348"/>
      <c r="C235" s="313">
        <f t="shared" si="45"/>
        <v>1</v>
      </c>
      <c r="D235" s="1129"/>
      <c r="E235" s="313">
        <f t="shared" si="46"/>
        <v>1</v>
      </c>
      <c r="F235" s="1129"/>
      <c r="G235" s="313">
        <f t="shared" si="47"/>
        <v>0.02</v>
      </c>
      <c r="H235" s="1129"/>
      <c r="I235" s="313">
        <f t="shared" si="48"/>
        <v>1</v>
      </c>
      <c r="J235" s="1129"/>
      <c r="K235" s="313">
        <f t="shared" si="49"/>
        <v>1</v>
      </c>
      <c r="L235" s="1129"/>
      <c r="M235" s="313">
        <f t="shared" si="50"/>
        <v>1</v>
      </c>
      <c r="N235" s="1129"/>
      <c r="O235" s="313">
        <f t="shared" si="51"/>
        <v>1</v>
      </c>
      <c r="P235" s="1129"/>
      <c r="Q235" s="313">
        <f t="shared" si="52"/>
        <v>0</v>
      </c>
      <c r="R235" s="1125">
        <f t="shared" si="53"/>
        <v>0</v>
      </c>
      <c r="S235" s="698">
        <f t="shared" si="54"/>
        <v>0</v>
      </c>
    </row>
    <row r="236" spans="1:19">
      <c r="A236" s="491"/>
      <c r="B236" s="348"/>
      <c r="C236" s="313">
        <f t="shared" si="45"/>
        <v>1</v>
      </c>
      <c r="D236" s="1129"/>
      <c r="E236" s="313">
        <f t="shared" si="46"/>
        <v>1</v>
      </c>
      <c r="F236" s="1129"/>
      <c r="G236" s="313">
        <f t="shared" si="47"/>
        <v>0.02</v>
      </c>
      <c r="H236" s="1129"/>
      <c r="I236" s="313">
        <f t="shared" si="48"/>
        <v>1</v>
      </c>
      <c r="J236" s="1129"/>
      <c r="K236" s="313">
        <f t="shared" si="49"/>
        <v>1</v>
      </c>
      <c r="L236" s="1129"/>
      <c r="M236" s="313">
        <f t="shared" si="50"/>
        <v>1</v>
      </c>
      <c r="N236" s="1129"/>
      <c r="O236" s="313">
        <f t="shared" si="51"/>
        <v>1</v>
      </c>
      <c r="P236" s="1129"/>
      <c r="Q236" s="313">
        <f t="shared" si="52"/>
        <v>0</v>
      </c>
      <c r="R236" s="1125">
        <f t="shared" si="53"/>
        <v>0</v>
      </c>
      <c r="S236" s="698">
        <f t="shared" si="54"/>
        <v>0</v>
      </c>
    </row>
    <row r="237" spans="1:19">
      <c r="A237" s="491"/>
      <c r="B237" s="348"/>
      <c r="C237" s="313">
        <f t="shared" si="45"/>
        <v>1</v>
      </c>
      <c r="D237" s="1129"/>
      <c r="E237" s="313">
        <f t="shared" si="46"/>
        <v>1</v>
      </c>
      <c r="F237" s="1129"/>
      <c r="G237" s="313">
        <f t="shared" si="47"/>
        <v>0.02</v>
      </c>
      <c r="H237" s="1129"/>
      <c r="I237" s="313">
        <f t="shared" si="48"/>
        <v>1</v>
      </c>
      <c r="J237" s="1129"/>
      <c r="K237" s="313">
        <f t="shared" si="49"/>
        <v>1</v>
      </c>
      <c r="L237" s="1129"/>
      <c r="M237" s="313">
        <f t="shared" si="50"/>
        <v>1</v>
      </c>
      <c r="N237" s="1129"/>
      <c r="O237" s="313">
        <f t="shared" si="51"/>
        <v>1</v>
      </c>
      <c r="P237" s="1129"/>
      <c r="Q237" s="313">
        <f t="shared" si="52"/>
        <v>0</v>
      </c>
      <c r="R237" s="1125">
        <f t="shared" si="53"/>
        <v>0</v>
      </c>
      <c r="S237" s="698">
        <f t="shared" si="54"/>
        <v>0</v>
      </c>
    </row>
    <row r="238" spans="1:19">
      <c r="A238" s="491"/>
      <c r="B238" s="348"/>
      <c r="C238" s="313">
        <f t="shared" si="45"/>
        <v>1</v>
      </c>
      <c r="D238" s="1129"/>
      <c r="E238" s="313">
        <f t="shared" si="46"/>
        <v>1</v>
      </c>
      <c r="F238" s="1129"/>
      <c r="G238" s="313">
        <f t="shared" si="47"/>
        <v>0.02</v>
      </c>
      <c r="H238" s="1129"/>
      <c r="I238" s="313">
        <f t="shared" si="48"/>
        <v>1</v>
      </c>
      <c r="J238" s="1129"/>
      <c r="K238" s="313">
        <f t="shared" si="49"/>
        <v>1</v>
      </c>
      <c r="L238" s="1129"/>
      <c r="M238" s="313">
        <f t="shared" si="50"/>
        <v>1</v>
      </c>
      <c r="N238" s="1129"/>
      <c r="O238" s="313">
        <f t="shared" si="51"/>
        <v>1</v>
      </c>
      <c r="P238" s="1129"/>
      <c r="Q238" s="313">
        <f t="shared" si="52"/>
        <v>0</v>
      </c>
      <c r="R238" s="1125">
        <f t="shared" si="53"/>
        <v>0</v>
      </c>
      <c r="S238" s="698">
        <f t="shared" si="54"/>
        <v>0</v>
      </c>
    </row>
    <row r="239" spans="1:19">
      <c r="A239" s="491"/>
      <c r="B239" s="348"/>
      <c r="C239" s="313">
        <f t="shared" si="45"/>
        <v>1</v>
      </c>
      <c r="D239" s="1129"/>
      <c r="E239" s="313">
        <f t="shared" si="46"/>
        <v>1</v>
      </c>
      <c r="F239" s="1129"/>
      <c r="G239" s="313">
        <f t="shared" si="47"/>
        <v>0.02</v>
      </c>
      <c r="H239" s="1129"/>
      <c r="I239" s="313">
        <f t="shared" si="48"/>
        <v>1</v>
      </c>
      <c r="J239" s="1129"/>
      <c r="K239" s="313">
        <f t="shared" si="49"/>
        <v>1</v>
      </c>
      <c r="L239" s="1129"/>
      <c r="M239" s="313">
        <f t="shared" si="50"/>
        <v>1</v>
      </c>
      <c r="N239" s="1129"/>
      <c r="O239" s="313">
        <f t="shared" si="51"/>
        <v>1</v>
      </c>
      <c r="P239" s="1129"/>
      <c r="Q239" s="313">
        <f t="shared" si="52"/>
        <v>0</v>
      </c>
      <c r="R239" s="1125">
        <f t="shared" si="53"/>
        <v>0</v>
      </c>
      <c r="S239" s="698">
        <f t="shared" si="54"/>
        <v>0</v>
      </c>
    </row>
    <row r="240" spans="1:19">
      <c r="A240" s="491"/>
      <c r="B240" s="348"/>
      <c r="C240" s="313">
        <f t="shared" si="45"/>
        <v>1</v>
      </c>
      <c r="D240" s="1129"/>
      <c r="E240" s="313">
        <f t="shared" si="46"/>
        <v>1</v>
      </c>
      <c r="F240" s="1129"/>
      <c r="G240" s="313">
        <f t="shared" si="47"/>
        <v>0.02</v>
      </c>
      <c r="H240" s="1129"/>
      <c r="I240" s="313">
        <f t="shared" si="48"/>
        <v>1</v>
      </c>
      <c r="J240" s="1129"/>
      <c r="K240" s="313">
        <f t="shared" si="49"/>
        <v>1</v>
      </c>
      <c r="L240" s="1129"/>
      <c r="M240" s="313">
        <f t="shared" si="50"/>
        <v>1</v>
      </c>
      <c r="N240" s="1129"/>
      <c r="O240" s="313">
        <f t="shared" si="51"/>
        <v>1</v>
      </c>
      <c r="P240" s="1129"/>
      <c r="Q240" s="313">
        <f t="shared" si="52"/>
        <v>0</v>
      </c>
      <c r="R240" s="1125">
        <f t="shared" si="53"/>
        <v>0</v>
      </c>
      <c r="S240" s="698">
        <f t="shared" si="54"/>
        <v>0</v>
      </c>
    </row>
    <row r="241" spans="1:19">
      <c r="A241" s="491"/>
      <c r="B241" s="348"/>
      <c r="C241" s="313">
        <f t="shared" si="45"/>
        <v>1</v>
      </c>
      <c r="D241" s="1129"/>
      <c r="E241" s="313">
        <f t="shared" si="46"/>
        <v>1</v>
      </c>
      <c r="F241" s="1129"/>
      <c r="G241" s="313">
        <f t="shared" si="47"/>
        <v>0.02</v>
      </c>
      <c r="H241" s="1129"/>
      <c r="I241" s="313">
        <f t="shared" si="48"/>
        <v>1</v>
      </c>
      <c r="J241" s="1129"/>
      <c r="K241" s="313">
        <f t="shared" si="49"/>
        <v>1</v>
      </c>
      <c r="L241" s="1129"/>
      <c r="M241" s="313">
        <f t="shared" si="50"/>
        <v>1</v>
      </c>
      <c r="N241" s="1129"/>
      <c r="O241" s="313">
        <f t="shared" si="51"/>
        <v>1</v>
      </c>
      <c r="P241" s="1129"/>
      <c r="Q241" s="313">
        <f t="shared" si="52"/>
        <v>0</v>
      </c>
      <c r="R241" s="1125">
        <f t="shared" si="53"/>
        <v>0</v>
      </c>
      <c r="S241" s="698">
        <f t="shared" si="54"/>
        <v>0</v>
      </c>
    </row>
    <row r="242" spans="1:19">
      <c r="A242" s="491"/>
      <c r="B242" s="348"/>
      <c r="C242" s="313">
        <f t="shared" si="45"/>
        <v>1</v>
      </c>
      <c r="D242" s="1129"/>
      <c r="E242" s="313">
        <f t="shared" si="46"/>
        <v>1</v>
      </c>
      <c r="F242" s="1129"/>
      <c r="G242" s="313">
        <f t="shared" si="47"/>
        <v>0.02</v>
      </c>
      <c r="H242" s="1129"/>
      <c r="I242" s="313">
        <f t="shared" si="48"/>
        <v>1</v>
      </c>
      <c r="J242" s="1129"/>
      <c r="K242" s="313">
        <f t="shared" si="49"/>
        <v>1</v>
      </c>
      <c r="L242" s="1129"/>
      <c r="M242" s="313">
        <f t="shared" si="50"/>
        <v>1</v>
      </c>
      <c r="N242" s="1129"/>
      <c r="O242" s="313">
        <f t="shared" si="51"/>
        <v>1</v>
      </c>
      <c r="P242" s="1129"/>
      <c r="Q242" s="313">
        <f t="shared" si="52"/>
        <v>0</v>
      </c>
      <c r="R242" s="1125">
        <f t="shared" si="53"/>
        <v>0</v>
      </c>
      <c r="S242" s="698">
        <f t="shared" si="54"/>
        <v>0</v>
      </c>
    </row>
    <row r="243" spans="1:19">
      <c r="A243" s="491"/>
      <c r="B243" s="348"/>
      <c r="C243" s="313">
        <f t="shared" si="45"/>
        <v>1</v>
      </c>
      <c r="D243" s="1129"/>
      <c r="E243" s="313">
        <f t="shared" si="46"/>
        <v>1</v>
      </c>
      <c r="F243" s="1129"/>
      <c r="G243" s="313">
        <f t="shared" si="47"/>
        <v>0.02</v>
      </c>
      <c r="H243" s="1129"/>
      <c r="I243" s="313">
        <f t="shared" si="48"/>
        <v>1</v>
      </c>
      <c r="J243" s="1129"/>
      <c r="K243" s="313">
        <f t="shared" si="49"/>
        <v>1</v>
      </c>
      <c r="L243" s="1129"/>
      <c r="M243" s="313">
        <f t="shared" si="50"/>
        <v>1</v>
      </c>
      <c r="N243" s="1129"/>
      <c r="O243" s="313">
        <f t="shared" si="51"/>
        <v>1</v>
      </c>
      <c r="P243" s="1129"/>
      <c r="Q243" s="313">
        <f t="shared" si="52"/>
        <v>0</v>
      </c>
      <c r="R243" s="1125">
        <f t="shared" si="53"/>
        <v>0</v>
      </c>
      <c r="S243" s="698">
        <f t="shared" si="54"/>
        <v>0</v>
      </c>
    </row>
    <row r="244" spans="1:19">
      <c r="A244" s="491"/>
      <c r="B244" s="348"/>
      <c r="C244" s="313">
        <f t="shared" si="45"/>
        <v>1</v>
      </c>
      <c r="D244" s="1129"/>
      <c r="E244" s="313">
        <f t="shared" si="46"/>
        <v>1</v>
      </c>
      <c r="F244" s="1129"/>
      <c r="G244" s="313">
        <f t="shared" si="47"/>
        <v>0.02</v>
      </c>
      <c r="H244" s="1129"/>
      <c r="I244" s="313">
        <f t="shared" si="48"/>
        <v>1</v>
      </c>
      <c r="J244" s="1129"/>
      <c r="K244" s="313">
        <f t="shared" si="49"/>
        <v>1</v>
      </c>
      <c r="L244" s="1129"/>
      <c r="M244" s="313">
        <f t="shared" si="50"/>
        <v>1</v>
      </c>
      <c r="N244" s="1129"/>
      <c r="O244" s="313">
        <f t="shared" si="51"/>
        <v>1</v>
      </c>
      <c r="P244" s="1129"/>
      <c r="Q244" s="313">
        <f t="shared" si="52"/>
        <v>0</v>
      </c>
      <c r="R244" s="1125">
        <f t="shared" si="53"/>
        <v>0</v>
      </c>
      <c r="S244" s="698">
        <f t="shared" si="54"/>
        <v>0</v>
      </c>
    </row>
    <row r="245" spans="1:19">
      <c r="A245" s="491"/>
      <c r="B245" s="348"/>
      <c r="C245" s="313">
        <f t="shared" si="45"/>
        <v>1</v>
      </c>
      <c r="D245" s="1129"/>
      <c r="E245" s="313">
        <f t="shared" si="46"/>
        <v>1</v>
      </c>
      <c r="F245" s="1129"/>
      <c r="G245" s="313">
        <f t="shared" si="47"/>
        <v>0.02</v>
      </c>
      <c r="H245" s="1129"/>
      <c r="I245" s="313">
        <f t="shared" si="48"/>
        <v>1</v>
      </c>
      <c r="J245" s="1129"/>
      <c r="K245" s="313">
        <f t="shared" si="49"/>
        <v>1</v>
      </c>
      <c r="L245" s="1129"/>
      <c r="M245" s="313">
        <f t="shared" si="50"/>
        <v>1</v>
      </c>
      <c r="N245" s="1129"/>
      <c r="O245" s="313">
        <f t="shared" si="51"/>
        <v>1</v>
      </c>
      <c r="P245" s="1129"/>
      <c r="Q245" s="313">
        <f t="shared" si="52"/>
        <v>0</v>
      </c>
      <c r="R245" s="1125">
        <f t="shared" si="53"/>
        <v>0</v>
      </c>
      <c r="S245" s="698">
        <f t="shared" si="54"/>
        <v>0</v>
      </c>
    </row>
    <row r="246" spans="1:19">
      <c r="A246" s="491"/>
      <c r="B246" s="348"/>
      <c r="C246" s="313">
        <f t="shared" si="45"/>
        <v>1</v>
      </c>
      <c r="D246" s="1129"/>
      <c r="E246" s="313">
        <f t="shared" si="46"/>
        <v>1</v>
      </c>
      <c r="F246" s="1129"/>
      <c r="G246" s="313">
        <f t="shared" si="47"/>
        <v>0.02</v>
      </c>
      <c r="H246" s="1129"/>
      <c r="I246" s="313">
        <f t="shared" si="48"/>
        <v>1</v>
      </c>
      <c r="J246" s="1129"/>
      <c r="K246" s="313">
        <f t="shared" si="49"/>
        <v>1</v>
      </c>
      <c r="L246" s="1129"/>
      <c r="M246" s="313">
        <f t="shared" si="50"/>
        <v>1</v>
      </c>
      <c r="N246" s="1129"/>
      <c r="O246" s="313">
        <f t="shared" si="51"/>
        <v>1</v>
      </c>
      <c r="P246" s="1129"/>
      <c r="Q246" s="313">
        <f t="shared" si="52"/>
        <v>0</v>
      </c>
      <c r="R246" s="1125">
        <f t="shared" si="53"/>
        <v>0</v>
      </c>
      <c r="S246" s="698">
        <f t="shared" si="54"/>
        <v>0</v>
      </c>
    </row>
    <row r="247" spans="1:19">
      <c r="A247" s="491"/>
      <c r="B247" s="348"/>
      <c r="C247" s="313">
        <f t="shared" si="45"/>
        <v>1</v>
      </c>
      <c r="D247" s="1129"/>
      <c r="E247" s="313">
        <f t="shared" si="46"/>
        <v>1</v>
      </c>
      <c r="F247" s="1129"/>
      <c r="G247" s="313">
        <f t="shared" si="47"/>
        <v>0.02</v>
      </c>
      <c r="H247" s="1129"/>
      <c r="I247" s="313">
        <f t="shared" si="48"/>
        <v>1</v>
      </c>
      <c r="J247" s="1129"/>
      <c r="K247" s="313">
        <f t="shared" si="49"/>
        <v>1</v>
      </c>
      <c r="L247" s="1129"/>
      <c r="M247" s="313">
        <f t="shared" si="50"/>
        <v>1</v>
      </c>
      <c r="N247" s="1129"/>
      <c r="O247" s="313">
        <f t="shared" si="51"/>
        <v>1</v>
      </c>
      <c r="P247" s="1129"/>
      <c r="Q247" s="313">
        <f t="shared" si="52"/>
        <v>0</v>
      </c>
      <c r="R247" s="1125">
        <f t="shared" si="53"/>
        <v>0</v>
      </c>
      <c r="S247" s="698">
        <f t="shared" si="54"/>
        <v>0</v>
      </c>
    </row>
    <row r="248" spans="1:19">
      <c r="A248" s="491"/>
      <c r="B248" s="348"/>
      <c r="C248" s="313">
        <f t="shared" si="45"/>
        <v>1</v>
      </c>
      <c r="D248" s="1129"/>
      <c r="E248" s="313">
        <f t="shared" si="46"/>
        <v>1</v>
      </c>
      <c r="F248" s="1129"/>
      <c r="G248" s="313">
        <f t="shared" si="47"/>
        <v>0.02</v>
      </c>
      <c r="H248" s="1129"/>
      <c r="I248" s="313">
        <f t="shared" si="48"/>
        <v>1</v>
      </c>
      <c r="J248" s="1129"/>
      <c r="K248" s="313">
        <f t="shared" si="49"/>
        <v>1</v>
      </c>
      <c r="L248" s="1129"/>
      <c r="M248" s="313">
        <f t="shared" si="50"/>
        <v>1</v>
      </c>
      <c r="N248" s="1129"/>
      <c r="O248" s="313">
        <f t="shared" si="51"/>
        <v>1</v>
      </c>
      <c r="P248" s="1129"/>
      <c r="Q248" s="313">
        <f t="shared" si="52"/>
        <v>0</v>
      </c>
      <c r="R248" s="1125">
        <f t="shared" si="53"/>
        <v>0</v>
      </c>
      <c r="S248" s="698">
        <f t="shared" si="54"/>
        <v>0</v>
      </c>
    </row>
    <row r="249" spans="1:19">
      <c r="A249" s="491"/>
      <c r="B249" s="348"/>
      <c r="C249" s="313">
        <f t="shared" si="45"/>
        <v>1</v>
      </c>
      <c r="D249" s="1129"/>
      <c r="E249" s="313">
        <f t="shared" si="46"/>
        <v>1</v>
      </c>
      <c r="F249" s="1129"/>
      <c r="G249" s="313">
        <f t="shared" si="47"/>
        <v>0.02</v>
      </c>
      <c r="H249" s="1129"/>
      <c r="I249" s="313">
        <f t="shared" si="48"/>
        <v>1</v>
      </c>
      <c r="J249" s="1129"/>
      <c r="K249" s="313">
        <f t="shared" si="49"/>
        <v>1</v>
      </c>
      <c r="L249" s="1129"/>
      <c r="M249" s="313">
        <f t="shared" si="50"/>
        <v>1</v>
      </c>
      <c r="N249" s="1129"/>
      <c r="O249" s="313">
        <f t="shared" si="51"/>
        <v>1</v>
      </c>
      <c r="P249" s="1129"/>
      <c r="Q249" s="313">
        <f t="shared" si="52"/>
        <v>0</v>
      </c>
      <c r="R249" s="1125">
        <f t="shared" si="53"/>
        <v>0</v>
      </c>
      <c r="S249" s="698">
        <f t="shared" si="54"/>
        <v>0</v>
      </c>
    </row>
    <row r="250" spans="1:19">
      <c r="A250" s="491"/>
      <c r="B250" s="348"/>
      <c r="C250" s="313">
        <f t="shared" si="45"/>
        <v>1</v>
      </c>
      <c r="D250" s="1129"/>
      <c r="E250" s="313">
        <f t="shared" si="46"/>
        <v>1</v>
      </c>
      <c r="F250" s="1129"/>
      <c r="G250" s="313">
        <f t="shared" si="47"/>
        <v>0.02</v>
      </c>
      <c r="H250" s="1129"/>
      <c r="I250" s="313">
        <f t="shared" si="48"/>
        <v>1</v>
      </c>
      <c r="J250" s="1129"/>
      <c r="K250" s="313">
        <f t="shared" si="49"/>
        <v>1</v>
      </c>
      <c r="L250" s="1129"/>
      <c r="M250" s="313">
        <f t="shared" si="50"/>
        <v>1</v>
      </c>
      <c r="N250" s="1129"/>
      <c r="O250" s="313">
        <f t="shared" si="51"/>
        <v>1</v>
      </c>
      <c r="P250" s="1129"/>
      <c r="Q250" s="313">
        <f t="shared" si="52"/>
        <v>0</v>
      </c>
      <c r="R250" s="1125">
        <f t="shared" si="53"/>
        <v>0</v>
      </c>
      <c r="S250" s="698">
        <f t="shared" si="54"/>
        <v>0</v>
      </c>
    </row>
    <row r="251" spans="1:19">
      <c r="A251" s="491"/>
      <c r="B251" s="348"/>
      <c r="C251" s="313">
        <f t="shared" si="45"/>
        <v>1</v>
      </c>
      <c r="D251" s="1129"/>
      <c r="E251" s="313">
        <f t="shared" si="46"/>
        <v>1</v>
      </c>
      <c r="F251" s="1129"/>
      <c r="G251" s="313">
        <f t="shared" si="47"/>
        <v>0.02</v>
      </c>
      <c r="H251" s="1129"/>
      <c r="I251" s="313">
        <f t="shared" si="48"/>
        <v>1</v>
      </c>
      <c r="J251" s="1129"/>
      <c r="K251" s="313">
        <f t="shared" si="49"/>
        <v>1</v>
      </c>
      <c r="L251" s="1129"/>
      <c r="M251" s="313">
        <f t="shared" si="50"/>
        <v>1</v>
      </c>
      <c r="N251" s="1129"/>
      <c r="O251" s="313">
        <f t="shared" si="51"/>
        <v>1</v>
      </c>
      <c r="P251" s="1129"/>
      <c r="Q251" s="313">
        <f t="shared" si="52"/>
        <v>0</v>
      </c>
      <c r="R251" s="1125">
        <f t="shared" si="53"/>
        <v>0</v>
      </c>
      <c r="S251" s="698">
        <f t="shared" si="54"/>
        <v>0</v>
      </c>
    </row>
    <row r="252" spans="1:19">
      <c r="A252" s="491"/>
      <c r="B252" s="348"/>
      <c r="C252" s="313">
        <f t="shared" si="45"/>
        <v>1</v>
      </c>
      <c r="D252" s="1129"/>
      <c r="E252" s="313">
        <f t="shared" si="46"/>
        <v>1</v>
      </c>
      <c r="F252" s="1129"/>
      <c r="G252" s="313">
        <f t="shared" si="47"/>
        <v>0.02</v>
      </c>
      <c r="H252" s="1129"/>
      <c r="I252" s="313">
        <f t="shared" si="48"/>
        <v>1</v>
      </c>
      <c r="J252" s="1129"/>
      <c r="K252" s="313">
        <f t="shared" si="49"/>
        <v>1</v>
      </c>
      <c r="L252" s="1129"/>
      <c r="M252" s="313">
        <f t="shared" si="50"/>
        <v>1</v>
      </c>
      <c r="N252" s="1129"/>
      <c r="O252" s="313">
        <f t="shared" si="51"/>
        <v>1</v>
      </c>
      <c r="P252" s="1129"/>
      <c r="Q252" s="313">
        <f t="shared" si="52"/>
        <v>0</v>
      </c>
      <c r="R252" s="1125">
        <f t="shared" si="53"/>
        <v>0</v>
      </c>
      <c r="S252" s="698">
        <f t="shared" si="54"/>
        <v>0</v>
      </c>
    </row>
    <row r="253" spans="1:19">
      <c r="A253" s="491"/>
      <c r="B253" s="348"/>
      <c r="C253" s="313">
        <f t="shared" si="45"/>
        <v>1</v>
      </c>
      <c r="D253" s="1129"/>
      <c r="E253" s="313">
        <f t="shared" si="46"/>
        <v>1</v>
      </c>
      <c r="F253" s="1129"/>
      <c r="G253" s="313">
        <f t="shared" si="47"/>
        <v>0.02</v>
      </c>
      <c r="H253" s="1129"/>
      <c r="I253" s="313">
        <f t="shared" si="48"/>
        <v>1</v>
      </c>
      <c r="J253" s="1129"/>
      <c r="K253" s="313">
        <f t="shared" si="49"/>
        <v>1</v>
      </c>
      <c r="L253" s="1129"/>
      <c r="M253" s="313">
        <f t="shared" si="50"/>
        <v>1</v>
      </c>
      <c r="N253" s="1129"/>
      <c r="O253" s="313">
        <f t="shared" si="51"/>
        <v>1</v>
      </c>
      <c r="P253" s="1129"/>
      <c r="Q253" s="313">
        <f t="shared" si="52"/>
        <v>0</v>
      </c>
      <c r="R253" s="1125">
        <f t="shared" si="53"/>
        <v>0</v>
      </c>
      <c r="S253" s="698">
        <f t="shared" si="54"/>
        <v>0</v>
      </c>
    </row>
    <row r="254" spans="1:19">
      <c r="A254" s="491"/>
      <c r="B254" s="348"/>
      <c r="C254" s="313">
        <f t="shared" si="45"/>
        <v>1</v>
      </c>
      <c r="D254" s="1129"/>
      <c r="E254" s="313">
        <f t="shared" si="46"/>
        <v>1</v>
      </c>
      <c r="F254" s="1129"/>
      <c r="G254" s="313">
        <f t="shared" si="47"/>
        <v>0.02</v>
      </c>
      <c r="H254" s="1129"/>
      <c r="I254" s="313">
        <f t="shared" si="48"/>
        <v>1</v>
      </c>
      <c r="J254" s="1129"/>
      <c r="K254" s="313">
        <f t="shared" si="49"/>
        <v>1</v>
      </c>
      <c r="L254" s="1129"/>
      <c r="M254" s="313">
        <f t="shared" si="50"/>
        <v>1</v>
      </c>
      <c r="N254" s="1129"/>
      <c r="O254" s="313">
        <f t="shared" si="51"/>
        <v>1</v>
      </c>
      <c r="P254" s="1129"/>
      <c r="Q254" s="313">
        <f t="shared" si="52"/>
        <v>0</v>
      </c>
      <c r="R254" s="1125">
        <f t="shared" si="53"/>
        <v>0</v>
      </c>
      <c r="S254" s="698">
        <f t="shared" si="54"/>
        <v>0</v>
      </c>
    </row>
    <row r="255" spans="1:19">
      <c r="A255" s="491"/>
      <c r="B255" s="348"/>
      <c r="C255" s="313">
        <f t="shared" si="45"/>
        <v>1</v>
      </c>
      <c r="D255" s="1129"/>
      <c r="E255" s="313">
        <f t="shared" si="46"/>
        <v>1</v>
      </c>
      <c r="F255" s="1129"/>
      <c r="G255" s="313">
        <f t="shared" si="47"/>
        <v>0.02</v>
      </c>
      <c r="H255" s="1129"/>
      <c r="I255" s="313">
        <f t="shared" si="48"/>
        <v>1</v>
      </c>
      <c r="J255" s="1129"/>
      <c r="K255" s="313">
        <f t="shared" si="49"/>
        <v>1</v>
      </c>
      <c r="L255" s="1129"/>
      <c r="M255" s="313">
        <f t="shared" si="50"/>
        <v>1</v>
      </c>
      <c r="N255" s="1129"/>
      <c r="O255" s="313">
        <f t="shared" si="51"/>
        <v>1</v>
      </c>
      <c r="P255" s="1129"/>
      <c r="Q255" s="313">
        <f t="shared" si="52"/>
        <v>0</v>
      </c>
      <c r="R255" s="1125">
        <f t="shared" si="53"/>
        <v>0</v>
      </c>
      <c r="S255" s="698">
        <f t="shared" si="54"/>
        <v>0</v>
      </c>
    </row>
    <row r="256" spans="1:19">
      <c r="A256" s="491"/>
      <c r="B256" s="348"/>
      <c r="C256" s="313">
        <f t="shared" si="45"/>
        <v>1</v>
      </c>
      <c r="D256" s="1129"/>
      <c r="E256" s="313">
        <f t="shared" si="46"/>
        <v>1</v>
      </c>
      <c r="F256" s="1129"/>
      <c r="G256" s="313">
        <f t="shared" si="47"/>
        <v>0.02</v>
      </c>
      <c r="H256" s="1129"/>
      <c r="I256" s="313">
        <f t="shared" si="48"/>
        <v>1</v>
      </c>
      <c r="J256" s="1129"/>
      <c r="K256" s="313">
        <f t="shared" si="49"/>
        <v>1</v>
      </c>
      <c r="L256" s="1129"/>
      <c r="M256" s="313">
        <f t="shared" si="50"/>
        <v>1</v>
      </c>
      <c r="N256" s="1129"/>
      <c r="O256" s="313">
        <f t="shared" si="51"/>
        <v>1</v>
      </c>
      <c r="P256" s="1129"/>
      <c r="Q256" s="313">
        <f t="shared" si="52"/>
        <v>0</v>
      </c>
      <c r="R256" s="1125">
        <f t="shared" si="53"/>
        <v>0</v>
      </c>
      <c r="S256" s="698">
        <f t="shared" si="54"/>
        <v>0</v>
      </c>
    </row>
    <row r="257" spans="1:19">
      <c r="A257" s="491"/>
      <c r="B257" s="348"/>
      <c r="C257" s="313">
        <f t="shared" si="45"/>
        <v>1</v>
      </c>
      <c r="D257" s="1129"/>
      <c r="E257" s="313">
        <f t="shared" si="46"/>
        <v>1</v>
      </c>
      <c r="F257" s="1129"/>
      <c r="G257" s="313">
        <f t="shared" si="47"/>
        <v>0.02</v>
      </c>
      <c r="H257" s="1129"/>
      <c r="I257" s="313">
        <f t="shared" si="48"/>
        <v>1</v>
      </c>
      <c r="J257" s="1129"/>
      <c r="K257" s="313">
        <f t="shared" si="49"/>
        <v>1</v>
      </c>
      <c r="L257" s="1129"/>
      <c r="M257" s="313">
        <f t="shared" si="50"/>
        <v>1</v>
      </c>
      <c r="N257" s="1129"/>
      <c r="O257" s="313">
        <f t="shared" si="51"/>
        <v>1</v>
      </c>
      <c r="P257" s="1129"/>
      <c r="Q257" s="313">
        <f t="shared" si="52"/>
        <v>0</v>
      </c>
      <c r="R257" s="1125">
        <f t="shared" si="53"/>
        <v>0</v>
      </c>
      <c r="S257" s="698">
        <f t="shared" si="54"/>
        <v>0</v>
      </c>
    </row>
    <row r="258" spans="1:19">
      <c r="A258" s="491"/>
      <c r="B258" s="348"/>
      <c r="C258" s="313">
        <f t="shared" si="45"/>
        <v>1</v>
      </c>
      <c r="D258" s="1129"/>
      <c r="E258" s="313">
        <f t="shared" si="46"/>
        <v>1</v>
      </c>
      <c r="F258" s="1129"/>
      <c r="G258" s="313">
        <f t="shared" si="47"/>
        <v>0.02</v>
      </c>
      <c r="H258" s="1129"/>
      <c r="I258" s="313">
        <f t="shared" si="48"/>
        <v>1</v>
      </c>
      <c r="J258" s="1129"/>
      <c r="K258" s="313">
        <f t="shared" si="49"/>
        <v>1</v>
      </c>
      <c r="L258" s="1129"/>
      <c r="M258" s="313">
        <f t="shared" si="50"/>
        <v>1</v>
      </c>
      <c r="N258" s="1129"/>
      <c r="O258" s="313">
        <f t="shared" si="51"/>
        <v>1</v>
      </c>
      <c r="P258" s="1129"/>
      <c r="Q258" s="313">
        <f t="shared" si="52"/>
        <v>0</v>
      </c>
      <c r="R258" s="1125">
        <f t="shared" si="53"/>
        <v>0</v>
      </c>
      <c r="S258" s="698">
        <f t="shared" si="54"/>
        <v>0</v>
      </c>
    </row>
    <row r="259" spans="1:19">
      <c r="A259" s="491"/>
      <c r="B259" s="348"/>
      <c r="C259" s="313">
        <f t="shared" si="45"/>
        <v>1</v>
      </c>
      <c r="D259" s="1129"/>
      <c r="E259" s="313">
        <f t="shared" si="46"/>
        <v>1</v>
      </c>
      <c r="F259" s="1129"/>
      <c r="G259" s="313">
        <f t="shared" si="47"/>
        <v>0.02</v>
      </c>
      <c r="H259" s="1129"/>
      <c r="I259" s="313">
        <f t="shared" si="48"/>
        <v>1</v>
      </c>
      <c r="J259" s="1129"/>
      <c r="K259" s="313">
        <f t="shared" si="49"/>
        <v>1</v>
      </c>
      <c r="L259" s="1129"/>
      <c r="M259" s="313">
        <f t="shared" si="50"/>
        <v>1</v>
      </c>
      <c r="N259" s="1129"/>
      <c r="O259" s="313">
        <f t="shared" si="51"/>
        <v>1</v>
      </c>
      <c r="P259" s="1129"/>
      <c r="Q259" s="313">
        <f t="shared" si="52"/>
        <v>0</v>
      </c>
      <c r="R259" s="1125">
        <f t="shared" si="53"/>
        <v>0</v>
      </c>
      <c r="S259" s="698">
        <f t="shared" si="54"/>
        <v>0</v>
      </c>
    </row>
    <row r="260" spans="1:19">
      <c r="A260" s="491"/>
      <c r="B260" s="348"/>
      <c r="C260" s="313">
        <f t="shared" si="45"/>
        <v>1</v>
      </c>
      <c r="D260" s="1129"/>
      <c r="E260" s="313">
        <f t="shared" si="46"/>
        <v>1</v>
      </c>
      <c r="F260" s="1129"/>
      <c r="G260" s="313">
        <f t="shared" si="47"/>
        <v>0.02</v>
      </c>
      <c r="H260" s="1129"/>
      <c r="I260" s="313">
        <f t="shared" si="48"/>
        <v>1</v>
      </c>
      <c r="J260" s="1129"/>
      <c r="K260" s="313">
        <f t="shared" si="49"/>
        <v>1</v>
      </c>
      <c r="L260" s="1129"/>
      <c r="M260" s="313">
        <f t="shared" si="50"/>
        <v>1</v>
      </c>
      <c r="N260" s="1129"/>
      <c r="O260" s="313">
        <f t="shared" si="51"/>
        <v>1</v>
      </c>
      <c r="P260" s="1129"/>
      <c r="Q260" s="313">
        <f t="shared" si="52"/>
        <v>0</v>
      </c>
      <c r="R260" s="1125">
        <f t="shared" si="53"/>
        <v>0</v>
      </c>
      <c r="S260" s="698">
        <f t="shared" si="54"/>
        <v>0</v>
      </c>
    </row>
    <row r="261" spans="1:19">
      <c r="A261" s="491"/>
      <c r="B261" s="348"/>
      <c r="C261" s="313">
        <f t="shared" si="45"/>
        <v>1</v>
      </c>
      <c r="D261" s="1129"/>
      <c r="E261" s="313">
        <f t="shared" si="46"/>
        <v>1</v>
      </c>
      <c r="F261" s="1129"/>
      <c r="G261" s="313">
        <f t="shared" si="47"/>
        <v>0.02</v>
      </c>
      <c r="H261" s="1129"/>
      <c r="I261" s="313">
        <f t="shared" si="48"/>
        <v>1</v>
      </c>
      <c r="J261" s="1129"/>
      <c r="K261" s="313">
        <f t="shared" si="49"/>
        <v>1</v>
      </c>
      <c r="L261" s="1129"/>
      <c r="M261" s="313">
        <f t="shared" si="50"/>
        <v>1</v>
      </c>
      <c r="N261" s="1129"/>
      <c r="O261" s="313">
        <f t="shared" si="51"/>
        <v>1</v>
      </c>
      <c r="P261" s="1129"/>
      <c r="Q261" s="313">
        <f t="shared" si="52"/>
        <v>0</v>
      </c>
      <c r="R261" s="1125">
        <f t="shared" si="53"/>
        <v>0</v>
      </c>
      <c r="S261" s="698">
        <f t="shared" si="54"/>
        <v>0</v>
      </c>
    </row>
    <row r="262" spans="1:19">
      <c r="A262" s="491"/>
      <c r="B262" s="348"/>
      <c r="C262" s="313">
        <f t="shared" si="45"/>
        <v>1</v>
      </c>
      <c r="D262" s="1129"/>
      <c r="E262" s="313">
        <f t="shared" si="46"/>
        <v>1</v>
      </c>
      <c r="F262" s="1129"/>
      <c r="G262" s="313">
        <f t="shared" si="47"/>
        <v>0.02</v>
      </c>
      <c r="H262" s="1129"/>
      <c r="I262" s="313">
        <f t="shared" si="48"/>
        <v>1</v>
      </c>
      <c r="J262" s="1129"/>
      <c r="K262" s="313">
        <f t="shared" si="49"/>
        <v>1</v>
      </c>
      <c r="L262" s="1129"/>
      <c r="M262" s="313">
        <f t="shared" si="50"/>
        <v>1</v>
      </c>
      <c r="N262" s="1129"/>
      <c r="O262" s="313">
        <f t="shared" si="51"/>
        <v>1</v>
      </c>
      <c r="P262" s="1129"/>
      <c r="Q262" s="313">
        <f t="shared" si="52"/>
        <v>0</v>
      </c>
      <c r="R262" s="1125">
        <f t="shared" si="53"/>
        <v>0</v>
      </c>
      <c r="S262" s="698">
        <f t="shared" si="54"/>
        <v>0</v>
      </c>
    </row>
    <row r="263" spans="1:19">
      <c r="A263" s="491"/>
      <c r="B263" s="348"/>
      <c r="C263" s="313">
        <f t="shared" si="45"/>
        <v>1</v>
      </c>
      <c r="D263" s="1129"/>
      <c r="E263" s="313">
        <f t="shared" si="46"/>
        <v>1</v>
      </c>
      <c r="F263" s="1129"/>
      <c r="G263" s="313">
        <f t="shared" si="47"/>
        <v>0.02</v>
      </c>
      <c r="H263" s="1129"/>
      <c r="I263" s="313">
        <f t="shared" si="48"/>
        <v>1</v>
      </c>
      <c r="J263" s="1129"/>
      <c r="K263" s="313">
        <f t="shared" si="49"/>
        <v>1</v>
      </c>
      <c r="L263" s="1129"/>
      <c r="M263" s="313">
        <f t="shared" si="50"/>
        <v>1</v>
      </c>
      <c r="N263" s="1129"/>
      <c r="O263" s="313">
        <f t="shared" si="51"/>
        <v>1</v>
      </c>
      <c r="P263" s="1129"/>
      <c r="Q263" s="313">
        <f t="shared" si="52"/>
        <v>0</v>
      </c>
      <c r="R263" s="1125">
        <f t="shared" si="53"/>
        <v>0</v>
      </c>
      <c r="S263" s="698">
        <f t="shared" si="54"/>
        <v>0</v>
      </c>
    </row>
    <row r="264" spans="1:19">
      <c r="A264" s="491"/>
      <c r="B264" s="348"/>
      <c r="C264" s="313">
        <f t="shared" si="45"/>
        <v>1</v>
      </c>
      <c r="D264" s="1129"/>
      <c r="E264" s="313">
        <f t="shared" si="46"/>
        <v>1</v>
      </c>
      <c r="F264" s="1129"/>
      <c r="G264" s="313">
        <f t="shared" si="47"/>
        <v>0.02</v>
      </c>
      <c r="H264" s="1129"/>
      <c r="I264" s="313">
        <f t="shared" si="48"/>
        <v>1</v>
      </c>
      <c r="J264" s="1129"/>
      <c r="K264" s="313">
        <f t="shared" si="49"/>
        <v>1</v>
      </c>
      <c r="L264" s="1129"/>
      <c r="M264" s="313">
        <f t="shared" si="50"/>
        <v>1</v>
      </c>
      <c r="N264" s="1129"/>
      <c r="O264" s="313">
        <f t="shared" si="51"/>
        <v>1</v>
      </c>
      <c r="P264" s="1129"/>
      <c r="Q264" s="313">
        <f t="shared" si="52"/>
        <v>0</v>
      </c>
      <c r="R264" s="1125">
        <f t="shared" si="53"/>
        <v>0</v>
      </c>
      <c r="S264" s="698">
        <f t="shared" si="54"/>
        <v>0</v>
      </c>
    </row>
    <row r="265" spans="1:19">
      <c r="A265" s="491"/>
      <c r="B265" s="348"/>
      <c r="C265" s="313">
        <f t="shared" si="45"/>
        <v>1</v>
      </c>
      <c r="D265" s="1129"/>
      <c r="E265" s="313">
        <f t="shared" si="46"/>
        <v>1</v>
      </c>
      <c r="F265" s="1129"/>
      <c r="G265" s="313">
        <f t="shared" si="47"/>
        <v>0.02</v>
      </c>
      <c r="H265" s="1129"/>
      <c r="I265" s="313">
        <f t="shared" si="48"/>
        <v>1</v>
      </c>
      <c r="J265" s="1129"/>
      <c r="K265" s="313">
        <f t="shared" si="49"/>
        <v>1</v>
      </c>
      <c r="L265" s="1129"/>
      <c r="M265" s="313">
        <f t="shared" si="50"/>
        <v>1</v>
      </c>
      <c r="N265" s="1129"/>
      <c r="O265" s="313">
        <f t="shared" si="51"/>
        <v>1</v>
      </c>
      <c r="P265" s="1129"/>
      <c r="Q265" s="313">
        <f t="shared" si="52"/>
        <v>0</v>
      </c>
      <c r="R265" s="1125">
        <f t="shared" si="53"/>
        <v>0</v>
      </c>
      <c r="S265" s="698">
        <f t="shared" si="54"/>
        <v>0</v>
      </c>
    </row>
    <row r="266" spans="1:19">
      <c r="A266" s="491"/>
      <c r="B266" s="348"/>
      <c r="C266" s="313">
        <f t="shared" si="45"/>
        <v>1</v>
      </c>
      <c r="D266" s="1129"/>
      <c r="E266" s="313">
        <f t="shared" si="46"/>
        <v>1</v>
      </c>
      <c r="F266" s="1129"/>
      <c r="G266" s="313">
        <f t="shared" si="47"/>
        <v>0.02</v>
      </c>
      <c r="H266" s="1129"/>
      <c r="I266" s="313">
        <f t="shared" si="48"/>
        <v>1</v>
      </c>
      <c r="J266" s="1129"/>
      <c r="K266" s="313">
        <f t="shared" si="49"/>
        <v>1</v>
      </c>
      <c r="L266" s="1129"/>
      <c r="M266" s="313">
        <f t="shared" si="50"/>
        <v>1</v>
      </c>
      <c r="N266" s="1129"/>
      <c r="O266" s="313">
        <f t="shared" si="51"/>
        <v>1</v>
      </c>
      <c r="P266" s="1129"/>
      <c r="Q266" s="313">
        <f t="shared" si="52"/>
        <v>0</v>
      </c>
      <c r="R266" s="1125">
        <f t="shared" si="53"/>
        <v>0</v>
      </c>
      <c r="S266" s="698">
        <f t="shared" si="54"/>
        <v>0</v>
      </c>
    </row>
    <row r="267" spans="1:19">
      <c r="A267" s="491"/>
      <c r="B267" s="348"/>
      <c r="C267" s="313">
        <f t="shared" si="45"/>
        <v>1</v>
      </c>
      <c r="D267" s="1129"/>
      <c r="E267" s="313">
        <f t="shared" si="46"/>
        <v>1</v>
      </c>
      <c r="F267" s="1129"/>
      <c r="G267" s="313">
        <f t="shared" si="47"/>
        <v>0.02</v>
      </c>
      <c r="H267" s="1129"/>
      <c r="I267" s="313">
        <f t="shared" si="48"/>
        <v>1</v>
      </c>
      <c r="J267" s="1129"/>
      <c r="K267" s="313">
        <f t="shared" si="49"/>
        <v>1</v>
      </c>
      <c r="L267" s="1129"/>
      <c r="M267" s="313">
        <f t="shared" si="50"/>
        <v>1</v>
      </c>
      <c r="N267" s="1129"/>
      <c r="O267" s="313">
        <f t="shared" si="51"/>
        <v>1</v>
      </c>
      <c r="P267" s="1129"/>
      <c r="Q267" s="313">
        <f t="shared" si="52"/>
        <v>0</v>
      </c>
      <c r="R267" s="1125">
        <f t="shared" si="53"/>
        <v>0</v>
      </c>
      <c r="S267" s="698">
        <f t="shared" si="54"/>
        <v>0</v>
      </c>
    </row>
    <row r="268" spans="1:19">
      <c r="A268" s="491"/>
      <c r="B268" s="348"/>
      <c r="C268" s="313">
        <f t="shared" si="45"/>
        <v>1</v>
      </c>
      <c r="D268" s="1129"/>
      <c r="E268" s="313">
        <f t="shared" si="46"/>
        <v>1</v>
      </c>
      <c r="F268" s="1129"/>
      <c r="G268" s="313">
        <f t="shared" si="47"/>
        <v>0.02</v>
      </c>
      <c r="H268" s="1129"/>
      <c r="I268" s="313">
        <f t="shared" si="48"/>
        <v>1</v>
      </c>
      <c r="J268" s="1129"/>
      <c r="K268" s="313">
        <f t="shared" si="49"/>
        <v>1</v>
      </c>
      <c r="L268" s="1129"/>
      <c r="M268" s="313">
        <f t="shared" si="50"/>
        <v>1</v>
      </c>
      <c r="N268" s="1129"/>
      <c r="O268" s="313">
        <f t="shared" si="51"/>
        <v>1</v>
      </c>
      <c r="P268" s="1129"/>
      <c r="Q268" s="313">
        <f t="shared" si="52"/>
        <v>0</v>
      </c>
      <c r="R268" s="1125">
        <f t="shared" si="53"/>
        <v>0</v>
      </c>
      <c r="S268" s="698">
        <f t="shared" si="54"/>
        <v>0</v>
      </c>
    </row>
    <row r="269" spans="1:19">
      <c r="A269" s="491"/>
      <c r="B269" s="348"/>
      <c r="C269" s="313">
        <f t="shared" si="45"/>
        <v>1</v>
      </c>
      <c r="D269" s="1129"/>
      <c r="E269" s="313">
        <f t="shared" si="46"/>
        <v>1</v>
      </c>
      <c r="F269" s="1129"/>
      <c r="G269" s="313">
        <f t="shared" si="47"/>
        <v>0.02</v>
      </c>
      <c r="H269" s="1129"/>
      <c r="I269" s="313">
        <f t="shared" si="48"/>
        <v>1</v>
      </c>
      <c r="J269" s="1129"/>
      <c r="K269" s="313">
        <f t="shared" si="49"/>
        <v>1</v>
      </c>
      <c r="L269" s="1129"/>
      <c r="M269" s="313">
        <f t="shared" si="50"/>
        <v>1</v>
      </c>
      <c r="N269" s="1129"/>
      <c r="O269" s="313">
        <f t="shared" si="51"/>
        <v>1</v>
      </c>
      <c r="P269" s="1129"/>
      <c r="Q269" s="313">
        <f t="shared" si="52"/>
        <v>0</v>
      </c>
      <c r="R269" s="1125">
        <f t="shared" si="53"/>
        <v>0</v>
      </c>
      <c r="S269" s="698">
        <f t="shared" si="54"/>
        <v>0</v>
      </c>
    </row>
    <row r="270" spans="1:19">
      <c r="A270" s="491"/>
      <c r="B270" s="348"/>
      <c r="C270" s="313">
        <f t="shared" si="45"/>
        <v>1</v>
      </c>
      <c r="D270" s="1129"/>
      <c r="E270" s="313">
        <f t="shared" si="46"/>
        <v>1</v>
      </c>
      <c r="F270" s="1129"/>
      <c r="G270" s="313">
        <f t="shared" si="47"/>
        <v>0.02</v>
      </c>
      <c r="H270" s="1129"/>
      <c r="I270" s="313">
        <f t="shared" si="48"/>
        <v>1</v>
      </c>
      <c r="J270" s="1129"/>
      <c r="K270" s="313">
        <f t="shared" si="49"/>
        <v>1</v>
      </c>
      <c r="L270" s="1129"/>
      <c r="M270" s="313">
        <f t="shared" si="50"/>
        <v>1</v>
      </c>
      <c r="N270" s="1129"/>
      <c r="O270" s="313">
        <f t="shared" si="51"/>
        <v>1</v>
      </c>
      <c r="P270" s="1129"/>
      <c r="Q270" s="313">
        <f t="shared" si="52"/>
        <v>0</v>
      </c>
      <c r="R270" s="1125">
        <f t="shared" si="53"/>
        <v>0</v>
      </c>
      <c r="S270" s="698">
        <f t="shared" si="54"/>
        <v>0</v>
      </c>
    </row>
    <row r="271" spans="1:19">
      <c r="A271" s="491"/>
      <c r="B271" s="348"/>
      <c r="C271" s="313">
        <f t="shared" si="45"/>
        <v>1</v>
      </c>
      <c r="D271" s="1129"/>
      <c r="E271" s="313">
        <f t="shared" si="46"/>
        <v>1</v>
      </c>
      <c r="F271" s="1129"/>
      <c r="G271" s="313">
        <f t="shared" si="47"/>
        <v>0.02</v>
      </c>
      <c r="H271" s="1129"/>
      <c r="I271" s="313">
        <f t="shared" si="48"/>
        <v>1</v>
      </c>
      <c r="J271" s="1129"/>
      <c r="K271" s="313">
        <f t="shared" si="49"/>
        <v>1</v>
      </c>
      <c r="L271" s="1129"/>
      <c r="M271" s="313">
        <f t="shared" si="50"/>
        <v>1</v>
      </c>
      <c r="N271" s="1129"/>
      <c r="O271" s="313">
        <f t="shared" si="51"/>
        <v>1</v>
      </c>
      <c r="P271" s="1129"/>
      <c r="Q271" s="313">
        <f t="shared" si="52"/>
        <v>0</v>
      </c>
      <c r="R271" s="1125">
        <f t="shared" si="53"/>
        <v>0</v>
      </c>
      <c r="S271" s="698">
        <f t="shared" si="54"/>
        <v>0</v>
      </c>
    </row>
    <row r="272" spans="1:19">
      <c r="A272" s="491"/>
      <c r="B272" s="348"/>
      <c r="C272" s="313">
        <f t="shared" si="45"/>
        <v>1</v>
      </c>
      <c r="D272" s="1129"/>
      <c r="E272" s="313">
        <f t="shared" si="46"/>
        <v>1</v>
      </c>
      <c r="F272" s="1129"/>
      <c r="G272" s="313">
        <f t="shared" si="47"/>
        <v>0.02</v>
      </c>
      <c r="H272" s="1129"/>
      <c r="I272" s="313">
        <f t="shared" si="48"/>
        <v>1</v>
      </c>
      <c r="J272" s="1129"/>
      <c r="K272" s="313">
        <f t="shared" si="49"/>
        <v>1</v>
      </c>
      <c r="L272" s="1129"/>
      <c r="M272" s="313">
        <f t="shared" si="50"/>
        <v>1</v>
      </c>
      <c r="N272" s="1129"/>
      <c r="O272" s="313">
        <f t="shared" si="51"/>
        <v>1</v>
      </c>
      <c r="P272" s="1129"/>
      <c r="Q272" s="313">
        <f t="shared" si="52"/>
        <v>0</v>
      </c>
      <c r="R272" s="1125">
        <f t="shared" si="53"/>
        <v>0</v>
      </c>
      <c r="S272" s="698">
        <f t="shared" si="54"/>
        <v>0</v>
      </c>
    </row>
    <row r="273" spans="1:19">
      <c r="A273" s="491"/>
      <c r="B273" s="348"/>
      <c r="C273" s="313">
        <f t="shared" si="45"/>
        <v>1</v>
      </c>
      <c r="D273" s="1129"/>
      <c r="E273" s="313">
        <f t="shared" si="46"/>
        <v>1</v>
      </c>
      <c r="F273" s="1129"/>
      <c r="G273" s="313">
        <f t="shared" si="47"/>
        <v>0.02</v>
      </c>
      <c r="H273" s="1129"/>
      <c r="I273" s="313">
        <f t="shared" si="48"/>
        <v>1</v>
      </c>
      <c r="J273" s="1129"/>
      <c r="K273" s="313">
        <f t="shared" si="49"/>
        <v>1</v>
      </c>
      <c r="L273" s="1129"/>
      <c r="M273" s="313">
        <f t="shared" si="50"/>
        <v>1</v>
      </c>
      <c r="N273" s="1129"/>
      <c r="O273" s="313">
        <f t="shared" si="51"/>
        <v>1</v>
      </c>
      <c r="P273" s="1129"/>
      <c r="Q273" s="313">
        <f t="shared" si="52"/>
        <v>0</v>
      </c>
      <c r="R273" s="1125">
        <f t="shared" si="53"/>
        <v>0</v>
      </c>
      <c r="S273" s="698">
        <f t="shared" si="54"/>
        <v>0</v>
      </c>
    </row>
    <row r="274" spans="1:19">
      <c r="A274" s="491"/>
      <c r="B274" s="348"/>
      <c r="C274" s="313">
        <f t="shared" si="45"/>
        <v>1</v>
      </c>
      <c r="D274" s="1129"/>
      <c r="E274" s="313">
        <f t="shared" si="46"/>
        <v>1</v>
      </c>
      <c r="F274" s="1129"/>
      <c r="G274" s="313">
        <f t="shared" si="47"/>
        <v>0.02</v>
      </c>
      <c r="H274" s="1129"/>
      <c r="I274" s="313">
        <f t="shared" si="48"/>
        <v>1</v>
      </c>
      <c r="J274" s="1129"/>
      <c r="K274" s="313">
        <f t="shared" si="49"/>
        <v>1</v>
      </c>
      <c r="L274" s="1129"/>
      <c r="M274" s="313">
        <f t="shared" si="50"/>
        <v>1</v>
      </c>
      <c r="N274" s="1129"/>
      <c r="O274" s="313">
        <f t="shared" si="51"/>
        <v>1</v>
      </c>
      <c r="P274" s="1129"/>
      <c r="Q274" s="313">
        <f t="shared" si="52"/>
        <v>0</v>
      </c>
      <c r="R274" s="1125">
        <f t="shared" si="53"/>
        <v>0</v>
      </c>
      <c r="S274" s="698">
        <f t="shared" si="54"/>
        <v>0</v>
      </c>
    </row>
    <row r="275" spans="1:19">
      <c r="A275" s="491"/>
      <c r="B275" s="348"/>
      <c r="C275" s="313">
        <f t="shared" si="45"/>
        <v>1</v>
      </c>
      <c r="D275" s="1129"/>
      <c r="E275" s="313">
        <f t="shared" si="46"/>
        <v>1</v>
      </c>
      <c r="F275" s="1129"/>
      <c r="G275" s="313">
        <f t="shared" si="47"/>
        <v>0.02</v>
      </c>
      <c r="H275" s="1129"/>
      <c r="I275" s="313">
        <f t="shared" si="48"/>
        <v>1</v>
      </c>
      <c r="J275" s="1129"/>
      <c r="K275" s="313">
        <f t="shared" si="49"/>
        <v>1</v>
      </c>
      <c r="L275" s="1129"/>
      <c r="M275" s="313">
        <f t="shared" si="50"/>
        <v>1</v>
      </c>
      <c r="N275" s="1129"/>
      <c r="O275" s="313">
        <f t="shared" si="51"/>
        <v>1</v>
      </c>
      <c r="P275" s="1129"/>
      <c r="Q275" s="313">
        <f t="shared" si="52"/>
        <v>0</v>
      </c>
      <c r="R275" s="1125">
        <f t="shared" si="53"/>
        <v>0</v>
      </c>
      <c r="S275" s="698">
        <f t="shared" si="54"/>
        <v>0</v>
      </c>
    </row>
    <row r="276" spans="1:19">
      <c r="A276" s="491"/>
      <c r="B276" s="348"/>
      <c r="C276" s="313">
        <f t="shared" si="45"/>
        <v>1</v>
      </c>
      <c r="D276" s="1129"/>
      <c r="E276" s="313">
        <f t="shared" si="46"/>
        <v>1</v>
      </c>
      <c r="F276" s="1129"/>
      <c r="G276" s="313">
        <f t="shared" si="47"/>
        <v>0.02</v>
      </c>
      <c r="H276" s="1129"/>
      <c r="I276" s="313">
        <f t="shared" si="48"/>
        <v>1</v>
      </c>
      <c r="J276" s="1129"/>
      <c r="K276" s="313">
        <f t="shared" si="49"/>
        <v>1</v>
      </c>
      <c r="L276" s="1129"/>
      <c r="M276" s="313">
        <f t="shared" si="50"/>
        <v>1</v>
      </c>
      <c r="N276" s="1129"/>
      <c r="O276" s="313">
        <f t="shared" si="51"/>
        <v>1</v>
      </c>
      <c r="P276" s="1129"/>
      <c r="Q276" s="313">
        <f t="shared" si="52"/>
        <v>0</v>
      </c>
      <c r="R276" s="1125">
        <f t="shared" si="53"/>
        <v>0</v>
      </c>
      <c r="S276" s="698">
        <f t="shared" si="54"/>
        <v>0</v>
      </c>
    </row>
    <row r="277" spans="1:19">
      <c r="A277" s="491"/>
      <c r="B277" s="348"/>
      <c r="C277" s="313">
        <f t="shared" si="45"/>
        <v>1</v>
      </c>
      <c r="D277" s="1129"/>
      <c r="E277" s="313">
        <f t="shared" si="46"/>
        <v>1</v>
      </c>
      <c r="F277" s="1129"/>
      <c r="G277" s="313">
        <f t="shared" si="47"/>
        <v>0.02</v>
      </c>
      <c r="H277" s="1129"/>
      <c r="I277" s="313">
        <f t="shared" si="48"/>
        <v>1</v>
      </c>
      <c r="J277" s="1129"/>
      <c r="K277" s="313">
        <f t="shared" si="49"/>
        <v>1</v>
      </c>
      <c r="L277" s="1129"/>
      <c r="M277" s="313">
        <f t="shared" si="50"/>
        <v>1</v>
      </c>
      <c r="N277" s="1129"/>
      <c r="O277" s="313">
        <f t="shared" si="51"/>
        <v>1</v>
      </c>
      <c r="P277" s="1129"/>
      <c r="Q277" s="313">
        <f t="shared" si="52"/>
        <v>0</v>
      </c>
      <c r="R277" s="1125">
        <f t="shared" si="53"/>
        <v>0</v>
      </c>
      <c r="S277" s="698">
        <f t="shared" si="54"/>
        <v>0</v>
      </c>
    </row>
    <row r="278" spans="1:19">
      <c r="A278" s="491"/>
      <c r="B278" s="348"/>
      <c r="C278" s="313">
        <f t="shared" si="45"/>
        <v>1</v>
      </c>
      <c r="D278" s="1129"/>
      <c r="E278" s="313">
        <f t="shared" si="46"/>
        <v>1</v>
      </c>
      <c r="F278" s="1129"/>
      <c r="G278" s="313">
        <f t="shared" si="47"/>
        <v>0.02</v>
      </c>
      <c r="H278" s="1129"/>
      <c r="I278" s="313">
        <f t="shared" si="48"/>
        <v>1</v>
      </c>
      <c r="J278" s="1129"/>
      <c r="K278" s="313">
        <f t="shared" si="49"/>
        <v>1</v>
      </c>
      <c r="L278" s="1129"/>
      <c r="M278" s="313">
        <f t="shared" si="50"/>
        <v>1</v>
      </c>
      <c r="N278" s="1129"/>
      <c r="O278" s="313">
        <f t="shared" si="51"/>
        <v>1</v>
      </c>
      <c r="P278" s="1129"/>
      <c r="Q278" s="313">
        <f t="shared" si="52"/>
        <v>0</v>
      </c>
      <c r="R278" s="1125">
        <f t="shared" si="53"/>
        <v>0</v>
      </c>
      <c r="S278" s="698">
        <f t="shared" si="54"/>
        <v>0</v>
      </c>
    </row>
    <row r="279" spans="1:19">
      <c r="A279" s="491"/>
      <c r="B279" s="348"/>
      <c r="C279" s="313">
        <f t="shared" si="45"/>
        <v>1</v>
      </c>
      <c r="D279" s="1129"/>
      <c r="E279" s="313">
        <f t="shared" si="46"/>
        <v>1</v>
      </c>
      <c r="F279" s="1129"/>
      <c r="G279" s="313">
        <f t="shared" si="47"/>
        <v>0.02</v>
      </c>
      <c r="H279" s="1129"/>
      <c r="I279" s="313">
        <f t="shared" si="48"/>
        <v>1</v>
      </c>
      <c r="J279" s="1129"/>
      <c r="K279" s="313">
        <f t="shared" si="49"/>
        <v>1</v>
      </c>
      <c r="L279" s="1129"/>
      <c r="M279" s="313">
        <f t="shared" si="50"/>
        <v>1</v>
      </c>
      <c r="N279" s="1129"/>
      <c r="O279" s="313">
        <f t="shared" si="51"/>
        <v>1</v>
      </c>
      <c r="P279" s="1129"/>
      <c r="Q279" s="313">
        <f t="shared" si="52"/>
        <v>0</v>
      </c>
      <c r="R279" s="1125">
        <f t="shared" si="53"/>
        <v>0</v>
      </c>
      <c r="S279" s="698">
        <f t="shared" si="54"/>
        <v>0</v>
      </c>
    </row>
    <row r="280" spans="1:19">
      <c r="A280" s="491"/>
      <c r="B280" s="348"/>
      <c r="C280" s="313">
        <f t="shared" si="45"/>
        <v>1</v>
      </c>
      <c r="D280" s="1129"/>
      <c r="E280" s="313">
        <f t="shared" si="46"/>
        <v>1</v>
      </c>
      <c r="F280" s="1129"/>
      <c r="G280" s="313">
        <f t="shared" si="47"/>
        <v>0.02</v>
      </c>
      <c r="H280" s="1129"/>
      <c r="I280" s="313">
        <f t="shared" si="48"/>
        <v>1</v>
      </c>
      <c r="J280" s="1129"/>
      <c r="K280" s="313">
        <f t="shared" si="49"/>
        <v>1</v>
      </c>
      <c r="L280" s="1129"/>
      <c r="M280" s="313">
        <f t="shared" si="50"/>
        <v>1</v>
      </c>
      <c r="N280" s="1129"/>
      <c r="O280" s="313">
        <f t="shared" si="51"/>
        <v>1</v>
      </c>
      <c r="P280" s="1129"/>
      <c r="Q280" s="313">
        <f t="shared" si="52"/>
        <v>0</v>
      </c>
      <c r="R280" s="1125">
        <f t="shared" si="53"/>
        <v>0</v>
      </c>
      <c r="S280" s="698">
        <f t="shared" si="54"/>
        <v>0</v>
      </c>
    </row>
    <row r="281" spans="1:19">
      <c r="A281" s="491"/>
      <c r="B281" s="348"/>
      <c r="C281" s="313">
        <f t="shared" si="45"/>
        <v>1</v>
      </c>
      <c r="D281" s="1129"/>
      <c r="E281" s="313">
        <f t="shared" si="46"/>
        <v>1</v>
      </c>
      <c r="F281" s="1129"/>
      <c r="G281" s="313">
        <f t="shared" si="47"/>
        <v>0.02</v>
      </c>
      <c r="H281" s="1129"/>
      <c r="I281" s="313">
        <f t="shared" si="48"/>
        <v>1</v>
      </c>
      <c r="J281" s="1129"/>
      <c r="K281" s="313">
        <f t="shared" si="49"/>
        <v>1</v>
      </c>
      <c r="L281" s="1129"/>
      <c r="M281" s="313">
        <f t="shared" si="50"/>
        <v>1</v>
      </c>
      <c r="N281" s="1129"/>
      <c r="O281" s="313">
        <f t="shared" si="51"/>
        <v>1</v>
      </c>
      <c r="P281" s="1129"/>
      <c r="Q281" s="313">
        <f t="shared" si="52"/>
        <v>0</v>
      </c>
      <c r="R281" s="1125">
        <f t="shared" si="53"/>
        <v>0</v>
      </c>
      <c r="S281" s="698">
        <f t="shared" si="54"/>
        <v>0</v>
      </c>
    </row>
    <row r="282" spans="1:19">
      <c r="A282" s="491"/>
      <c r="B282" s="348"/>
      <c r="C282" s="313">
        <f t="shared" ref="C282:C345" si="55">IF(B282="",1,(LOOKUP(B282,$3:$3,$4:$4)-LOOKUP($B$24,$3:$3,$4:$4)+100)/100)</f>
        <v>1</v>
      </c>
      <c r="D282" s="1129"/>
      <c r="E282" s="313">
        <f t="shared" ref="E282:E345" si="56">(SUMIF($5:$5,D282,$6:$6)-SUMIF($5:$5,$D$24,$6:$6)+100)/100</f>
        <v>1</v>
      </c>
      <c r="F282" s="1129"/>
      <c r="G282" s="313">
        <f t="shared" ref="G282:G345" si="57">(SUMIF($7:$7,F282,$8:$8)-SUMIF($7:$7,$F$24,$8:$8)+100)/100</f>
        <v>0.02</v>
      </c>
      <c r="H282" s="1129"/>
      <c r="I282" s="313">
        <f t="shared" ref="I282:I345" si="58">(SUMIF($9:$9,H282,$10:$10)-SUMIF($9:$9,$H$24,$10:$10)+100)/100</f>
        <v>1</v>
      </c>
      <c r="J282" s="1129"/>
      <c r="K282" s="313">
        <f t="shared" ref="K282:K345" si="59">(SUMIF($11:$11,J282,$12:$12)-SUMIF($11:$11,$J$24,$12:$12)+100)/100</f>
        <v>1</v>
      </c>
      <c r="L282" s="1129"/>
      <c r="M282" s="313">
        <f t="shared" ref="M282:M345" si="60">(SUMIF($13:$13,L282,$14:$14)-SUMIF($13:$13,$L$24,$14:$14)+100)/100</f>
        <v>1</v>
      </c>
      <c r="N282" s="1129"/>
      <c r="O282" s="313">
        <f t="shared" ref="O282:O345" si="61">(SUMIF($15:$15,N282,$16:$16)-SUMIF($15:$15,$N$24,$16:$16)+100)/100</f>
        <v>1</v>
      </c>
      <c r="P282" s="1129"/>
      <c r="Q282" s="313">
        <f t="shared" ref="Q282:Q345" si="62">(SUMIF($17:$17,P282,$18:$18)-SUMIF($17:$17,$P$24,$18:$18)+100)/100</f>
        <v>0</v>
      </c>
      <c r="R282" s="1125">
        <f t="shared" ref="R282:R345" si="63">IF(B282="",0,ROUND($R$24*C282*E282*G282*I282*K282*M282*O282*Q282,0))</f>
        <v>0</v>
      </c>
      <c r="S282" s="698">
        <f t="shared" si="54"/>
        <v>0</v>
      </c>
    </row>
    <row r="283" spans="1:19">
      <c r="A283" s="491"/>
      <c r="B283" s="348"/>
      <c r="C283" s="313">
        <f t="shared" si="55"/>
        <v>1</v>
      </c>
      <c r="D283" s="1129"/>
      <c r="E283" s="313">
        <f t="shared" si="56"/>
        <v>1</v>
      </c>
      <c r="F283" s="1129"/>
      <c r="G283" s="313">
        <f t="shared" si="57"/>
        <v>0.02</v>
      </c>
      <c r="H283" s="1129"/>
      <c r="I283" s="313">
        <f t="shared" si="58"/>
        <v>1</v>
      </c>
      <c r="J283" s="1129"/>
      <c r="K283" s="313">
        <f t="shared" si="59"/>
        <v>1</v>
      </c>
      <c r="L283" s="1129"/>
      <c r="M283" s="313">
        <f t="shared" si="60"/>
        <v>1</v>
      </c>
      <c r="N283" s="1129"/>
      <c r="O283" s="313">
        <f t="shared" si="61"/>
        <v>1</v>
      </c>
      <c r="P283" s="1129"/>
      <c r="Q283" s="313">
        <f t="shared" si="62"/>
        <v>0</v>
      </c>
      <c r="R283" s="1125">
        <f t="shared" si="63"/>
        <v>0</v>
      </c>
      <c r="S283" s="698">
        <f t="shared" si="54"/>
        <v>0</v>
      </c>
    </row>
    <row r="284" spans="1:19">
      <c r="A284" s="491"/>
      <c r="B284" s="348"/>
      <c r="C284" s="313">
        <f t="shared" si="55"/>
        <v>1</v>
      </c>
      <c r="D284" s="1129"/>
      <c r="E284" s="313">
        <f t="shared" si="56"/>
        <v>1</v>
      </c>
      <c r="F284" s="1129"/>
      <c r="G284" s="313">
        <f t="shared" si="57"/>
        <v>0.02</v>
      </c>
      <c r="H284" s="1129"/>
      <c r="I284" s="313">
        <f t="shared" si="58"/>
        <v>1</v>
      </c>
      <c r="J284" s="1129"/>
      <c r="K284" s="313">
        <f t="shared" si="59"/>
        <v>1</v>
      </c>
      <c r="L284" s="1129"/>
      <c r="M284" s="313">
        <f t="shared" si="60"/>
        <v>1</v>
      </c>
      <c r="N284" s="1129"/>
      <c r="O284" s="313">
        <f t="shared" si="61"/>
        <v>1</v>
      </c>
      <c r="P284" s="1129"/>
      <c r="Q284" s="313">
        <f t="shared" si="62"/>
        <v>0</v>
      </c>
      <c r="R284" s="1125">
        <f t="shared" si="63"/>
        <v>0</v>
      </c>
      <c r="S284" s="698">
        <f t="shared" si="54"/>
        <v>0</v>
      </c>
    </row>
    <row r="285" spans="1:19">
      <c r="A285" s="491"/>
      <c r="B285" s="348"/>
      <c r="C285" s="313">
        <f t="shared" si="55"/>
        <v>1</v>
      </c>
      <c r="D285" s="1129"/>
      <c r="E285" s="313">
        <f t="shared" si="56"/>
        <v>1</v>
      </c>
      <c r="F285" s="1129"/>
      <c r="G285" s="313">
        <f t="shared" si="57"/>
        <v>0.02</v>
      </c>
      <c r="H285" s="1129"/>
      <c r="I285" s="313">
        <f t="shared" si="58"/>
        <v>1</v>
      </c>
      <c r="J285" s="1129"/>
      <c r="K285" s="313">
        <f t="shared" si="59"/>
        <v>1</v>
      </c>
      <c r="L285" s="1129"/>
      <c r="M285" s="313">
        <f t="shared" si="60"/>
        <v>1</v>
      </c>
      <c r="N285" s="1129"/>
      <c r="O285" s="313">
        <f t="shared" si="61"/>
        <v>1</v>
      </c>
      <c r="P285" s="1129"/>
      <c r="Q285" s="313">
        <f t="shared" si="62"/>
        <v>0</v>
      </c>
      <c r="R285" s="1125">
        <f t="shared" si="63"/>
        <v>0</v>
      </c>
      <c r="S285" s="698">
        <f t="shared" si="54"/>
        <v>0</v>
      </c>
    </row>
    <row r="286" spans="1:19">
      <c r="A286" s="491"/>
      <c r="B286" s="348"/>
      <c r="C286" s="313">
        <f t="shared" si="55"/>
        <v>1</v>
      </c>
      <c r="D286" s="1129"/>
      <c r="E286" s="313">
        <f t="shared" si="56"/>
        <v>1</v>
      </c>
      <c r="F286" s="1129"/>
      <c r="G286" s="313">
        <f t="shared" si="57"/>
        <v>0.02</v>
      </c>
      <c r="H286" s="1129"/>
      <c r="I286" s="313">
        <f t="shared" si="58"/>
        <v>1</v>
      </c>
      <c r="J286" s="1129"/>
      <c r="K286" s="313">
        <f t="shared" si="59"/>
        <v>1</v>
      </c>
      <c r="L286" s="1129"/>
      <c r="M286" s="313">
        <f t="shared" si="60"/>
        <v>1</v>
      </c>
      <c r="N286" s="1129"/>
      <c r="O286" s="313">
        <f t="shared" si="61"/>
        <v>1</v>
      </c>
      <c r="P286" s="1129"/>
      <c r="Q286" s="313">
        <f t="shared" si="62"/>
        <v>0</v>
      </c>
      <c r="R286" s="1125">
        <f t="shared" si="63"/>
        <v>0</v>
      </c>
      <c r="S286" s="698">
        <f t="shared" si="54"/>
        <v>0</v>
      </c>
    </row>
    <row r="287" spans="1:19">
      <c r="A287" s="491"/>
      <c r="B287" s="348"/>
      <c r="C287" s="313">
        <f t="shared" si="55"/>
        <v>1</v>
      </c>
      <c r="D287" s="1129"/>
      <c r="E287" s="313">
        <f t="shared" si="56"/>
        <v>1</v>
      </c>
      <c r="F287" s="1129"/>
      <c r="G287" s="313">
        <f t="shared" si="57"/>
        <v>0.02</v>
      </c>
      <c r="H287" s="1129"/>
      <c r="I287" s="313">
        <f t="shared" si="58"/>
        <v>1</v>
      </c>
      <c r="J287" s="1129"/>
      <c r="K287" s="313">
        <f t="shared" si="59"/>
        <v>1</v>
      </c>
      <c r="L287" s="1129"/>
      <c r="M287" s="313">
        <f t="shared" si="60"/>
        <v>1</v>
      </c>
      <c r="N287" s="1129"/>
      <c r="O287" s="313">
        <f t="shared" si="61"/>
        <v>1</v>
      </c>
      <c r="P287" s="1129"/>
      <c r="Q287" s="313">
        <f t="shared" si="62"/>
        <v>0</v>
      </c>
      <c r="R287" s="1125">
        <f t="shared" si="63"/>
        <v>0</v>
      </c>
      <c r="S287" s="698">
        <f t="shared" ref="S287:S320" si="64">ROUND(R287*B287/10000,0)</f>
        <v>0</v>
      </c>
    </row>
    <row r="288" spans="1:19">
      <c r="A288" s="491"/>
      <c r="B288" s="348"/>
      <c r="C288" s="313">
        <f t="shared" si="55"/>
        <v>1</v>
      </c>
      <c r="D288" s="1129"/>
      <c r="E288" s="313">
        <f t="shared" si="56"/>
        <v>1</v>
      </c>
      <c r="F288" s="1129"/>
      <c r="G288" s="313">
        <f t="shared" si="57"/>
        <v>0.02</v>
      </c>
      <c r="H288" s="1129"/>
      <c r="I288" s="313">
        <f t="shared" si="58"/>
        <v>1</v>
      </c>
      <c r="J288" s="1129"/>
      <c r="K288" s="313">
        <f t="shared" si="59"/>
        <v>1</v>
      </c>
      <c r="L288" s="1129"/>
      <c r="M288" s="313">
        <f t="shared" si="60"/>
        <v>1</v>
      </c>
      <c r="N288" s="1129"/>
      <c r="O288" s="313">
        <f t="shared" si="61"/>
        <v>1</v>
      </c>
      <c r="P288" s="1129"/>
      <c r="Q288" s="313">
        <f t="shared" si="62"/>
        <v>0</v>
      </c>
      <c r="R288" s="1125">
        <f t="shared" si="63"/>
        <v>0</v>
      </c>
      <c r="S288" s="698">
        <f t="shared" si="64"/>
        <v>0</v>
      </c>
    </row>
    <row r="289" spans="1:19">
      <c r="A289" s="491"/>
      <c r="B289" s="348"/>
      <c r="C289" s="313">
        <f t="shared" si="55"/>
        <v>1</v>
      </c>
      <c r="D289" s="1129"/>
      <c r="E289" s="313">
        <f t="shared" si="56"/>
        <v>1</v>
      </c>
      <c r="F289" s="1129"/>
      <c r="G289" s="313">
        <f t="shared" si="57"/>
        <v>0.02</v>
      </c>
      <c r="H289" s="1129"/>
      <c r="I289" s="313">
        <f t="shared" si="58"/>
        <v>1</v>
      </c>
      <c r="J289" s="1129"/>
      <c r="K289" s="313">
        <f t="shared" si="59"/>
        <v>1</v>
      </c>
      <c r="L289" s="1129"/>
      <c r="M289" s="313">
        <f t="shared" si="60"/>
        <v>1</v>
      </c>
      <c r="N289" s="1129"/>
      <c r="O289" s="313">
        <f t="shared" si="61"/>
        <v>1</v>
      </c>
      <c r="P289" s="1129"/>
      <c r="Q289" s="313">
        <f t="shared" si="62"/>
        <v>0</v>
      </c>
      <c r="R289" s="1125">
        <f t="shared" si="63"/>
        <v>0</v>
      </c>
      <c r="S289" s="698">
        <f t="shared" si="64"/>
        <v>0</v>
      </c>
    </row>
    <row r="290" spans="1:19">
      <c r="A290" s="491"/>
      <c r="B290" s="348"/>
      <c r="C290" s="313">
        <f t="shared" si="55"/>
        <v>1</v>
      </c>
      <c r="D290" s="1129"/>
      <c r="E290" s="313">
        <f t="shared" si="56"/>
        <v>1</v>
      </c>
      <c r="F290" s="1129"/>
      <c r="G290" s="313">
        <f t="shared" si="57"/>
        <v>0.02</v>
      </c>
      <c r="H290" s="1129"/>
      <c r="I290" s="313">
        <f t="shared" si="58"/>
        <v>1</v>
      </c>
      <c r="J290" s="1129"/>
      <c r="K290" s="313">
        <f t="shared" si="59"/>
        <v>1</v>
      </c>
      <c r="L290" s="1129"/>
      <c r="M290" s="313">
        <f t="shared" si="60"/>
        <v>1</v>
      </c>
      <c r="N290" s="1129"/>
      <c r="O290" s="313">
        <f t="shared" si="61"/>
        <v>1</v>
      </c>
      <c r="P290" s="1129"/>
      <c r="Q290" s="313">
        <f t="shared" si="62"/>
        <v>0</v>
      </c>
      <c r="R290" s="1125">
        <f t="shared" si="63"/>
        <v>0</v>
      </c>
      <c r="S290" s="698">
        <f t="shared" si="64"/>
        <v>0</v>
      </c>
    </row>
    <row r="291" spans="1:19">
      <c r="A291" s="491"/>
      <c r="B291" s="348"/>
      <c r="C291" s="313">
        <f t="shared" si="55"/>
        <v>1</v>
      </c>
      <c r="D291" s="1129"/>
      <c r="E291" s="313">
        <f t="shared" si="56"/>
        <v>1</v>
      </c>
      <c r="F291" s="1129"/>
      <c r="G291" s="313">
        <f t="shared" si="57"/>
        <v>0.02</v>
      </c>
      <c r="H291" s="1129"/>
      <c r="I291" s="313">
        <f t="shared" si="58"/>
        <v>1</v>
      </c>
      <c r="J291" s="1129"/>
      <c r="K291" s="313">
        <f t="shared" si="59"/>
        <v>1</v>
      </c>
      <c r="L291" s="1129"/>
      <c r="M291" s="313">
        <f t="shared" si="60"/>
        <v>1</v>
      </c>
      <c r="N291" s="1129"/>
      <c r="O291" s="313">
        <f t="shared" si="61"/>
        <v>1</v>
      </c>
      <c r="P291" s="1129"/>
      <c r="Q291" s="313">
        <f t="shared" si="62"/>
        <v>0</v>
      </c>
      <c r="R291" s="1125">
        <f t="shared" si="63"/>
        <v>0</v>
      </c>
      <c r="S291" s="698">
        <f t="shared" si="64"/>
        <v>0</v>
      </c>
    </row>
    <row r="292" spans="1:19">
      <c r="A292" s="491"/>
      <c r="B292" s="348"/>
      <c r="C292" s="313">
        <f t="shared" si="55"/>
        <v>1</v>
      </c>
      <c r="D292" s="1129"/>
      <c r="E292" s="313">
        <f t="shared" si="56"/>
        <v>1</v>
      </c>
      <c r="F292" s="1129"/>
      <c r="G292" s="313">
        <f t="shared" si="57"/>
        <v>0.02</v>
      </c>
      <c r="H292" s="1129"/>
      <c r="I292" s="313">
        <f t="shared" si="58"/>
        <v>1</v>
      </c>
      <c r="J292" s="1129"/>
      <c r="K292" s="313">
        <f t="shared" si="59"/>
        <v>1</v>
      </c>
      <c r="L292" s="1129"/>
      <c r="M292" s="313">
        <f t="shared" si="60"/>
        <v>1</v>
      </c>
      <c r="N292" s="1129"/>
      <c r="O292" s="313">
        <f t="shared" si="61"/>
        <v>1</v>
      </c>
      <c r="P292" s="1129"/>
      <c r="Q292" s="313">
        <f t="shared" si="62"/>
        <v>0</v>
      </c>
      <c r="R292" s="1125">
        <f t="shared" si="63"/>
        <v>0</v>
      </c>
      <c r="S292" s="698">
        <f t="shared" si="64"/>
        <v>0</v>
      </c>
    </row>
    <row r="293" spans="1:19">
      <c r="A293" s="491"/>
      <c r="B293" s="348"/>
      <c r="C293" s="313">
        <f t="shared" si="55"/>
        <v>1</v>
      </c>
      <c r="D293" s="1129"/>
      <c r="E293" s="313">
        <f t="shared" si="56"/>
        <v>1</v>
      </c>
      <c r="F293" s="1129"/>
      <c r="G293" s="313">
        <f t="shared" si="57"/>
        <v>0.02</v>
      </c>
      <c r="H293" s="1129"/>
      <c r="I293" s="313">
        <f t="shared" si="58"/>
        <v>1</v>
      </c>
      <c r="J293" s="1129"/>
      <c r="K293" s="313">
        <f t="shared" si="59"/>
        <v>1</v>
      </c>
      <c r="L293" s="1129"/>
      <c r="M293" s="313">
        <f t="shared" si="60"/>
        <v>1</v>
      </c>
      <c r="N293" s="1129"/>
      <c r="O293" s="313">
        <f t="shared" si="61"/>
        <v>1</v>
      </c>
      <c r="P293" s="1129"/>
      <c r="Q293" s="313">
        <f t="shared" si="62"/>
        <v>0</v>
      </c>
      <c r="R293" s="1125">
        <f t="shared" si="63"/>
        <v>0</v>
      </c>
      <c r="S293" s="698">
        <f t="shared" si="64"/>
        <v>0</v>
      </c>
    </row>
    <row r="294" spans="1:19">
      <c r="A294" s="491"/>
      <c r="B294" s="348"/>
      <c r="C294" s="313">
        <f t="shared" si="55"/>
        <v>1</v>
      </c>
      <c r="D294" s="1129"/>
      <c r="E294" s="313">
        <f t="shared" si="56"/>
        <v>1</v>
      </c>
      <c r="F294" s="1129"/>
      <c r="G294" s="313">
        <f t="shared" si="57"/>
        <v>0.02</v>
      </c>
      <c r="H294" s="1129"/>
      <c r="I294" s="313">
        <f t="shared" si="58"/>
        <v>1</v>
      </c>
      <c r="J294" s="1129"/>
      <c r="K294" s="313">
        <f t="shared" si="59"/>
        <v>1</v>
      </c>
      <c r="L294" s="1129"/>
      <c r="M294" s="313">
        <f t="shared" si="60"/>
        <v>1</v>
      </c>
      <c r="N294" s="1129"/>
      <c r="O294" s="313">
        <f t="shared" si="61"/>
        <v>1</v>
      </c>
      <c r="P294" s="1129"/>
      <c r="Q294" s="313">
        <f t="shared" si="62"/>
        <v>0</v>
      </c>
      <c r="R294" s="1125">
        <f t="shared" si="63"/>
        <v>0</v>
      </c>
      <c r="S294" s="698">
        <f t="shared" si="64"/>
        <v>0</v>
      </c>
    </row>
    <row r="295" spans="1:19">
      <c r="A295" s="491"/>
      <c r="B295" s="348"/>
      <c r="C295" s="313">
        <f t="shared" si="55"/>
        <v>1</v>
      </c>
      <c r="D295" s="1129"/>
      <c r="E295" s="313">
        <f t="shared" si="56"/>
        <v>1</v>
      </c>
      <c r="F295" s="1129"/>
      <c r="G295" s="313">
        <f t="shared" si="57"/>
        <v>0.02</v>
      </c>
      <c r="H295" s="1129"/>
      <c r="I295" s="313">
        <f t="shared" si="58"/>
        <v>1</v>
      </c>
      <c r="J295" s="1129"/>
      <c r="K295" s="313">
        <f t="shared" si="59"/>
        <v>1</v>
      </c>
      <c r="L295" s="1129"/>
      <c r="M295" s="313">
        <f t="shared" si="60"/>
        <v>1</v>
      </c>
      <c r="N295" s="1129"/>
      <c r="O295" s="313">
        <f t="shared" si="61"/>
        <v>1</v>
      </c>
      <c r="P295" s="1129"/>
      <c r="Q295" s="313">
        <f t="shared" si="62"/>
        <v>0</v>
      </c>
      <c r="R295" s="1125">
        <f t="shared" si="63"/>
        <v>0</v>
      </c>
      <c r="S295" s="698">
        <f t="shared" si="64"/>
        <v>0</v>
      </c>
    </row>
    <row r="296" spans="1:19">
      <c r="A296" s="491"/>
      <c r="B296" s="348"/>
      <c r="C296" s="313">
        <f t="shared" si="55"/>
        <v>1</v>
      </c>
      <c r="D296" s="1129"/>
      <c r="E296" s="313">
        <f t="shared" si="56"/>
        <v>1</v>
      </c>
      <c r="F296" s="1129"/>
      <c r="G296" s="313">
        <f t="shared" si="57"/>
        <v>0.02</v>
      </c>
      <c r="H296" s="1129"/>
      <c r="I296" s="313">
        <f t="shared" si="58"/>
        <v>1</v>
      </c>
      <c r="J296" s="1129"/>
      <c r="K296" s="313">
        <f t="shared" si="59"/>
        <v>1</v>
      </c>
      <c r="L296" s="1129"/>
      <c r="M296" s="313">
        <f t="shared" si="60"/>
        <v>1</v>
      </c>
      <c r="N296" s="1129"/>
      <c r="O296" s="313">
        <f t="shared" si="61"/>
        <v>1</v>
      </c>
      <c r="P296" s="1129"/>
      <c r="Q296" s="313">
        <f t="shared" si="62"/>
        <v>0</v>
      </c>
      <c r="R296" s="1125">
        <f t="shared" si="63"/>
        <v>0</v>
      </c>
      <c r="S296" s="698">
        <f t="shared" si="64"/>
        <v>0</v>
      </c>
    </row>
    <row r="297" spans="1:19">
      <c r="A297" s="491"/>
      <c r="B297" s="348"/>
      <c r="C297" s="313">
        <f t="shared" si="55"/>
        <v>1</v>
      </c>
      <c r="D297" s="1129"/>
      <c r="E297" s="313">
        <f t="shared" si="56"/>
        <v>1</v>
      </c>
      <c r="F297" s="1129"/>
      <c r="G297" s="313">
        <f t="shared" si="57"/>
        <v>0.02</v>
      </c>
      <c r="H297" s="1129"/>
      <c r="I297" s="313">
        <f t="shared" si="58"/>
        <v>1</v>
      </c>
      <c r="J297" s="1129"/>
      <c r="K297" s="313">
        <f t="shared" si="59"/>
        <v>1</v>
      </c>
      <c r="L297" s="1129"/>
      <c r="M297" s="313">
        <f t="shared" si="60"/>
        <v>1</v>
      </c>
      <c r="N297" s="1129"/>
      <c r="O297" s="313">
        <f t="shared" si="61"/>
        <v>1</v>
      </c>
      <c r="P297" s="1129"/>
      <c r="Q297" s="313">
        <f t="shared" si="62"/>
        <v>0</v>
      </c>
      <c r="R297" s="1125">
        <f t="shared" si="63"/>
        <v>0</v>
      </c>
      <c r="S297" s="698">
        <f t="shared" si="64"/>
        <v>0</v>
      </c>
    </row>
    <row r="298" spans="1:19">
      <c r="A298" s="491"/>
      <c r="B298" s="348"/>
      <c r="C298" s="313">
        <f t="shared" si="55"/>
        <v>1</v>
      </c>
      <c r="D298" s="1129"/>
      <c r="E298" s="313">
        <f t="shared" si="56"/>
        <v>1</v>
      </c>
      <c r="F298" s="1129"/>
      <c r="G298" s="313">
        <f t="shared" si="57"/>
        <v>0.02</v>
      </c>
      <c r="H298" s="1129"/>
      <c r="I298" s="313">
        <f t="shared" si="58"/>
        <v>1</v>
      </c>
      <c r="J298" s="1129"/>
      <c r="K298" s="313">
        <f t="shared" si="59"/>
        <v>1</v>
      </c>
      <c r="L298" s="1129"/>
      <c r="M298" s="313">
        <f t="shared" si="60"/>
        <v>1</v>
      </c>
      <c r="N298" s="1129"/>
      <c r="O298" s="313">
        <f t="shared" si="61"/>
        <v>1</v>
      </c>
      <c r="P298" s="1129"/>
      <c r="Q298" s="313">
        <f t="shared" si="62"/>
        <v>0</v>
      </c>
      <c r="R298" s="1125">
        <f t="shared" si="63"/>
        <v>0</v>
      </c>
      <c r="S298" s="698">
        <f t="shared" si="64"/>
        <v>0</v>
      </c>
    </row>
    <row r="299" spans="1:19">
      <c r="A299" s="491"/>
      <c r="B299" s="348"/>
      <c r="C299" s="313">
        <f t="shared" si="55"/>
        <v>1</v>
      </c>
      <c r="D299" s="1129"/>
      <c r="E299" s="313">
        <f t="shared" si="56"/>
        <v>1</v>
      </c>
      <c r="F299" s="1129"/>
      <c r="G299" s="313">
        <f t="shared" si="57"/>
        <v>0.02</v>
      </c>
      <c r="H299" s="1129"/>
      <c r="I299" s="313">
        <f t="shared" si="58"/>
        <v>1</v>
      </c>
      <c r="J299" s="1129"/>
      <c r="K299" s="313">
        <f t="shared" si="59"/>
        <v>1</v>
      </c>
      <c r="L299" s="1129"/>
      <c r="M299" s="313">
        <f t="shared" si="60"/>
        <v>1</v>
      </c>
      <c r="N299" s="1129"/>
      <c r="O299" s="313">
        <f t="shared" si="61"/>
        <v>1</v>
      </c>
      <c r="P299" s="1129"/>
      <c r="Q299" s="313">
        <f t="shared" si="62"/>
        <v>0</v>
      </c>
      <c r="R299" s="1125">
        <f t="shared" si="63"/>
        <v>0</v>
      </c>
      <c r="S299" s="698">
        <f t="shared" si="64"/>
        <v>0</v>
      </c>
    </row>
    <row r="300" spans="1:19">
      <c r="A300" s="491"/>
      <c r="B300" s="348"/>
      <c r="C300" s="313">
        <f t="shared" si="55"/>
        <v>1</v>
      </c>
      <c r="D300" s="1129"/>
      <c r="E300" s="313">
        <f t="shared" si="56"/>
        <v>1</v>
      </c>
      <c r="F300" s="1129"/>
      <c r="G300" s="313">
        <f t="shared" si="57"/>
        <v>0.02</v>
      </c>
      <c r="H300" s="1129"/>
      <c r="I300" s="313">
        <f t="shared" si="58"/>
        <v>1</v>
      </c>
      <c r="J300" s="1129"/>
      <c r="K300" s="313">
        <f t="shared" si="59"/>
        <v>1</v>
      </c>
      <c r="L300" s="1129"/>
      <c r="M300" s="313">
        <f t="shared" si="60"/>
        <v>1</v>
      </c>
      <c r="N300" s="1129"/>
      <c r="O300" s="313">
        <f t="shared" si="61"/>
        <v>1</v>
      </c>
      <c r="P300" s="1129"/>
      <c r="Q300" s="313">
        <f t="shared" si="62"/>
        <v>0</v>
      </c>
      <c r="R300" s="1125">
        <f t="shared" si="63"/>
        <v>0</v>
      </c>
      <c r="S300" s="698">
        <f t="shared" si="64"/>
        <v>0</v>
      </c>
    </row>
    <row r="301" spans="1:19">
      <c r="A301" s="491"/>
      <c r="B301" s="348"/>
      <c r="C301" s="313">
        <f t="shared" si="55"/>
        <v>1</v>
      </c>
      <c r="D301" s="1129"/>
      <c r="E301" s="313">
        <f t="shared" si="56"/>
        <v>1</v>
      </c>
      <c r="F301" s="1129"/>
      <c r="G301" s="313">
        <f t="shared" si="57"/>
        <v>0.02</v>
      </c>
      <c r="H301" s="1129"/>
      <c r="I301" s="313">
        <f t="shared" si="58"/>
        <v>1</v>
      </c>
      <c r="J301" s="1129"/>
      <c r="K301" s="313">
        <f t="shared" si="59"/>
        <v>1</v>
      </c>
      <c r="L301" s="1129"/>
      <c r="M301" s="313">
        <f t="shared" si="60"/>
        <v>1</v>
      </c>
      <c r="N301" s="1129"/>
      <c r="O301" s="313">
        <f t="shared" si="61"/>
        <v>1</v>
      </c>
      <c r="P301" s="1129"/>
      <c r="Q301" s="313">
        <f t="shared" si="62"/>
        <v>0</v>
      </c>
      <c r="R301" s="1125">
        <f t="shared" si="63"/>
        <v>0</v>
      </c>
      <c r="S301" s="698">
        <f t="shared" si="64"/>
        <v>0</v>
      </c>
    </row>
    <row r="302" spans="1:19">
      <c r="A302" s="491"/>
      <c r="B302" s="348"/>
      <c r="C302" s="313">
        <f t="shared" si="55"/>
        <v>1</v>
      </c>
      <c r="D302" s="1129"/>
      <c r="E302" s="313">
        <f t="shared" si="56"/>
        <v>1</v>
      </c>
      <c r="F302" s="1129"/>
      <c r="G302" s="313">
        <f t="shared" si="57"/>
        <v>0.02</v>
      </c>
      <c r="H302" s="1129"/>
      <c r="I302" s="313">
        <f t="shared" si="58"/>
        <v>1</v>
      </c>
      <c r="J302" s="1129"/>
      <c r="K302" s="313">
        <f t="shared" si="59"/>
        <v>1</v>
      </c>
      <c r="L302" s="1129"/>
      <c r="M302" s="313">
        <f t="shared" si="60"/>
        <v>1</v>
      </c>
      <c r="N302" s="1129"/>
      <c r="O302" s="313">
        <f t="shared" si="61"/>
        <v>1</v>
      </c>
      <c r="P302" s="1129"/>
      <c r="Q302" s="313">
        <f t="shared" si="62"/>
        <v>0</v>
      </c>
      <c r="R302" s="1125">
        <f t="shared" si="63"/>
        <v>0</v>
      </c>
      <c r="S302" s="698">
        <f t="shared" si="64"/>
        <v>0</v>
      </c>
    </row>
    <row r="303" spans="1:19">
      <c r="A303" s="491"/>
      <c r="B303" s="348"/>
      <c r="C303" s="313">
        <f t="shared" si="55"/>
        <v>1</v>
      </c>
      <c r="D303" s="1129"/>
      <c r="E303" s="313">
        <f t="shared" si="56"/>
        <v>1</v>
      </c>
      <c r="F303" s="1129"/>
      <c r="G303" s="313">
        <f t="shared" si="57"/>
        <v>0.02</v>
      </c>
      <c r="H303" s="1129"/>
      <c r="I303" s="313">
        <f t="shared" si="58"/>
        <v>1</v>
      </c>
      <c r="J303" s="1129"/>
      <c r="K303" s="313">
        <f t="shared" si="59"/>
        <v>1</v>
      </c>
      <c r="L303" s="1129"/>
      <c r="M303" s="313">
        <f t="shared" si="60"/>
        <v>1</v>
      </c>
      <c r="N303" s="1129"/>
      <c r="O303" s="313">
        <f t="shared" si="61"/>
        <v>1</v>
      </c>
      <c r="P303" s="1129"/>
      <c r="Q303" s="313">
        <f t="shared" si="62"/>
        <v>0</v>
      </c>
      <c r="R303" s="1125">
        <f t="shared" si="63"/>
        <v>0</v>
      </c>
      <c r="S303" s="698">
        <f t="shared" si="64"/>
        <v>0</v>
      </c>
    </row>
    <row r="304" spans="1:19">
      <c r="A304" s="491"/>
      <c r="B304" s="348"/>
      <c r="C304" s="313">
        <f t="shared" si="55"/>
        <v>1</v>
      </c>
      <c r="D304" s="1129"/>
      <c r="E304" s="313">
        <f t="shared" si="56"/>
        <v>1</v>
      </c>
      <c r="F304" s="1129"/>
      <c r="G304" s="313">
        <f t="shared" si="57"/>
        <v>0.02</v>
      </c>
      <c r="H304" s="1129"/>
      <c r="I304" s="313">
        <f t="shared" si="58"/>
        <v>1</v>
      </c>
      <c r="J304" s="1129"/>
      <c r="K304" s="313">
        <f t="shared" si="59"/>
        <v>1</v>
      </c>
      <c r="L304" s="1129"/>
      <c r="M304" s="313">
        <f t="shared" si="60"/>
        <v>1</v>
      </c>
      <c r="N304" s="1129"/>
      <c r="O304" s="313">
        <f t="shared" si="61"/>
        <v>1</v>
      </c>
      <c r="P304" s="1129"/>
      <c r="Q304" s="313">
        <f t="shared" si="62"/>
        <v>0</v>
      </c>
      <c r="R304" s="1125">
        <f t="shared" si="63"/>
        <v>0</v>
      </c>
      <c r="S304" s="698">
        <f t="shared" si="64"/>
        <v>0</v>
      </c>
    </row>
    <row r="305" spans="1:19">
      <c r="A305" s="491"/>
      <c r="B305" s="348"/>
      <c r="C305" s="313">
        <f t="shared" si="55"/>
        <v>1</v>
      </c>
      <c r="D305" s="1129"/>
      <c r="E305" s="313">
        <f t="shared" si="56"/>
        <v>1</v>
      </c>
      <c r="F305" s="1129"/>
      <c r="G305" s="313">
        <f t="shared" si="57"/>
        <v>0.02</v>
      </c>
      <c r="H305" s="1129"/>
      <c r="I305" s="313">
        <f t="shared" si="58"/>
        <v>1</v>
      </c>
      <c r="J305" s="1129"/>
      <c r="K305" s="313">
        <f t="shared" si="59"/>
        <v>1</v>
      </c>
      <c r="L305" s="1129"/>
      <c r="M305" s="313">
        <f t="shared" si="60"/>
        <v>1</v>
      </c>
      <c r="N305" s="1129"/>
      <c r="O305" s="313">
        <f t="shared" si="61"/>
        <v>1</v>
      </c>
      <c r="P305" s="1129"/>
      <c r="Q305" s="313">
        <f t="shared" si="62"/>
        <v>0</v>
      </c>
      <c r="R305" s="1125">
        <f t="shared" si="63"/>
        <v>0</v>
      </c>
      <c r="S305" s="698">
        <f t="shared" si="64"/>
        <v>0</v>
      </c>
    </row>
    <row r="306" spans="1:19">
      <c r="A306" s="491"/>
      <c r="B306" s="348"/>
      <c r="C306" s="313">
        <f t="shared" si="55"/>
        <v>1</v>
      </c>
      <c r="D306" s="1129"/>
      <c r="E306" s="313">
        <f t="shared" si="56"/>
        <v>1</v>
      </c>
      <c r="F306" s="1129"/>
      <c r="G306" s="313">
        <f t="shared" si="57"/>
        <v>0.02</v>
      </c>
      <c r="H306" s="1129"/>
      <c r="I306" s="313">
        <f t="shared" si="58"/>
        <v>1</v>
      </c>
      <c r="J306" s="1129"/>
      <c r="K306" s="313">
        <f t="shared" si="59"/>
        <v>1</v>
      </c>
      <c r="L306" s="1129"/>
      <c r="M306" s="313">
        <f t="shared" si="60"/>
        <v>1</v>
      </c>
      <c r="N306" s="1129"/>
      <c r="O306" s="313">
        <f t="shared" si="61"/>
        <v>1</v>
      </c>
      <c r="P306" s="1129"/>
      <c r="Q306" s="313">
        <f t="shared" si="62"/>
        <v>0</v>
      </c>
      <c r="R306" s="1125">
        <f t="shared" si="63"/>
        <v>0</v>
      </c>
      <c r="S306" s="698">
        <f t="shared" si="64"/>
        <v>0</v>
      </c>
    </row>
    <row r="307" spans="1:19">
      <c r="A307" s="491"/>
      <c r="B307" s="348"/>
      <c r="C307" s="313">
        <f t="shared" si="55"/>
        <v>1</v>
      </c>
      <c r="D307" s="1129"/>
      <c r="E307" s="313">
        <f t="shared" si="56"/>
        <v>1</v>
      </c>
      <c r="F307" s="1129"/>
      <c r="G307" s="313">
        <f t="shared" si="57"/>
        <v>0.02</v>
      </c>
      <c r="H307" s="1129"/>
      <c r="I307" s="313">
        <f t="shared" si="58"/>
        <v>1</v>
      </c>
      <c r="J307" s="1129"/>
      <c r="K307" s="313">
        <f t="shared" si="59"/>
        <v>1</v>
      </c>
      <c r="L307" s="1129"/>
      <c r="M307" s="313">
        <f t="shared" si="60"/>
        <v>1</v>
      </c>
      <c r="N307" s="1129"/>
      <c r="O307" s="313">
        <f t="shared" si="61"/>
        <v>1</v>
      </c>
      <c r="P307" s="1129"/>
      <c r="Q307" s="313">
        <f t="shared" si="62"/>
        <v>0</v>
      </c>
      <c r="R307" s="1125">
        <f t="shared" si="63"/>
        <v>0</v>
      </c>
      <c r="S307" s="698">
        <f t="shared" si="64"/>
        <v>0</v>
      </c>
    </row>
    <row r="308" spans="1:19">
      <c r="A308" s="491"/>
      <c r="B308" s="348"/>
      <c r="C308" s="313">
        <f t="shared" si="55"/>
        <v>1</v>
      </c>
      <c r="D308" s="1129"/>
      <c r="E308" s="313">
        <f t="shared" si="56"/>
        <v>1</v>
      </c>
      <c r="F308" s="1129"/>
      <c r="G308" s="313">
        <f t="shared" si="57"/>
        <v>0.02</v>
      </c>
      <c r="H308" s="1129"/>
      <c r="I308" s="313">
        <f t="shared" si="58"/>
        <v>1</v>
      </c>
      <c r="J308" s="1129"/>
      <c r="K308" s="313">
        <f t="shared" si="59"/>
        <v>1</v>
      </c>
      <c r="L308" s="1129"/>
      <c r="M308" s="313">
        <f t="shared" si="60"/>
        <v>1</v>
      </c>
      <c r="N308" s="1129"/>
      <c r="O308" s="313">
        <f t="shared" si="61"/>
        <v>1</v>
      </c>
      <c r="P308" s="1129"/>
      <c r="Q308" s="313">
        <f t="shared" si="62"/>
        <v>0</v>
      </c>
      <c r="R308" s="1125">
        <f t="shared" si="63"/>
        <v>0</v>
      </c>
      <c r="S308" s="698">
        <f t="shared" si="64"/>
        <v>0</v>
      </c>
    </row>
    <row r="309" spans="1:19">
      <c r="A309" s="491"/>
      <c r="B309" s="348"/>
      <c r="C309" s="313">
        <f t="shared" si="55"/>
        <v>1</v>
      </c>
      <c r="D309" s="1129"/>
      <c r="E309" s="313">
        <f t="shared" si="56"/>
        <v>1</v>
      </c>
      <c r="F309" s="1129"/>
      <c r="G309" s="313">
        <f t="shared" si="57"/>
        <v>0.02</v>
      </c>
      <c r="H309" s="1129"/>
      <c r="I309" s="313">
        <f t="shared" si="58"/>
        <v>1</v>
      </c>
      <c r="J309" s="1129"/>
      <c r="K309" s="313">
        <f t="shared" si="59"/>
        <v>1</v>
      </c>
      <c r="L309" s="1129"/>
      <c r="M309" s="313">
        <f t="shared" si="60"/>
        <v>1</v>
      </c>
      <c r="N309" s="1129"/>
      <c r="O309" s="313">
        <f t="shared" si="61"/>
        <v>1</v>
      </c>
      <c r="P309" s="1129"/>
      <c r="Q309" s="313">
        <f t="shared" si="62"/>
        <v>0</v>
      </c>
      <c r="R309" s="1125">
        <f t="shared" si="63"/>
        <v>0</v>
      </c>
      <c r="S309" s="698">
        <f t="shared" si="64"/>
        <v>0</v>
      </c>
    </row>
    <row r="310" spans="1:19">
      <c r="A310" s="491"/>
      <c r="B310" s="348"/>
      <c r="C310" s="313">
        <f t="shared" si="55"/>
        <v>1</v>
      </c>
      <c r="D310" s="1129"/>
      <c r="E310" s="313">
        <f t="shared" si="56"/>
        <v>1</v>
      </c>
      <c r="F310" s="1129"/>
      <c r="G310" s="313">
        <f t="shared" si="57"/>
        <v>0.02</v>
      </c>
      <c r="H310" s="1129"/>
      <c r="I310" s="313">
        <f t="shared" si="58"/>
        <v>1</v>
      </c>
      <c r="J310" s="1129"/>
      <c r="K310" s="313">
        <f t="shared" si="59"/>
        <v>1</v>
      </c>
      <c r="L310" s="1129"/>
      <c r="M310" s="313">
        <f t="shared" si="60"/>
        <v>1</v>
      </c>
      <c r="N310" s="1129"/>
      <c r="O310" s="313">
        <f t="shared" si="61"/>
        <v>1</v>
      </c>
      <c r="P310" s="1129"/>
      <c r="Q310" s="313">
        <f t="shared" si="62"/>
        <v>0</v>
      </c>
      <c r="R310" s="1125">
        <f t="shared" si="63"/>
        <v>0</v>
      </c>
      <c r="S310" s="698">
        <f t="shared" si="64"/>
        <v>0</v>
      </c>
    </row>
    <row r="311" spans="1:19">
      <c r="A311" s="491"/>
      <c r="B311" s="348"/>
      <c r="C311" s="313">
        <f t="shared" si="55"/>
        <v>1</v>
      </c>
      <c r="D311" s="1129"/>
      <c r="E311" s="313">
        <f t="shared" si="56"/>
        <v>1</v>
      </c>
      <c r="F311" s="1129"/>
      <c r="G311" s="313">
        <f t="shared" si="57"/>
        <v>0.02</v>
      </c>
      <c r="H311" s="1129"/>
      <c r="I311" s="313">
        <f t="shared" si="58"/>
        <v>1</v>
      </c>
      <c r="J311" s="1129"/>
      <c r="K311" s="313">
        <f t="shared" si="59"/>
        <v>1</v>
      </c>
      <c r="L311" s="1129"/>
      <c r="M311" s="313">
        <f t="shared" si="60"/>
        <v>1</v>
      </c>
      <c r="N311" s="1129"/>
      <c r="O311" s="313">
        <f t="shared" si="61"/>
        <v>1</v>
      </c>
      <c r="P311" s="1129"/>
      <c r="Q311" s="313">
        <f t="shared" si="62"/>
        <v>0</v>
      </c>
      <c r="R311" s="1125">
        <f t="shared" si="63"/>
        <v>0</v>
      </c>
      <c r="S311" s="698">
        <f t="shared" si="64"/>
        <v>0</v>
      </c>
    </row>
    <row r="312" spans="1:19">
      <c r="A312" s="491"/>
      <c r="B312" s="348"/>
      <c r="C312" s="313">
        <f t="shared" si="55"/>
        <v>1</v>
      </c>
      <c r="D312" s="1129"/>
      <c r="E312" s="313">
        <f t="shared" si="56"/>
        <v>1</v>
      </c>
      <c r="F312" s="1129"/>
      <c r="G312" s="313">
        <f t="shared" si="57"/>
        <v>0.02</v>
      </c>
      <c r="H312" s="1129"/>
      <c r="I312" s="313">
        <f t="shared" si="58"/>
        <v>1</v>
      </c>
      <c r="J312" s="1129"/>
      <c r="K312" s="313">
        <f t="shared" si="59"/>
        <v>1</v>
      </c>
      <c r="L312" s="1129"/>
      <c r="M312" s="313">
        <f t="shared" si="60"/>
        <v>1</v>
      </c>
      <c r="N312" s="1129"/>
      <c r="O312" s="313">
        <f t="shared" si="61"/>
        <v>1</v>
      </c>
      <c r="P312" s="1129"/>
      <c r="Q312" s="313">
        <f t="shared" si="62"/>
        <v>0</v>
      </c>
      <c r="R312" s="1125">
        <f t="shared" si="63"/>
        <v>0</v>
      </c>
      <c r="S312" s="698">
        <f t="shared" si="64"/>
        <v>0</v>
      </c>
    </row>
    <row r="313" spans="1:19">
      <c r="A313" s="491"/>
      <c r="B313" s="348"/>
      <c r="C313" s="313">
        <f t="shared" si="55"/>
        <v>1</v>
      </c>
      <c r="D313" s="1129"/>
      <c r="E313" s="313">
        <f t="shared" si="56"/>
        <v>1</v>
      </c>
      <c r="F313" s="1129"/>
      <c r="G313" s="313">
        <f t="shared" si="57"/>
        <v>0.02</v>
      </c>
      <c r="H313" s="1129"/>
      <c r="I313" s="313">
        <f t="shared" si="58"/>
        <v>1</v>
      </c>
      <c r="J313" s="1129"/>
      <c r="K313" s="313">
        <f t="shared" si="59"/>
        <v>1</v>
      </c>
      <c r="L313" s="1129"/>
      <c r="M313" s="313">
        <f t="shared" si="60"/>
        <v>1</v>
      </c>
      <c r="N313" s="1129"/>
      <c r="O313" s="313">
        <f t="shared" si="61"/>
        <v>1</v>
      </c>
      <c r="P313" s="1129"/>
      <c r="Q313" s="313">
        <f t="shared" si="62"/>
        <v>0</v>
      </c>
      <c r="R313" s="1125">
        <f t="shared" si="63"/>
        <v>0</v>
      </c>
      <c r="S313" s="698">
        <f t="shared" si="64"/>
        <v>0</v>
      </c>
    </row>
    <row r="314" spans="1:19">
      <c r="A314" s="491"/>
      <c r="B314" s="348"/>
      <c r="C314" s="313">
        <f t="shared" si="55"/>
        <v>1</v>
      </c>
      <c r="D314" s="1129"/>
      <c r="E314" s="313">
        <f t="shared" si="56"/>
        <v>1</v>
      </c>
      <c r="F314" s="1129"/>
      <c r="G314" s="313">
        <f t="shared" si="57"/>
        <v>0.02</v>
      </c>
      <c r="H314" s="1129"/>
      <c r="I314" s="313">
        <f t="shared" si="58"/>
        <v>1</v>
      </c>
      <c r="J314" s="1129"/>
      <c r="K314" s="313">
        <f t="shared" si="59"/>
        <v>1</v>
      </c>
      <c r="L314" s="1129"/>
      <c r="M314" s="313">
        <f t="shared" si="60"/>
        <v>1</v>
      </c>
      <c r="N314" s="1129"/>
      <c r="O314" s="313">
        <f t="shared" si="61"/>
        <v>1</v>
      </c>
      <c r="P314" s="1129"/>
      <c r="Q314" s="313">
        <f t="shared" si="62"/>
        <v>0</v>
      </c>
      <c r="R314" s="1125">
        <f t="shared" si="63"/>
        <v>0</v>
      </c>
      <c r="S314" s="698">
        <f t="shared" si="64"/>
        <v>0</v>
      </c>
    </row>
    <row r="315" spans="1:19">
      <c r="A315" s="491"/>
      <c r="B315" s="348"/>
      <c r="C315" s="313">
        <f t="shared" si="55"/>
        <v>1</v>
      </c>
      <c r="D315" s="1129"/>
      <c r="E315" s="313">
        <f t="shared" si="56"/>
        <v>1</v>
      </c>
      <c r="F315" s="1129"/>
      <c r="G315" s="313">
        <f t="shared" si="57"/>
        <v>0.02</v>
      </c>
      <c r="H315" s="1129"/>
      <c r="I315" s="313">
        <f t="shared" si="58"/>
        <v>1</v>
      </c>
      <c r="J315" s="1129"/>
      <c r="K315" s="313">
        <f t="shared" si="59"/>
        <v>1</v>
      </c>
      <c r="L315" s="1129"/>
      <c r="M315" s="313">
        <f t="shared" si="60"/>
        <v>1</v>
      </c>
      <c r="N315" s="1129"/>
      <c r="O315" s="313">
        <f t="shared" si="61"/>
        <v>1</v>
      </c>
      <c r="P315" s="1129"/>
      <c r="Q315" s="313">
        <f t="shared" si="62"/>
        <v>0</v>
      </c>
      <c r="R315" s="1125">
        <f t="shared" si="63"/>
        <v>0</v>
      </c>
      <c r="S315" s="698">
        <f t="shared" si="64"/>
        <v>0</v>
      </c>
    </row>
    <row r="316" spans="1:19">
      <c r="A316" s="491"/>
      <c r="B316" s="348"/>
      <c r="C316" s="313">
        <f t="shared" si="55"/>
        <v>1</v>
      </c>
      <c r="D316" s="1129"/>
      <c r="E316" s="313">
        <f t="shared" si="56"/>
        <v>1</v>
      </c>
      <c r="F316" s="1129"/>
      <c r="G316" s="313">
        <f t="shared" si="57"/>
        <v>0.02</v>
      </c>
      <c r="H316" s="1129"/>
      <c r="I316" s="313">
        <f t="shared" si="58"/>
        <v>1</v>
      </c>
      <c r="J316" s="1129"/>
      <c r="K316" s="313">
        <f t="shared" si="59"/>
        <v>1</v>
      </c>
      <c r="L316" s="1129"/>
      <c r="M316" s="313">
        <f t="shared" si="60"/>
        <v>1</v>
      </c>
      <c r="N316" s="1129"/>
      <c r="O316" s="313">
        <f t="shared" si="61"/>
        <v>1</v>
      </c>
      <c r="P316" s="1129"/>
      <c r="Q316" s="313">
        <f t="shared" si="62"/>
        <v>0</v>
      </c>
      <c r="R316" s="1125">
        <f t="shared" si="63"/>
        <v>0</v>
      </c>
      <c r="S316" s="698">
        <f t="shared" si="64"/>
        <v>0</v>
      </c>
    </row>
    <row r="317" spans="1:19">
      <c r="A317" s="491"/>
      <c r="B317" s="348"/>
      <c r="C317" s="313">
        <f t="shared" si="55"/>
        <v>1</v>
      </c>
      <c r="D317" s="1129"/>
      <c r="E317" s="313">
        <f t="shared" si="56"/>
        <v>1</v>
      </c>
      <c r="F317" s="1129"/>
      <c r="G317" s="313">
        <f t="shared" si="57"/>
        <v>0.02</v>
      </c>
      <c r="H317" s="1129"/>
      <c r="I317" s="313">
        <f t="shared" si="58"/>
        <v>1</v>
      </c>
      <c r="J317" s="1129"/>
      <c r="K317" s="313">
        <f t="shared" si="59"/>
        <v>1</v>
      </c>
      <c r="L317" s="1129"/>
      <c r="M317" s="313">
        <f t="shared" si="60"/>
        <v>1</v>
      </c>
      <c r="N317" s="1129"/>
      <c r="O317" s="313">
        <f t="shared" si="61"/>
        <v>1</v>
      </c>
      <c r="P317" s="1129"/>
      <c r="Q317" s="313">
        <f t="shared" si="62"/>
        <v>0</v>
      </c>
      <c r="R317" s="1125">
        <f t="shared" si="63"/>
        <v>0</v>
      </c>
      <c r="S317" s="698">
        <f t="shared" si="64"/>
        <v>0</v>
      </c>
    </row>
    <row r="318" spans="1:19">
      <c r="A318" s="491"/>
      <c r="B318" s="348"/>
      <c r="C318" s="313">
        <f t="shared" si="55"/>
        <v>1</v>
      </c>
      <c r="D318" s="1129"/>
      <c r="E318" s="313">
        <f t="shared" si="56"/>
        <v>1</v>
      </c>
      <c r="F318" s="1129"/>
      <c r="G318" s="313">
        <f t="shared" si="57"/>
        <v>0.02</v>
      </c>
      <c r="H318" s="1129"/>
      <c r="I318" s="313">
        <f t="shared" si="58"/>
        <v>1</v>
      </c>
      <c r="J318" s="1129"/>
      <c r="K318" s="313">
        <f t="shared" si="59"/>
        <v>1</v>
      </c>
      <c r="L318" s="1129"/>
      <c r="M318" s="313">
        <f t="shared" si="60"/>
        <v>1</v>
      </c>
      <c r="N318" s="1129"/>
      <c r="O318" s="313">
        <f t="shared" si="61"/>
        <v>1</v>
      </c>
      <c r="P318" s="1129"/>
      <c r="Q318" s="313">
        <f t="shared" si="62"/>
        <v>0</v>
      </c>
      <c r="R318" s="1125">
        <f t="shared" si="63"/>
        <v>0</v>
      </c>
      <c r="S318" s="698">
        <f t="shared" si="64"/>
        <v>0</v>
      </c>
    </row>
    <row r="319" spans="1:19">
      <c r="A319" s="491"/>
      <c r="B319" s="348"/>
      <c r="C319" s="313">
        <f t="shared" si="55"/>
        <v>1</v>
      </c>
      <c r="D319" s="1129"/>
      <c r="E319" s="313">
        <f t="shared" si="56"/>
        <v>1</v>
      </c>
      <c r="F319" s="1129"/>
      <c r="G319" s="313">
        <f t="shared" si="57"/>
        <v>0.02</v>
      </c>
      <c r="H319" s="1129"/>
      <c r="I319" s="313">
        <f t="shared" si="58"/>
        <v>1</v>
      </c>
      <c r="J319" s="1129"/>
      <c r="K319" s="313">
        <f t="shared" si="59"/>
        <v>1</v>
      </c>
      <c r="L319" s="1129"/>
      <c r="M319" s="313">
        <f t="shared" si="60"/>
        <v>1</v>
      </c>
      <c r="N319" s="1129"/>
      <c r="O319" s="313">
        <f t="shared" si="61"/>
        <v>1</v>
      </c>
      <c r="P319" s="1129"/>
      <c r="Q319" s="313">
        <f t="shared" si="62"/>
        <v>0</v>
      </c>
      <c r="R319" s="1125">
        <f t="shared" si="63"/>
        <v>0</v>
      </c>
      <c r="S319" s="698">
        <f t="shared" si="64"/>
        <v>0</v>
      </c>
    </row>
    <row r="320" spans="1:19">
      <c r="A320" s="491"/>
      <c r="B320" s="348"/>
      <c r="C320" s="313">
        <f t="shared" si="55"/>
        <v>1</v>
      </c>
      <c r="D320" s="1129"/>
      <c r="E320" s="313">
        <f t="shared" si="56"/>
        <v>1</v>
      </c>
      <c r="F320" s="1129"/>
      <c r="G320" s="313">
        <f t="shared" si="57"/>
        <v>0.02</v>
      </c>
      <c r="H320" s="1129"/>
      <c r="I320" s="313">
        <f t="shared" si="58"/>
        <v>1</v>
      </c>
      <c r="J320" s="1129"/>
      <c r="K320" s="313">
        <f t="shared" si="59"/>
        <v>1</v>
      </c>
      <c r="L320" s="1129"/>
      <c r="M320" s="313">
        <f t="shared" si="60"/>
        <v>1</v>
      </c>
      <c r="N320" s="1129"/>
      <c r="O320" s="313">
        <f t="shared" si="61"/>
        <v>1</v>
      </c>
      <c r="P320" s="1129"/>
      <c r="Q320" s="313">
        <f t="shared" si="62"/>
        <v>0</v>
      </c>
      <c r="R320" s="1125">
        <f t="shared" si="63"/>
        <v>0</v>
      </c>
      <c r="S320" s="698">
        <f t="shared" si="64"/>
        <v>0</v>
      </c>
    </row>
    <row r="321" spans="1:19">
      <c r="A321" s="491"/>
      <c r="B321" s="348"/>
      <c r="C321" s="313">
        <f t="shared" si="55"/>
        <v>1</v>
      </c>
      <c r="D321" s="1129"/>
      <c r="E321" s="313">
        <f t="shared" si="56"/>
        <v>1</v>
      </c>
      <c r="F321" s="1129"/>
      <c r="G321" s="313">
        <f t="shared" si="57"/>
        <v>0.02</v>
      </c>
      <c r="H321" s="1129"/>
      <c r="I321" s="313">
        <f t="shared" si="58"/>
        <v>1</v>
      </c>
      <c r="J321" s="1129"/>
      <c r="K321" s="313">
        <f t="shared" si="59"/>
        <v>1</v>
      </c>
      <c r="L321" s="1129"/>
      <c r="M321" s="313">
        <f t="shared" si="60"/>
        <v>1</v>
      </c>
      <c r="N321" s="1129"/>
      <c r="O321" s="313">
        <f t="shared" si="61"/>
        <v>1</v>
      </c>
      <c r="P321" s="1129"/>
      <c r="Q321" s="313">
        <f t="shared" si="62"/>
        <v>0</v>
      </c>
      <c r="R321" s="1125">
        <f t="shared" si="63"/>
        <v>0</v>
      </c>
      <c r="S321" s="698">
        <f t="shared" ref="S321:S384" si="65">ROUND(R321*B321/10000,0)</f>
        <v>0</v>
      </c>
    </row>
    <row r="322" spans="1:19">
      <c r="A322" s="491"/>
      <c r="B322" s="348"/>
      <c r="C322" s="313">
        <f t="shared" si="55"/>
        <v>1</v>
      </c>
      <c r="D322" s="1129"/>
      <c r="E322" s="313">
        <f t="shared" si="56"/>
        <v>1</v>
      </c>
      <c r="F322" s="1129"/>
      <c r="G322" s="313">
        <f t="shared" si="57"/>
        <v>0.02</v>
      </c>
      <c r="H322" s="1129"/>
      <c r="I322" s="313">
        <f t="shared" si="58"/>
        <v>1</v>
      </c>
      <c r="J322" s="1129"/>
      <c r="K322" s="313">
        <f t="shared" si="59"/>
        <v>1</v>
      </c>
      <c r="L322" s="1129"/>
      <c r="M322" s="313">
        <f t="shared" si="60"/>
        <v>1</v>
      </c>
      <c r="N322" s="1129"/>
      <c r="O322" s="313">
        <f t="shared" si="61"/>
        <v>1</v>
      </c>
      <c r="P322" s="1129"/>
      <c r="Q322" s="313">
        <f t="shared" si="62"/>
        <v>0</v>
      </c>
      <c r="R322" s="1125">
        <f t="shared" si="63"/>
        <v>0</v>
      </c>
      <c r="S322" s="698">
        <f t="shared" si="65"/>
        <v>0</v>
      </c>
    </row>
    <row r="323" spans="1:19">
      <c r="A323" s="491"/>
      <c r="B323" s="348"/>
      <c r="C323" s="313">
        <f t="shared" si="55"/>
        <v>1</v>
      </c>
      <c r="D323" s="1129"/>
      <c r="E323" s="313">
        <f t="shared" si="56"/>
        <v>1</v>
      </c>
      <c r="F323" s="1129"/>
      <c r="G323" s="313">
        <f t="shared" si="57"/>
        <v>0.02</v>
      </c>
      <c r="H323" s="1129"/>
      <c r="I323" s="313">
        <f t="shared" si="58"/>
        <v>1</v>
      </c>
      <c r="J323" s="1129"/>
      <c r="K323" s="313">
        <f t="shared" si="59"/>
        <v>1</v>
      </c>
      <c r="L323" s="1129"/>
      <c r="M323" s="313">
        <f t="shared" si="60"/>
        <v>1</v>
      </c>
      <c r="N323" s="1129"/>
      <c r="O323" s="313">
        <f t="shared" si="61"/>
        <v>1</v>
      </c>
      <c r="P323" s="1129"/>
      <c r="Q323" s="313">
        <f t="shared" si="62"/>
        <v>0</v>
      </c>
      <c r="R323" s="1125">
        <f t="shared" si="63"/>
        <v>0</v>
      </c>
      <c r="S323" s="698">
        <f t="shared" si="65"/>
        <v>0</v>
      </c>
    </row>
    <row r="324" spans="1:19">
      <c r="A324" s="491"/>
      <c r="B324" s="348"/>
      <c r="C324" s="313">
        <f t="shared" si="55"/>
        <v>1</v>
      </c>
      <c r="D324" s="1129"/>
      <c r="E324" s="313">
        <f t="shared" si="56"/>
        <v>1</v>
      </c>
      <c r="F324" s="1129"/>
      <c r="G324" s="313">
        <f t="shared" si="57"/>
        <v>0.02</v>
      </c>
      <c r="H324" s="1129"/>
      <c r="I324" s="313">
        <f t="shared" si="58"/>
        <v>1</v>
      </c>
      <c r="J324" s="1129"/>
      <c r="K324" s="313">
        <f t="shared" si="59"/>
        <v>1</v>
      </c>
      <c r="L324" s="1129"/>
      <c r="M324" s="313">
        <f t="shared" si="60"/>
        <v>1</v>
      </c>
      <c r="N324" s="1129"/>
      <c r="O324" s="313">
        <f t="shared" si="61"/>
        <v>1</v>
      </c>
      <c r="P324" s="1129"/>
      <c r="Q324" s="313">
        <f t="shared" si="62"/>
        <v>0</v>
      </c>
      <c r="R324" s="1125">
        <f t="shared" si="63"/>
        <v>0</v>
      </c>
      <c r="S324" s="698">
        <f t="shared" si="65"/>
        <v>0</v>
      </c>
    </row>
    <row r="325" spans="1:19">
      <c r="A325" s="491"/>
      <c r="B325" s="348"/>
      <c r="C325" s="313">
        <f t="shared" si="55"/>
        <v>1</v>
      </c>
      <c r="D325" s="1129"/>
      <c r="E325" s="313">
        <f t="shared" si="56"/>
        <v>1</v>
      </c>
      <c r="F325" s="1129"/>
      <c r="G325" s="313">
        <f t="shared" si="57"/>
        <v>0.02</v>
      </c>
      <c r="H325" s="1129"/>
      <c r="I325" s="313">
        <f t="shared" si="58"/>
        <v>1</v>
      </c>
      <c r="J325" s="1129"/>
      <c r="K325" s="313">
        <f t="shared" si="59"/>
        <v>1</v>
      </c>
      <c r="L325" s="1129"/>
      <c r="M325" s="313">
        <f t="shared" si="60"/>
        <v>1</v>
      </c>
      <c r="N325" s="1129"/>
      <c r="O325" s="313">
        <f t="shared" si="61"/>
        <v>1</v>
      </c>
      <c r="P325" s="1129"/>
      <c r="Q325" s="313">
        <f t="shared" si="62"/>
        <v>0</v>
      </c>
      <c r="R325" s="1125">
        <f t="shared" si="63"/>
        <v>0</v>
      </c>
      <c r="S325" s="698">
        <f t="shared" si="65"/>
        <v>0</v>
      </c>
    </row>
    <row r="326" spans="1:19">
      <c r="A326" s="491"/>
      <c r="B326" s="348"/>
      <c r="C326" s="313">
        <f t="shared" si="55"/>
        <v>1</v>
      </c>
      <c r="D326" s="1129"/>
      <c r="E326" s="313">
        <f t="shared" si="56"/>
        <v>1</v>
      </c>
      <c r="F326" s="1129"/>
      <c r="G326" s="313">
        <f t="shared" si="57"/>
        <v>0.02</v>
      </c>
      <c r="H326" s="1129"/>
      <c r="I326" s="313">
        <f t="shared" si="58"/>
        <v>1</v>
      </c>
      <c r="J326" s="1129"/>
      <c r="K326" s="313">
        <f t="shared" si="59"/>
        <v>1</v>
      </c>
      <c r="L326" s="1129"/>
      <c r="M326" s="313">
        <f t="shared" si="60"/>
        <v>1</v>
      </c>
      <c r="N326" s="1129"/>
      <c r="O326" s="313">
        <f t="shared" si="61"/>
        <v>1</v>
      </c>
      <c r="P326" s="1129"/>
      <c r="Q326" s="313">
        <f t="shared" si="62"/>
        <v>0</v>
      </c>
      <c r="R326" s="1125">
        <f t="shared" si="63"/>
        <v>0</v>
      </c>
      <c r="S326" s="698">
        <f t="shared" si="65"/>
        <v>0</v>
      </c>
    </row>
    <row r="327" spans="1:19">
      <c r="A327" s="491"/>
      <c r="B327" s="348"/>
      <c r="C327" s="313">
        <f t="shared" si="55"/>
        <v>1</v>
      </c>
      <c r="D327" s="1129"/>
      <c r="E327" s="313">
        <f t="shared" si="56"/>
        <v>1</v>
      </c>
      <c r="F327" s="1129"/>
      <c r="G327" s="313">
        <f t="shared" si="57"/>
        <v>0.02</v>
      </c>
      <c r="H327" s="1129"/>
      <c r="I327" s="313">
        <f t="shared" si="58"/>
        <v>1</v>
      </c>
      <c r="J327" s="1129"/>
      <c r="K327" s="313">
        <f t="shared" si="59"/>
        <v>1</v>
      </c>
      <c r="L327" s="1129"/>
      <c r="M327" s="313">
        <f t="shared" si="60"/>
        <v>1</v>
      </c>
      <c r="N327" s="1129"/>
      <c r="O327" s="313">
        <f t="shared" si="61"/>
        <v>1</v>
      </c>
      <c r="P327" s="1129"/>
      <c r="Q327" s="313">
        <f t="shared" si="62"/>
        <v>0</v>
      </c>
      <c r="R327" s="1125">
        <f t="shared" si="63"/>
        <v>0</v>
      </c>
      <c r="S327" s="698">
        <f t="shared" si="65"/>
        <v>0</v>
      </c>
    </row>
    <row r="328" spans="1:19">
      <c r="A328" s="491"/>
      <c r="B328" s="348"/>
      <c r="C328" s="313">
        <f t="shared" si="55"/>
        <v>1</v>
      </c>
      <c r="D328" s="1129"/>
      <c r="E328" s="313">
        <f t="shared" si="56"/>
        <v>1</v>
      </c>
      <c r="F328" s="1129"/>
      <c r="G328" s="313">
        <f t="shared" si="57"/>
        <v>0.02</v>
      </c>
      <c r="H328" s="1129"/>
      <c r="I328" s="313">
        <f t="shared" si="58"/>
        <v>1</v>
      </c>
      <c r="J328" s="1129"/>
      <c r="K328" s="313">
        <f t="shared" si="59"/>
        <v>1</v>
      </c>
      <c r="L328" s="1129"/>
      <c r="M328" s="313">
        <f t="shared" si="60"/>
        <v>1</v>
      </c>
      <c r="N328" s="1129"/>
      <c r="O328" s="313">
        <f t="shared" si="61"/>
        <v>1</v>
      </c>
      <c r="P328" s="1129"/>
      <c r="Q328" s="313">
        <f t="shared" si="62"/>
        <v>0</v>
      </c>
      <c r="R328" s="1125">
        <f t="shared" si="63"/>
        <v>0</v>
      </c>
      <c r="S328" s="698">
        <f t="shared" si="65"/>
        <v>0</v>
      </c>
    </row>
    <row r="329" spans="1:19">
      <c r="A329" s="491"/>
      <c r="B329" s="348"/>
      <c r="C329" s="313">
        <f t="shared" si="55"/>
        <v>1</v>
      </c>
      <c r="D329" s="1129"/>
      <c r="E329" s="313">
        <f t="shared" si="56"/>
        <v>1</v>
      </c>
      <c r="F329" s="1129"/>
      <c r="G329" s="313">
        <f t="shared" si="57"/>
        <v>0.02</v>
      </c>
      <c r="H329" s="1129"/>
      <c r="I329" s="313">
        <f t="shared" si="58"/>
        <v>1</v>
      </c>
      <c r="J329" s="1129"/>
      <c r="K329" s="313">
        <f t="shared" si="59"/>
        <v>1</v>
      </c>
      <c r="L329" s="1129"/>
      <c r="M329" s="313">
        <f t="shared" si="60"/>
        <v>1</v>
      </c>
      <c r="N329" s="1129"/>
      <c r="O329" s="313">
        <f t="shared" si="61"/>
        <v>1</v>
      </c>
      <c r="P329" s="1129"/>
      <c r="Q329" s="313">
        <f t="shared" si="62"/>
        <v>0</v>
      </c>
      <c r="R329" s="1125">
        <f t="shared" si="63"/>
        <v>0</v>
      </c>
      <c r="S329" s="698">
        <f t="shared" si="65"/>
        <v>0</v>
      </c>
    </row>
    <row r="330" spans="1:19">
      <c r="A330" s="491"/>
      <c r="B330" s="348"/>
      <c r="C330" s="313">
        <f t="shared" si="55"/>
        <v>1</v>
      </c>
      <c r="D330" s="1129"/>
      <c r="E330" s="313">
        <f t="shared" si="56"/>
        <v>1</v>
      </c>
      <c r="F330" s="1129"/>
      <c r="G330" s="313">
        <f t="shared" si="57"/>
        <v>0.02</v>
      </c>
      <c r="H330" s="1129"/>
      <c r="I330" s="313">
        <f t="shared" si="58"/>
        <v>1</v>
      </c>
      <c r="J330" s="1129"/>
      <c r="K330" s="313">
        <f t="shared" si="59"/>
        <v>1</v>
      </c>
      <c r="L330" s="1129"/>
      <c r="M330" s="313">
        <f t="shared" si="60"/>
        <v>1</v>
      </c>
      <c r="N330" s="1129"/>
      <c r="O330" s="313">
        <f t="shared" si="61"/>
        <v>1</v>
      </c>
      <c r="P330" s="1129"/>
      <c r="Q330" s="313">
        <f t="shared" si="62"/>
        <v>0</v>
      </c>
      <c r="R330" s="1125">
        <f t="shared" si="63"/>
        <v>0</v>
      </c>
      <c r="S330" s="698">
        <f t="shared" si="65"/>
        <v>0</v>
      </c>
    </row>
    <row r="331" spans="1:19">
      <c r="A331" s="491"/>
      <c r="B331" s="348"/>
      <c r="C331" s="313">
        <f t="shared" si="55"/>
        <v>1</v>
      </c>
      <c r="D331" s="1129"/>
      <c r="E331" s="313">
        <f t="shared" si="56"/>
        <v>1</v>
      </c>
      <c r="F331" s="1129"/>
      <c r="G331" s="313">
        <f t="shared" si="57"/>
        <v>0.02</v>
      </c>
      <c r="H331" s="1129"/>
      <c r="I331" s="313">
        <f t="shared" si="58"/>
        <v>1</v>
      </c>
      <c r="J331" s="1129"/>
      <c r="K331" s="313">
        <f t="shared" si="59"/>
        <v>1</v>
      </c>
      <c r="L331" s="1129"/>
      <c r="M331" s="313">
        <f t="shared" si="60"/>
        <v>1</v>
      </c>
      <c r="N331" s="1129"/>
      <c r="O331" s="313">
        <f t="shared" si="61"/>
        <v>1</v>
      </c>
      <c r="P331" s="1129"/>
      <c r="Q331" s="313">
        <f t="shared" si="62"/>
        <v>0</v>
      </c>
      <c r="R331" s="1125">
        <f t="shared" si="63"/>
        <v>0</v>
      </c>
      <c r="S331" s="698">
        <f t="shared" si="65"/>
        <v>0</v>
      </c>
    </row>
    <row r="332" spans="1:19">
      <c r="A332" s="491"/>
      <c r="B332" s="348"/>
      <c r="C332" s="313">
        <f t="shared" si="55"/>
        <v>1</v>
      </c>
      <c r="D332" s="1129"/>
      <c r="E332" s="313">
        <f t="shared" si="56"/>
        <v>1</v>
      </c>
      <c r="F332" s="1129"/>
      <c r="G332" s="313">
        <f t="shared" si="57"/>
        <v>0.02</v>
      </c>
      <c r="H332" s="1129"/>
      <c r="I332" s="313">
        <f t="shared" si="58"/>
        <v>1</v>
      </c>
      <c r="J332" s="1129"/>
      <c r="K332" s="313">
        <f t="shared" si="59"/>
        <v>1</v>
      </c>
      <c r="L332" s="1129"/>
      <c r="M332" s="313">
        <f t="shared" si="60"/>
        <v>1</v>
      </c>
      <c r="N332" s="1129"/>
      <c r="O332" s="313">
        <f t="shared" si="61"/>
        <v>1</v>
      </c>
      <c r="P332" s="1129"/>
      <c r="Q332" s="313">
        <f t="shared" si="62"/>
        <v>0</v>
      </c>
      <c r="R332" s="1125">
        <f t="shared" si="63"/>
        <v>0</v>
      </c>
      <c r="S332" s="698">
        <f t="shared" si="65"/>
        <v>0</v>
      </c>
    </row>
    <row r="333" spans="1:19">
      <c r="A333" s="491"/>
      <c r="B333" s="348"/>
      <c r="C333" s="313">
        <f t="shared" si="55"/>
        <v>1</v>
      </c>
      <c r="D333" s="1129"/>
      <c r="E333" s="313">
        <f t="shared" si="56"/>
        <v>1</v>
      </c>
      <c r="F333" s="1129"/>
      <c r="G333" s="313">
        <f t="shared" si="57"/>
        <v>0.02</v>
      </c>
      <c r="H333" s="1129"/>
      <c r="I333" s="313">
        <f t="shared" si="58"/>
        <v>1</v>
      </c>
      <c r="J333" s="1129"/>
      <c r="K333" s="313">
        <f t="shared" si="59"/>
        <v>1</v>
      </c>
      <c r="L333" s="1129"/>
      <c r="M333" s="313">
        <f t="shared" si="60"/>
        <v>1</v>
      </c>
      <c r="N333" s="1129"/>
      <c r="O333" s="313">
        <f t="shared" si="61"/>
        <v>1</v>
      </c>
      <c r="P333" s="1129"/>
      <c r="Q333" s="313">
        <f t="shared" si="62"/>
        <v>0</v>
      </c>
      <c r="R333" s="1125">
        <f t="shared" si="63"/>
        <v>0</v>
      </c>
      <c r="S333" s="698">
        <f t="shared" si="65"/>
        <v>0</v>
      </c>
    </row>
    <row r="334" spans="1:19">
      <c r="A334" s="491"/>
      <c r="B334" s="348"/>
      <c r="C334" s="313">
        <f t="shared" si="55"/>
        <v>1</v>
      </c>
      <c r="D334" s="1129"/>
      <c r="E334" s="313">
        <f t="shared" si="56"/>
        <v>1</v>
      </c>
      <c r="F334" s="1129"/>
      <c r="G334" s="313">
        <f t="shared" si="57"/>
        <v>0.02</v>
      </c>
      <c r="H334" s="1129"/>
      <c r="I334" s="313">
        <f t="shared" si="58"/>
        <v>1</v>
      </c>
      <c r="J334" s="1129"/>
      <c r="K334" s="313">
        <f t="shared" si="59"/>
        <v>1</v>
      </c>
      <c r="L334" s="1129"/>
      <c r="M334" s="313">
        <f t="shared" si="60"/>
        <v>1</v>
      </c>
      <c r="N334" s="1129"/>
      <c r="O334" s="313">
        <f t="shared" si="61"/>
        <v>1</v>
      </c>
      <c r="P334" s="1129"/>
      <c r="Q334" s="313">
        <f t="shared" si="62"/>
        <v>0</v>
      </c>
      <c r="R334" s="1125">
        <f t="shared" si="63"/>
        <v>0</v>
      </c>
      <c r="S334" s="698">
        <f t="shared" si="65"/>
        <v>0</v>
      </c>
    </row>
    <row r="335" spans="1:19">
      <c r="A335" s="491"/>
      <c r="B335" s="348"/>
      <c r="C335" s="313">
        <f t="shared" si="55"/>
        <v>1</v>
      </c>
      <c r="D335" s="1129"/>
      <c r="E335" s="313">
        <f t="shared" si="56"/>
        <v>1</v>
      </c>
      <c r="F335" s="1129"/>
      <c r="G335" s="313">
        <f t="shared" si="57"/>
        <v>0.02</v>
      </c>
      <c r="H335" s="1129"/>
      <c r="I335" s="313">
        <f t="shared" si="58"/>
        <v>1</v>
      </c>
      <c r="J335" s="1129"/>
      <c r="K335" s="313">
        <f t="shared" si="59"/>
        <v>1</v>
      </c>
      <c r="L335" s="1129"/>
      <c r="M335" s="313">
        <f t="shared" si="60"/>
        <v>1</v>
      </c>
      <c r="N335" s="1129"/>
      <c r="O335" s="313">
        <f t="shared" si="61"/>
        <v>1</v>
      </c>
      <c r="P335" s="1129"/>
      <c r="Q335" s="313">
        <f t="shared" si="62"/>
        <v>0</v>
      </c>
      <c r="R335" s="1125">
        <f t="shared" si="63"/>
        <v>0</v>
      </c>
      <c r="S335" s="698">
        <f t="shared" si="65"/>
        <v>0</v>
      </c>
    </row>
    <row r="336" spans="1:19">
      <c r="A336" s="491"/>
      <c r="B336" s="348"/>
      <c r="C336" s="313">
        <f t="shared" si="55"/>
        <v>1</v>
      </c>
      <c r="D336" s="1129"/>
      <c r="E336" s="313">
        <f t="shared" si="56"/>
        <v>1</v>
      </c>
      <c r="F336" s="1129"/>
      <c r="G336" s="313">
        <f t="shared" si="57"/>
        <v>0.02</v>
      </c>
      <c r="H336" s="1129"/>
      <c r="I336" s="313">
        <f t="shared" si="58"/>
        <v>1</v>
      </c>
      <c r="J336" s="1129"/>
      <c r="K336" s="313">
        <f t="shared" si="59"/>
        <v>1</v>
      </c>
      <c r="L336" s="1129"/>
      <c r="M336" s="313">
        <f t="shared" si="60"/>
        <v>1</v>
      </c>
      <c r="N336" s="1129"/>
      <c r="O336" s="313">
        <f t="shared" si="61"/>
        <v>1</v>
      </c>
      <c r="P336" s="1129"/>
      <c r="Q336" s="313">
        <f t="shared" si="62"/>
        <v>0</v>
      </c>
      <c r="R336" s="1125">
        <f t="shared" si="63"/>
        <v>0</v>
      </c>
      <c r="S336" s="698">
        <f t="shared" si="65"/>
        <v>0</v>
      </c>
    </row>
    <row r="337" spans="1:19">
      <c r="A337" s="491"/>
      <c r="B337" s="348"/>
      <c r="C337" s="313">
        <f t="shared" si="55"/>
        <v>1</v>
      </c>
      <c r="D337" s="1129"/>
      <c r="E337" s="313">
        <f t="shared" si="56"/>
        <v>1</v>
      </c>
      <c r="F337" s="1129"/>
      <c r="G337" s="313">
        <f t="shared" si="57"/>
        <v>0.02</v>
      </c>
      <c r="H337" s="1129"/>
      <c r="I337" s="313">
        <f t="shared" si="58"/>
        <v>1</v>
      </c>
      <c r="J337" s="1129"/>
      <c r="K337" s="313">
        <f t="shared" si="59"/>
        <v>1</v>
      </c>
      <c r="L337" s="1129"/>
      <c r="M337" s="313">
        <f t="shared" si="60"/>
        <v>1</v>
      </c>
      <c r="N337" s="1129"/>
      <c r="O337" s="313">
        <f t="shared" si="61"/>
        <v>1</v>
      </c>
      <c r="P337" s="1129"/>
      <c r="Q337" s="313">
        <f t="shared" si="62"/>
        <v>0</v>
      </c>
      <c r="R337" s="1125">
        <f t="shared" si="63"/>
        <v>0</v>
      </c>
      <c r="S337" s="698">
        <f t="shared" si="65"/>
        <v>0</v>
      </c>
    </row>
    <row r="338" spans="1:19">
      <c r="A338" s="491"/>
      <c r="B338" s="348"/>
      <c r="C338" s="313">
        <f t="shared" si="55"/>
        <v>1</v>
      </c>
      <c r="D338" s="1129"/>
      <c r="E338" s="313">
        <f t="shared" si="56"/>
        <v>1</v>
      </c>
      <c r="F338" s="1129"/>
      <c r="G338" s="313">
        <f t="shared" si="57"/>
        <v>0.02</v>
      </c>
      <c r="H338" s="1129"/>
      <c r="I338" s="313">
        <f t="shared" si="58"/>
        <v>1</v>
      </c>
      <c r="J338" s="1129"/>
      <c r="K338" s="313">
        <f t="shared" si="59"/>
        <v>1</v>
      </c>
      <c r="L338" s="1129"/>
      <c r="M338" s="313">
        <f t="shared" si="60"/>
        <v>1</v>
      </c>
      <c r="N338" s="1129"/>
      <c r="O338" s="313">
        <f t="shared" si="61"/>
        <v>1</v>
      </c>
      <c r="P338" s="1129"/>
      <c r="Q338" s="313">
        <f t="shared" si="62"/>
        <v>0</v>
      </c>
      <c r="R338" s="1125">
        <f t="shared" si="63"/>
        <v>0</v>
      </c>
      <c r="S338" s="698">
        <f t="shared" si="65"/>
        <v>0</v>
      </c>
    </row>
    <row r="339" spans="1:19">
      <c r="A339" s="491"/>
      <c r="B339" s="348"/>
      <c r="C339" s="313">
        <f t="shared" si="55"/>
        <v>1</v>
      </c>
      <c r="D339" s="1129"/>
      <c r="E339" s="313">
        <f t="shared" si="56"/>
        <v>1</v>
      </c>
      <c r="F339" s="1129"/>
      <c r="G339" s="313">
        <f t="shared" si="57"/>
        <v>0.02</v>
      </c>
      <c r="H339" s="1129"/>
      <c r="I339" s="313">
        <f t="shared" si="58"/>
        <v>1</v>
      </c>
      <c r="J339" s="1129"/>
      <c r="K339" s="313">
        <f t="shared" si="59"/>
        <v>1</v>
      </c>
      <c r="L339" s="1129"/>
      <c r="M339" s="313">
        <f t="shared" si="60"/>
        <v>1</v>
      </c>
      <c r="N339" s="1129"/>
      <c r="O339" s="313">
        <f t="shared" si="61"/>
        <v>1</v>
      </c>
      <c r="P339" s="1129"/>
      <c r="Q339" s="313">
        <f t="shared" si="62"/>
        <v>0</v>
      </c>
      <c r="R339" s="1125">
        <f t="shared" si="63"/>
        <v>0</v>
      </c>
      <c r="S339" s="698">
        <f t="shared" si="65"/>
        <v>0</v>
      </c>
    </row>
    <row r="340" spans="1:19">
      <c r="A340" s="491"/>
      <c r="B340" s="348"/>
      <c r="C340" s="313">
        <f t="shared" si="55"/>
        <v>1</v>
      </c>
      <c r="D340" s="1129"/>
      <c r="E340" s="313">
        <f t="shared" si="56"/>
        <v>1</v>
      </c>
      <c r="F340" s="1129"/>
      <c r="G340" s="313">
        <f t="shared" si="57"/>
        <v>0.02</v>
      </c>
      <c r="H340" s="1129"/>
      <c r="I340" s="313">
        <f t="shared" si="58"/>
        <v>1</v>
      </c>
      <c r="J340" s="1129"/>
      <c r="K340" s="313">
        <f t="shared" si="59"/>
        <v>1</v>
      </c>
      <c r="L340" s="1129"/>
      <c r="M340" s="313">
        <f t="shared" si="60"/>
        <v>1</v>
      </c>
      <c r="N340" s="1129"/>
      <c r="O340" s="313">
        <f t="shared" si="61"/>
        <v>1</v>
      </c>
      <c r="P340" s="1129"/>
      <c r="Q340" s="313">
        <f t="shared" si="62"/>
        <v>0</v>
      </c>
      <c r="R340" s="1125">
        <f t="shared" si="63"/>
        <v>0</v>
      </c>
      <c r="S340" s="698">
        <f t="shared" si="65"/>
        <v>0</v>
      </c>
    </row>
    <row r="341" spans="1:19">
      <c r="A341" s="491"/>
      <c r="B341" s="348"/>
      <c r="C341" s="313">
        <f t="shared" si="55"/>
        <v>1</v>
      </c>
      <c r="D341" s="1129"/>
      <c r="E341" s="313">
        <f t="shared" si="56"/>
        <v>1</v>
      </c>
      <c r="F341" s="1129"/>
      <c r="G341" s="313">
        <f t="shared" si="57"/>
        <v>0.02</v>
      </c>
      <c r="H341" s="1129"/>
      <c r="I341" s="313">
        <f t="shared" si="58"/>
        <v>1</v>
      </c>
      <c r="J341" s="1129"/>
      <c r="K341" s="313">
        <f t="shared" si="59"/>
        <v>1</v>
      </c>
      <c r="L341" s="1129"/>
      <c r="M341" s="313">
        <f t="shared" si="60"/>
        <v>1</v>
      </c>
      <c r="N341" s="1129"/>
      <c r="O341" s="313">
        <f t="shared" si="61"/>
        <v>1</v>
      </c>
      <c r="P341" s="1129"/>
      <c r="Q341" s="313">
        <f t="shared" si="62"/>
        <v>0</v>
      </c>
      <c r="R341" s="1125">
        <f t="shared" si="63"/>
        <v>0</v>
      </c>
      <c r="S341" s="698">
        <f t="shared" si="65"/>
        <v>0</v>
      </c>
    </row>
    <row r="342" spans="1:19">
      <c r="A342" s="491"/>
      <c r="B342" s="348"/>
      <c r="C342" s="313">
        <f t="shared" si="55"/>
        <v>1</v>
      </c>
      <c r="D342" s="1129"/>
      <c r="E342" s="313">
        <f t="shared" si="56"/>
        <v>1</v>
      </c>
      <c r="F342" s="1129"/>
      <c r="G342" s="313">
        <f t="shared" si="57"/>
        <v>0.02</v>
      </c>
      <c r="H342" s="1129"/>
      <c r="I342" s="313">
        <f t="shared" si="58"/>
        <v>1</v>
      </c>
      <c r="J342" s="1129"/>
      <c r="K342" s="313">
        <f t="shared" si="59"/>
        <v>1</v>
      </c>
      <c r="L342" s="1129"/>
      <c r="M342" s="313">
        <f t="shared" si="60"/>
        <v>1</v>
      </c>
      <c r="N342" s="1129"/>
      <c r="O342" s="313">
        <f t="shared" si="61"/>
        <v>1</v>
      </c>
      <c r="P342" s="1129"/>
      <c r="Q342" s="313">
        <f t="shared" si="62"/>
        <v>0</v>
      </c>
      <c r="R342" s="1125">
        <f t="shared" si="63"/>
        <v>0</v>
      </c>
      <c r="S342" s="698">
        <f t="shared" si="65"/>
        <v>0</v>
      </c>
    </row>
    <row r="343" spans="1:19">
      <c r="A343" s="491"/>
      <c r="B343" s="348"/>
      <c r="C343" s="313">
        <f t="shared" si="55"/>
        <v>1</v>
      </c>
      <c r="D343" s="1129"/>
      <c r="E343" s="313">
        <f t="shared" si="56"/>
        <v>1</v>
      </c>
      <c r="F343" s="1129"/>
      <c r="G343" s="313">
        <f t="shared" si="57"/>
        <v>0.02</v>
      </c>
      <c r="H343" s="1129"/>
      <c r="I343" s="313">
        <f t="shared" si="58"/>
        <v>1</v>
      </c>
      <c r="J343" s="1129"/>
      <c r="K343" s="313">
        <f t="shared" si="59"/>
        <v>1</v>
      </c>
      <c r="L343" s="1129"/>
      <c r="M343" s="313">
        <f t="shared" si="60"/>
        <v>1</v>
      </c>
      <c r="N343" s="1129"/>
      <c r="O343" s="313">
        <f t="shared" si="61"/>
        <v>1</v>
      </c>
      <c r="P343" s="1129"/>
      <c r="Q343" s="313">
        <f t="shared" si="62"/>
        <v>0</v>
      </c>
      <c r="R343" s="1125">
        <f t="shared" si="63"/>
        <v>0</v>
      </c>
      <c r="S343" s="698">
        <f t="shared" si="65"/>
        <v>0</v>
      </c>
    </row>
    <row r="344" spans="1:19">
      <c r="A344" s="491"/>
      <c r="B344" s="348"/>
      <c r="C344" s="313">
        <f t="shared" si="55"/>
        <v>1</v>
      </c>
      <c r="D344" s="1129"/>
      <c r="E344" s="313">
        <f t="shared" si="56"/>
        <v>1</v>
      </c>
      <c r="F344" s="1129"/>
      <c r="G344" s="313">
        <f t="shared" si="57"/>
        <v>0.02</v>
      </c>
      <c r="H344" s="1129"/>
      <c r="I344" s="313">
        <f t="shared" si="58"/>
        <v>1</v>
      </c>
      <c r="J344" s="1129"/>
      <c r="K344" s="313">
        <f t="shared" si="59"/>
        <v>1</v>
      </c>
      <c r="L344" s="1129"/>
      <c r="M344" s="313">
        <f t="shared" si="60"/>
        <v>1</v>
      </c>
      <c r="N344" s="1129"/>
      <c r="O344" s="313">
        <f t="shared" si="61"/>
        <v>1</v>
      </c>
      <c r="P344" s="1129"/>
      <c r="Q344" s="313">
        <f t="shared" si="62"/>
        <v>0</v>
      </c>
      <c r="R344" s="1125">
        <f t="shared" si="63"/>
        <v>0</v>
      </c>
      <c r="S344" s="698">
        <f t="shared" si="65"/>
        <v>0</v>
      </c>
    </row>
    <row r="345" spans="1:19">
      <c r="A345" s="491"/>
      <c r="B345" s="348"/>
      <c r="C345" s="313">
        <f t="shared" si="55"/>
        <v>1</v>
      </c>
      <c r="D345" s="1129"/>
      <c r="E345" s="313">
        <f t="shared" si="56"/>
        <v>1</v>
      </c>
      <c r="F345" s="1129"/>
      <c r="G345" s="313">
        <f t="shared" si="57"/>
        <v>0.02</v>
      </c>
      <c r="H345" s="1129"/>
      <c r="I345" s="313">
        <f t="shared" si="58"/>
        <v>1</v>
      </c>
      <c r="J345" s="1129"/>
      <c r="K345" s="313">
        <f t="shared" si="59"/>
        <v>1</v>
      </c>
      <c r="L345" s="1129"/>
      <c r="M345" s="313">
        <f t="shared" si="60"/>
        <v>1</v>
      </c>
      <c r="N345" s="1129"/>
      <c r="O345" s="313">
        <f t="shared" si="61"/>
        <v>1</v>
      </c>
      <c r="P345" s="1129"/>
      <c r="Q345" s="313">
        <f t="shared" si="62"/>
        <v>0</v>
      </c>
      <c r="R345" s="1125">
        <f t="shared" si="63"/>
        <v>0</v>
      </c>
      <c r="S345" s="698">
        <f t="shared" si="65"/>
        <v>0</v>
      </c>
    </row>
    <row r="346" spans="1:19">
      <c r="A346" s="491"/>
      <c r="B346" s="348"/>
      <c r="C346" s="313">
        <f t="shared" ref="C346:C409" si="66">IF(B346="",1,(LOOKUP(B346,$3:$3,$4:$4)-LOOKUP($B$24,$3:$3,$4:$4)+100)/100)</f>
        <v>1</v>
      </c>
      <c r="D346" s="1129"/>
      <c r="E346" s="313">
        <f t="shared" ref="E346:E409" si="67">(SUMIF($5:$5,D346,$6:$6)-SUMIF($5:$5,$D$24,$6:$6)+100)/100</f>
        <v>1</v>
      </c>
      <c r="F346" s="1129"/>
      <c r="G346" s="313">
        <f t="shared" ref="G346:G409" si="68">(SUMIF($7:$7,F346,$8:$8)-SUMIF($7:$7,$F$24,$8:$8)+100)/100</f>
        <v>0.02</v>
      </c>
      <c r="H346" s="1129"/>
      <c r="I346" s="313">
        <f t="shared" ref="I346:I409" si="69">(SUMIF($9:$9,H346,$10:$10)-SUMIF($9:$9,$H$24,$10:$10)+100)/100</f>
        <v>1</v>
      </c>
      <c r="J346" s="1129"/>
      <c r="K346" s="313">
        <f t="shared" ref="K346:K409" si="70">(SUMIF($11:$11,J346,$12:$12)-SUMIF($11:$11,$J$24,$12:$12)+100)/100</f>
        <v>1</v>
      </c>
      <c r="L346" s="1129"/>
      <c r="M346" s="313">
        <f t="shared" ref="M346:M409" si="71">(SUMIF($13:$13,L346,$14:$14)-SUMIF($13:$13,$L$24,$14:$14)+100)/100</f>
        <v>1</v>
      </c>
      <c r="N346" s="1129"/>
      <c r="O346" s="313">
        <f t="shared" ref="O346:O409" si="72">(SUMIF($15:$15,N346,$16:$16)-SUMIF($15:$15,$N$24,$16:$16)+100)/100</f>
        <v>1</v>
      </c>
      <c r="P346" s="1129"/>
      <c r="Q346" s="313">
        <f t="shared" ref="Q346:Q409" si="73">(SUMIF($17:$17,P346,$18:$18)-SUMIF($17:$17,$P$24,$18:$18)+100)/100</f>
        <v>0</v>
      </c>
      <c r="R346" s="1125">
        <f t="shared" ref="R346:R409" si="74">IF(B346="",0,ROUND($R$24*C346*E346*G346*I346*K346*M346*O346*Q346,0))</f>
        <v>0</v>
      </c>
      <c r="S346" s="698">
        <f t="shared" si="65"/>
        <v>0</v>
      </c>
    </row>
    <row r="347" spans="1:19">
      <c r="A347" s="491"/>
      <c r="B347" s="348"/>
      <c r="C347" s="313">
        <f t="shared" si="66"/>
        <v>1</v>
      </c>
      <c r="D347" s="1129"/>
      <c r="E347" s="313">
        <f t="shared" si="67"/>
        <v>1</v>
      </c>
      <c r="F347" s="1129"/>
      <c r="G347" s="313">
        <f t="shared" si="68"/>
        <v>0.02</v>
      </c>
      <c r="H347" s="1129"/>
      <c r="I347" s="313">
        <f t="shared" si="69"/>
        <v>1</v>
      </c>
      <c r="J347" s="1129"/>
      <c r="K347" s="313">
        <f t="shared" si="70"/>
        <v>1</v>
      </c>
      <c r="L347" s="1129"/>
      <c r="M347" s="313">
        <f t="shared" si="71"/>
        <v>1</v>
      </c>
      <c r="N347" s="1129"/>
      <c r="O347" s="313">
        <f t="shared" si="72"/>
        <v>1</v>
      </c>
      <c r="P347" s="1129"/>
      <c r="Q347" s="313">
        <f t="shared" si="73"/>
        <v>0</v>
      </c>
      <c r="R347" s="1125">
        <f t="shared" si="74"/>
        <v>0</v>
      </c>
      <c r="S347" s="698">
        <f t="shared" si="65"/>
        <v>0</v>
      </c>
    </row>
    <row r="348" spans="1:19">
      <c r="A348" s="491"/>
      <c r="B348" s="348"/>
      <c r="C348" s="313">
        <f t="shared" si="66"/>
        <v>1</v>
      </c>
      <c r="D348" s="1129"/>
      <c r="E348" s="313">
        <f t="shared" si="67"/>
        <v>1</v>
      </c>
      <c r="F348" s="1129"/>
      <c r="G348" s="313">
        <f t="shared" si="68"/>
        <v>0.02</v>
      </c>
      <c r="H348" s="1129"/>
      <c r="I348" s="313">
        <f t="shared" si="69"/>
        <v>1</v>
      </c>
      <c r="J348" s="1129"/>
      <c r="K348" s="313">
        <f t="shared" si="70"/>
        <v>1</v>
      </c>
      <c r="L348" s="1129"/>
      <c r="M348" s="313">
        <f t="shared" si="71"/>
        <v>1</v>
      </c>
      <c r="N348" s="1129"/>
      <c r="O348" s="313">
        <f t="shared" si="72"/>
        <v>1</v>
      </c>
      <c r="P348" s="1129"/>
      <c r="Q348" s="313">
        <f t="shared" si="73"/>
        <v>0</v>
      </c>
      <c r="R348" s="1125">
        <f t="shared" si="74"/>
        <v>0</v>
      </c>
      <c r="S348" s="698">
        <f t="shared" si="65"/>
        <v>0</v>
      </c>
    </row>
    <row r="349" spans="1:19">
      <c r="A349" s="491"/>
      <c r="B349" s="348"/>
      <c r="C349" s="313">
        <f t="shared" si="66"/>
        <v>1</v>
      </c>
      <c r="D349" s="1129"/>
      <c r="E349" s="313">
        <f t="shared" si="67"/>
        <v>1</v>
      </c>
      <c r="F349" s="1129"/>
      <c r="G349" s="313">
        <f t="shared" si="68"/>
        <v>0.02</v>
      </c>
      <c r="H349" s="1129"/>
      <c r="I349" s="313">
        <f t="shared" si="69"/>
        <v>1</v>
      </c>
      <c r="J349" s="1129"/>
      <c r="K349" s="313">
        <f t="shared" si="70"/>
        <v>1</v>
      </c>
      <c r="L349" s="1129"/>
      <c r="M349" s="313">
        <f t="shared" si="71"/>
        <v>1</v>
      </c>
      <c r="N349" s="1129"/>
      <c r="O349" s="313">
        <f t="shared" si="72"/>
        <v>1</v>
      </c>
      <c r="P349" s="1129"/>
      <c r="Q349" s="313">
        <f t="shared" si="73"/>
        <v>0</v>
      </c>
      <c r="R349" s="1125">
        <f t="shared" si="74"/>
        <v>0</v>
      </c>
      <c r="S349" s="698">
        <f t="shared" si="65"/>
        <v>0</v>
      </c>
    </row>
    <row r="350" spans="1:19">
      <c r="A350" s="491"/>
      <c r="B350" s="348"/>
      <c r="C350" s="313">
        <f t="shared" si="66"/>
        <v>1</v>
      </c>
      <c r="D350" s="1129"/>
      <c r="E350" s="313">
        <f t="shared" si="67"/>
        <v>1</v>
      </c>
      <c r="F350" s="1129"/>
      <c r="G350" s="313">
        <f t="shared" si="68"/>
        <v>0.02</v>
      </c>
      <c r="H350" s="1129"/>
      <c r="I350" s="313">
        <f t="shared" si="69"/>
        <v>1</v>
      </c>
      <c r="J350" s="1129"/>
      <c r="K350" s="313">
        <f t="shared" si="70"/>
        <v>1</v>
      </c>
      <c r="L350" s="1129"/>
      <c r="M350" s="313">
        <f t="shared" si="71"/>
        <v>1</v>
      </c>
      <c r="N350" s="1129"/>
      <c r="O350" s="313">
        <f t="shared" si="72"/>
        <v>1</v>
      </c>
      <c r="P350" s="1129"/>
      <c r="Q350" s="313">
        <f t="shared" si="73"/>
        <v>0</v>
      </c>
      <c r="R350" s="1125">
        <f t="shared" si="74"/>
        <v>0</v>
      </c>
      <c r="S350" s="698">
        <f t="shared" si="65"/>
        <v>0</v>
      </c>
    </row>
    <row r="351" spans="1:19">
      <c r="A351" s="491"/>
      <c r="B351" s="348"/>
      <c r="C351" s="313">
        <f t="shared" si="66"/>
        <v>1</v>
      </c>
      <c r="D351" s="1129"/>
      <c r="E351" s="313">
        <f t="shared" si="67"/>
        <v>1</v>
      </c>
      <c r="F351" s="1129"/>
      <c r="G351" s="313">
        <f t="shared" si="68"/>
        <v>0.02</v>
      </c>
      <c r="H351" s="1129"/>
      <c r="I351" s="313">
        <f t="shared" si="69"/>
        <v>1</v>
      </c>
      <c r="J351" s="1129"/>
      <c r="K351" s="313">
        <f t="shared" si="70"/>
        <v>1</v>
      </c>
      <c r="L351" s="1129"/>
      <c r="M351" s="313">
        <f t="shared" si="71"/>
        <v>1</v>
      </c>
      <c r="N351" s="1129"/>
      <c r="O351" s="313">
        <f t="shared" si="72"/>
        <v>1</v>
      </c>
      <c r="P351" s="1129"/>
      <c r="Q351" s="313">
        <f t="shared" si="73"/>
        <v>0</v>
      </c>
      <c r="R351" s="1125">
        <f t="shared" si="74"/>
        <v>0</v>
      </c>
      <c r="S351" s="698">
        <f t="shared" si="65"/>
        <v>0</v>
      </c>
    </row>
    <row r="352" spans="1:19">
      <c r="A352" s="491"/>
      <c r="B352" s="348"/>
      <c r="C352" s="313">
        <f t="shared" si="66"/>
        <v>1</v>
      </c>
      <c r="D352" s="1129"/>
      <c r="E352" s="313">
        <f t="shared" si="67"/>
        <v>1</v>
      </c>
      <c r="F352" s="1129"/>
      <c r="G352" s="313">
        <f t="shared" si="68"/>
        <v>0.02</v>
      </c>
      <c r="H352" s="1129"/>
      <c r="I352" s="313">
        <f t="shared" si="69"/>
        <v>1</v>
      </c>
      <c r="J352" s="1129"/>
      <c r="K352" s="313">
        <f t="shared" si="70"/>
        <v>1</v>
      </c>
      <c r="L352" s="1129"/>
      <c r="M352" s="313">
        <f t="shared" si="71"/>
        <v>1</v>
      </c>
      <c r="N352" s="1129"/>
      <c r="O352" s="313">
        <f t="shared" si="72"/>
        <v>1</v>
      </c>
      <c r="P352" s="1129"/>
      <c r="Q352" s="313">
        <f t="shared" si="73"/>
        <v>0</v>
      </c>
      <c r="R352" s="1125">
        <f t="shared" si="74"/>
        <v>0</v>
      </c>
      <c r="S352" s="698">
        <f t="shared" si="65"/>
        <v>0</v>
      </c>
    </row>
    <row r="353" spans="1:19">
      <c r="A353" s="491"/>
      <c r="B353" s="348"/>
      <c r="C353" s="313">
        <f t="shared" si="66"/>
        <v>1</v>
      </c>
      <c r="D353" s="1129"/>
      <c r="E353" s="313">
        <f t="shared" si="67"/>
        <v>1</v>
      </c>
      <c r="F353" s="1129"/>
      <c r="G353" s="313">
        <f t="shared" si="68"/>
        <v>0.02</v>
      </c>
      <c r="H353" s="1129"/>
      <c r="I353" s="313">
        <f t="shared" si="69"/>
        <v>1</v>
      </c>
      <c r="J353" s="1129"/>
      <c r="K353" s="313">
        <f t="shared" si="70"/>
        <v>1</v>
      </c>
      <c r="L353" s="1129"/>
      <c r="M353" s="313">
        <f t="shared" si="71"/>
        <v>1</v>
      </c>
      <c r="N353" s="1129"/>
      <c r="O353" s="313">
        <f t="shared" si="72"/>
        <v>1</v>
      </c>
      <c r="P353" s="1129"/>
      <c r="Q353" s="313">
        <f t="shared" si="73"/>
        <v>0</v>
      </c>
      <c r="R353" s="1125">
        <f t="shared" si="74"/>
        <v>0</v>
      </c>
      <c r="S353" s="698">
        <f t="shared" si="65"/>
        <v>0</v>
      </c>
    </row>
    <row r="354" spans="1:19">
      <c r="A354" s="491"/>
      <c r="B354" s="348"/>
      <c r="C354" s="313">
        <f t="shared" si="66"/>
        <v>1</v>
      </c>
      <c r="D354" s="1129"/>
      <c r="E354" s="313">
        <f t="shared" si="67"/>
        <v>1</v>
      </c>
      <c r="F354" s="1129"/>
      <c r="G354" s="313">
        <f t="shared" si="68"/>
        <v>0.02</v>
      </c>
      <c r="H354" s="1129"/>
      <c r="I354" s="313">
        <f t="shared" si="69"/>
        <v>1</v>
      </c>
      <c r="J354" s="1129"/>
      <c r="K354" s="313">
        <f t="shared" si="70"/>
        <v>1</v>
      </c>
      <c r="L354" s="1129"/>
      <c r="M354" s="313">
        <f t="shared" si="71"/>
        <v>1</v>
      </c>
      <c r="N354" s="1129"/>
      <c r="O354" s="313">
        <f t="shared" si="72"/>
        <v>1</v>
      </c>
      <c r="P354" s="1129"/>
      <c r="Q354" s="313">
        <f t="shared" si="73"/>
        <v>0</v>
      </c>
      <c r="R354" s="1125">
        <f t="shared" si="74"/>
        <v>0</v>
      </c>
      <c r="S354" s="698">
        <f t="shared" si="65"/>
        <v>0</v>
      </c>
    </row>
    <row r="355" spans="1:19">
      <c r="A355" s="491"/>
      <c r="B355" s="348"/>
      <c r="C355" s="313">
        <f t="shared" si="66"/>
        <v>1</v>
      </c>
      <c r="D355" s="1129"/>
      <c r="E355" s="313">
        <f t="shared" si="67"/>
        <v>1</v>
      </c>
      <c r="F355" s="1129"/>
      <c r="G355" s="313">
        <f t="shared" si="68"/>
        <v>0.02</v>
      </c>
      <c r="H355" s="1129"/>
      <c r="I355" s="313">
        <f t="shared" si="69"/>
        <v>1</v>
      </c>
      <c r="J355" s="1129"/>
      <c r="K355" s="313">
        <f t="shared" si="70"/>
        <v>1</v>
      </c>
      <c r="L355" s="1129"/>
      <c r="M355" s="313">
        <f t="shared" si="71"/>
        <v>1</v>
      </c>
      <c r="N355" s="1129"/>
      <c r="O355" s="313">
        <f t="shared" si="72"/>
        <v>1</v>
      </c>
      <c r="P355" s="1129"/>
      <c r="Q355" s="313">
        <f t="shared" si="73"/>
        <v>0</v>
      </c>
      <c r="R355" s="1125">
        <f t="shared" si="74"/>
        <v>0</v>
      </c>
      <c r="S355" s="698">
        <f t="shared" si="65"/>
        <v>0</v>
      </c>
    </row>
    <row r="356" spans="1:19">
      <c r="A356" s="491"/>
      <c r="B356" s="348"/>
      <c r="C356" s="313">
        <f t="shared" si="66"/>
        <v>1</v>
      </c>
      <c r="D356" s="1129"/>
      <c r="E356" s="313">
        <f t="shared" si="67"/>
        <v>1</v>
      </c>
      <c r="F356" s="1129"/>
      <c r="G356" s="313">
        <f t="shared" si="68"/>
        <v>0.02</v>
      </c>
      <c r="H356" s="1129"/>
      <c r="I356" s="313">
        <f t="shared" si="69"/>
        <v>1</v>
      </c>
      <c r="J356" s="1129"/>
      <c r="K356" s="313">
        <f t="shared" si="70"/>
        <v>1</v>
      </c>
      <c r="L356" s="1129"/>
      <c r="M356" s="313">
        <f t="shared" si="71"/>
        <v>1</v>
      </c>
      <c r="N356" s="1129"/>
      <c r="O356" s="313">
        <f t="shared" si="72"/>
        <v>1</v>
      </c>
      <c r="P356" s="1129"/>
      <c r="Q356" s="313">
        <f t="shared" si="73"/>
        <v>0</v>
      </c>
      <c r="R356" s="1125">
        <f t="shared" si="74"/>
        <v>0</v>
      </c>
      <c r="S356" s="698">
        <f t="shared" si="65"/>
        <v>0</v>
      </c>
    </row>
    <row r="357" spans="1:19">
      <c r="A357" s="491"/>
      <c r="B357" s="348"/>
      <c r="C357" s="313">
        <f t="shared" si="66"/>
        <v>1</v>
      </c>
      <c r="D357" s="1129"/>
      <c r="E357" s="313">
        <f t="shared" si="67"/>
        <v>1</v>
      </c>
      <c r="F357" s="1129"/>
      <c r="G357" s="313">
        <f t="shared" si="68"/>
        <v>0.02</v>
      </c>
      <c r="H357" s="1129"/>
      <c r="I357" s="313">
        <f t="shared" si="69"/>
        <v>1</v>
      </c>
      <c r="J357" s="1129"/>
      <c r="K357" s="313">
        <f t="shared" si="70"/>
        <v>1</v>
      </c>
      <c r="L357" s="1129"/>
      <c r="M357" s="313">
        <f t="shared" si="71"/>
        <v>1</v>
      </c>
      <c r="N357" s="1129"/>
      <c r="O357" s="313">
        <f t="shared" si="72"/>
        <v>1</v>
      </c>
      <c r="P357" s="1129"/>
      <c r="Q357" s="313">
        <f t="shared" si="73"/>
        <v>0</v>
      </c>
      <c r="R357" s="1125">
        <f t="shared" si="74"/>
        <v>0</v>
      </c>
      <c r="S357" s="698">
        <f t="shared" si="65"/>
        <v>0</v>
      </c>
    </row>
    <row r="358" spans="1:19">
      <c r="A358" s="491"/>
      <c r="B358" s="348"/>
      <c r="C358" s="313">
        <f t="shared" si="66"/>
        <v>1</v>
      </c>
      <c r="D358" s="1129"/>
      <c r="E358" s="313">
        <f t="shared" si="67"/>
        <v>1</v>
      </c>
      <c r="F358" s="1129"/>
      <c r="G358" s="313">
        <f t="shared" si="68"/>
        <v>0.02</v>
      </c>
      <c r="H358" s="1129"/>
      <c r="I358" s="313">
        <f t="shared" si="69"/>
        <v>1</v>
      </c>
      <c r="J358" s="1129"/>
      <c r="K358" s="313">
        <f t="shared" si="70"/>
        <v>1</v>
      </c>
      <c r="L358" s="1129"/>
      <c r="M358" s="313">
        <f t="shared" si="71"/>
        <v>1</v>
      </c>
      <c r="N358" s="1129"/>
      <c r="O358" s="313">
        <f t="shared" si="72"/>
        <v>1</v>
      </c>
      <c r="P358" s="1129"/>
      <c r="Q358" s="313">
        <f t="shared" si="73"/>
        <v>0</v>
      </c>
      <c r="R358" s="1125">
        <f t="shared" si="74"/>
        <v>0</v>
      </c>
      <c r="S358" s="698">
        <f t="shared" si="65"/>
        <v>0</v>
      </c>
    </row>
    <row r="359" spans="1:19">
      <c r="A359" s="491"/>
      <c r="B359" s="348"/>
      <c r="C359" s="313">
        <f t="shared" si="66"/>
        <v>1</v>
      </c>
      <c r="D359" s="1129"/>
      <c r="E359" s="313">
        <f t="shared" si="67"/>
        <v>1</v>
      </c>
      <c r="F359" s="1129"/>
      <c r="G359" s="313">
        <f t="shared" si="68"/>
        <v>0.02</v>
      </c>
      <c r="H359" s="1129"/>
      <c r="I359" s="313">
        <f t="shared" si="69"/>
        <v>1</v>
      </c>
      <c r="J359" s="1129"/>
      <c r="K359" s="313">
        <f t="shared" si="70"/>
        <v>1</v>
      </c>
      <c r="L359" s="1129"/>
      <c r="M359" s="313">
        <f t="shared" si="71"/>
        <v>1</v>
      </c>
      <c r="N359" s="1129"/>
      <c r="O359" s="313">
        <f t="shared" si="72"/>
        <v>1</v>
      </c>
      <c r="P359" s="1129"/>
      <c r="Q359" s="313">
        <f t="shared" si="73"/>
        <v>0</v>
      </c>
      <c r="R359" s="1125">
        <f t="shared" si="74"/>
        <v>0</v>
      </c>
      <c r="S359" s="698">
        <f t="shared" si="65"/>
        <v>0</v>
      </c>
    </row>
    <row r="360" spans="1:19">
      <c r="A360" s="491"/>
      <c r="B360" s="348"/>
      <c r="C360" s="313">
        <f t="shared" si="66"/>
        <v>1</v>
      </c>
      <c r="D360" s="1129"/>
      <c r="E360" s="313">
        <f t="shared" si="67"/>
        <v>1</v>
      </c>
      <c r="F360" s="1129"/>
      <c r="G360" s="313">
        <f t="shared" si="68"/>
        <v>0.02</v>
      </c>
      <c r="H360" s="1129"/>
      <c r="I360" s="313">
        <f t="shared" si="69"/>
        <v>1</v>
      </c>
      <c r="J360" s="1129"/>
      <c r="K360" s="313">
        <f t="shared" si="70"/>
        <v>1</v>
      </c>
      <c r="L360" s="1129"/>
      <c r="M360" s="313">
        <f t="shared" si="71"/>
        <v>1</v>
      </c>
      <c r="N360" s="1129"/>
      <c r="O360" s="313">
        <f t="shared" si="72"/>
        <v>1</v>
      </c>
      <c r="P360" s="1129"/>
      <c r="Q360" s="313">
        <f t="shared" si="73"/>
        <v>0</v>
      </c>
      <c r="R360" s="1125">
        <f t="shared" si="74"/>
        <v>0</v>
      </c>
      <c r="S360" s="698">
        <f t="shared" si="65"/>
        <v>0</v>
      </c>
    </row>
    <row r="361" spans="1:19">
      <c r="A361" s="491"/>
      <c r="B361" s="348"/>
      <c r="C361" s="313">
        <f t="shared" si="66"/>
        <v>1</v>
      </c>
      <c r="D361" s="1129"/>
      <c r="E361" s="313">
        <f t="shared" si="67"/>
        <v>1</v>
      </c>
      <c r="F361" s="1129"/>
      <c r="G361" s="313">
        <f t="shared" si="68"/>
        <v>0.02</v>
      </c>
      <c r="H361" s="1129"/>
      <c r="I361" s="313">
        <f t="shared" si="69"/>
        <v>1</v>
      </c>
      <c r="J361" s="1129"/>
      <c r="K361" s="313">
        <f t="shared" si="70"/>
        <v>1</v>
      </c>
      <c r="L361" s="1129"/>
      <c r="M361" s="313">
        <f t="shared" si="71"/>
        <v>1</v>
      </c>
      <c r="N361" s="1129"/>
      <c r="O361" s="313">
        <f t="shared" si="72"/>
        <v>1</v>
      </c>
      <c r="P361" s="1129"/>
      <c r="Q361" s="313">
        <f t="shared" si="73"/>
        <v>0</v>
      </c>
      <c r="R361" s="1125">
        <f t="shared" si="74"/>
        <v>0</v>
      </c>
      <c r="S361" s="698">
        <f t="shared" si="65"/>
        <v>0</v>
      </c>
    </row>
    <row r="362" spans="1:19">
      <c r="A362" s="491"/>
      <c r="B362" s="348"/>
      <c r="C362" s="313">
        <f t="shared" si="66"/>
        <v>1</v>
      </c>
      <c r="D362" s="1129"/>
      <c r="E362" s="313">
        <f t="shared" si="67"/>
        <v>1</v>
      </c>
      <c r="F362" s="1129"/>
      <c r="G362" s="313">
        <f t="shared" si="68"/>
        <v>0.02</v>
      </c>
      <c r="H362" s="1129"/>
      <c r="I362" s="313">
        <f t="shared" si="69"/>
        <v>1</v>
      </c>
      <c r="J362" s="1129"/>
      <c r="K362" s="313">
        <f t="shared" si="70"/>
        <v>1</v>
      </c>
      <c r="L362" s="1129"/>
      <c r="M362" s="313">
        <f t="shared" si="71"/>
        <v>1</v>
      </c>
      <c r="N362" s="1129"/>
      <c r="O362" s="313">
        <f t="shared" si="72"/>
        <v>1</v>
      </c>
      <c r="P362" s="1129"/>
      <c r="Q362" s="313">
        <f t="shared" si="73"/>
        <v>0</v>
      </c>
      <c r="R362" s="1125">
        <f t="shared" si="74"/>
        <v>0</v>
      </c>
      <c r="S362" s="698">
        <f t="shared" si="65"/>
        <v>0</v>
      </c>
    </row>
    <row r="363" spans="1:19">
      <c r="A363" s="491"/>
      <c r="B363" s="348"/>
      <c r="C363" s="313">
        <f t="shared" si="66"/>
        <v>1</v>
      </c>
      <c r="D363" s="1129"/>
      <c r="E363" s="313">
        <f t="shared" si="67"/>
        <v>1</v>
      </c>
      <c r="F363" s="1129"/>
      <c r="G363" s="313">
        <f t="shared" si="68"/>
        <v>0.02</v>
      </c>
      <c r="H363" s="1129"/>
      <c r="I363" s="313">
        <f t="shared" si="69"/>
        <v>1</v>
      </c>
      <c r="J363" s="1129"/>
      <c r="K363" s="313">
        <f t="shared" si="70"/>
        <v>1</v>
      </c>
      <c r="L363" s="1129"/>
      <c r="M363" s="313">
        <f t="shared" si="71"/>
        <v>1</v>
      </c>
      <c r="N363" s="1129"/>
      <c r="O363" s="313">
        <f t="shared" si="72"/>
        <v>1</v>
      </c>
      <c r="P363" s="1129"/>
      <c r="Q363" s="313">
        <f t="shared" si="73"/>
        <v>0</v>
      </c>
      <c r="R363" s="1125">
        <f t="shared" si="74"/>
        <v>0</v>
      </c>
      <c r="S363" s="698">
        <f t="shared" si="65"/>
        <v>0</v>
      </c>
    </row>
    <row r="364" spans="1:19">
      <c r="A364" s="491"/>
      <c r="B364" s="348"/>
      <c r="C364" s="313">
        <f t="shared" si="66"/>
        <v>1</v>
      </c>
      <c r="D364" s="1129"/>
      <c r="E364" s="313">
        <f t="shared" si="67"/>
        <v>1</v>
      </c>
      <c r="F364" s="1129"/>
      <c r="G364" s="313">
        <f t="shared" si="68"/>
        <v>0.02</v>
      </c>
      <c r="H364" s="1129"/>
      <c r="I364" s="313">
        <f t="shared" si="69"/>
        <v>1</v>
      </c>
      <c r="J364" s="1129"/>
      <c r="K364" s="313">
        <f t="shared" si="70"/>
        <v>1</v>
      </c>
      <c r="L364" s="1129"/>
      <c r="M364" s="313">
        <f t="shared" si="71"/>
        <v>1</v>
      </c>
      <c r="N364" s="1129"/>
      <c r="O364" s="313">
        <f t="shared" si="72"/>
        <v>1</v>
      </c>
      <c r="P364" s="1129"/>
      <c r="Q364" s="313">
        <f t="shared" si="73"/>
        <v>0</v>
      </c>
      <c r="R364" s="1125">
        <f t="shared" si="74"/>
        <v>0</v>
      </c>
      <c r="S364" s="698">
        <f t="shared" si="65"/>
        <v>0</v>
      </c>
    </row>
    <row r="365" spans="1:19">
      <c r="A365" s="491"/>
      <c r="B365" s="348"/>
      <c r="C365" s="313">
        <f t="shared" si="66"/>
        <v>1</v>
      </c>
      <c r="D365" s="1129"/>
      <c r="E365" s="313">
        <f t="shared" si="67"/>
        <v>1</v>
      </c>
      <c r="F365" s="1129"/>
      <c r="G365" s="313">
        <f t="shared" si="68"/>
        <v>0.02</v>
      </c>
      <c r="H365" s="1129"/>
      <c r="I365" s="313">
        <f t="shared" si="69"/>
        <v>1</v>
      </c>
      <c r="J365" s="1129"/>
      <c r="K365" s="313">
        <f t="shared" si="70"/>
        <v>1</v>
      </c>
      <c r="L365" s="1129"/>
      <c r="M365" s="313">
        <f t="shared" si="71"/>
        <v>1</v>
      </c>
      <c r="N365" s="1129"/>
      <c r="O365" s="313">
        <f t="shared" si="72"/>
        <v>1</v>
      </c>
      <c r="P365" s="1129"/>
      <c r="Q365" s="313">
        <f t="shared" si="73"/>
        <v>0</v>
      </c>
      <c r="R365" s="1125">
        <f t="shared" si="74"/>
        <v>0</v>
      </c>
      <c r="S365" s="698">
        <f t="shared" si="65"/>
        <v>0</v>
      </c>
    </row>
    <row r="366" spans="1:19">
      <c r="A366" s="491"/>
      <c r="B366" s="348"/>
      <c r="C366" s="313">
        <f t="shared" si="66"/>
        <v>1</v>
      </c>
      <c r="D366" s="1129"/>
      <c r="E366" s="313">
        <f t="shared" si="67"/>
        <v>1</v>
      </c>
      <c r="F366" s="1129"/>
      <c r="G366" s="313">
        <f t="shared" si="68"/>
        <v>0.02</v>
      </c>
      <c r="H366" s="1129"/>
      <c r="I366" s="313">
        <f t="shared" si="69"/>
        <v>1</v>
      </c>
      <c r="J366" s="1129"/>
      <c r="K366" s="313">
        <f t="shared" si="70"/>
        <v>1</v>
      </c>
      <c r="L366" s="1129"/>
      <c r="M366" s="313">
        <f t="shared" si="71"/>
        <v>1</v>
      </c>
      <c r="N366" s="1129"/>
      <c r="O366" s="313">
        <f t="shared" si="72"/>
        <v>1</v>
      </c>
      <c r="P366" s="1129"/>
      <c r="Q366" s="313">
        <f t="shared" si="73"/>
        <v>0</v>
      </c>
      <c r="R366" s="1125">
        <f t="shared" si="74"/>
        <v>0</v>
      </c>
      <c r="S366" s="698">
        <f t="shared" si="65"/>
        <v>0</v>
      </c>
    </row>
    <row r="367" spans="1:19">
      <c r="A367" s="491"/>
      <c r="B367" s="348"/>
      <c r="C367" s="313">
        <f t="shared" si="66"/>
        <v>1</v>
      </c>
      <c r="D367" s="1129"/>
      <c r="E367" s="313">
        <f t="shared" si="67"/>
        <v>1</v>
      </c>
      <c r="F367" s="1129"/>
      <c r="G367" s="313">
        <f t="shared" si="68"/>
        <v>0.02</v>
      </c>
      <c r="H367" s="1129"/>
      <c r="I367" s="313">
        <f t="shared" si="69"/>
        <v>1</v>
      </c>
      <c r="J367" s="1129"/>
      <c r="K367" s="313">
        <f t="shared" si="70"/>
        <v>1</v>
      </c>
      <c r="L367" s="1129"/>
      <c r="M367" s="313">
        <f t="shared" si="71"/>
        <v>1</v>
      </c>
      <c r="N367" s="1129"/>
      <c r="O367" s="313">
        <f t="shared" si="72"/>
        <v>1</v>
      </c>
      <c r="P367" s="1129"/>
      <c r="Q367" s="313">
        <f t="shared" si="73"/>
        <v>0</v>
      </c>
      <c r="R367" s="1125">
        <f t="shared" si="74"/>
        <v>0</v>
      </c>
      <c r="S367" s="698">
        <f t="shared" si="65"/>
        <v>0</v>
      </c>
    </row>
    <row r="368" spans="1:19">
      <c r="A368" s="491"/>
      <c r="B368" s="348"/>
      <c r="C368" s="313">
        <f t="shared" si="66"/>
        <v>1</v>
      </c>
      <c r="D368" s="1129"/>
      <c r="E368" s="313">
        <f t="shared" si="67"/>
        <v>1</v>
      </c>
      <c r="F368" s="1129"/>
      <c r="G368" s="313">
        <f t="shared" si="68"/>
        <v>0.02</v>
      </c>
      <c r="H368" s="1129"/>
      <c r="I368" s="313">
        <f t="shared" si="69"/>
        <v>1</v>
      </c>
      <c r="J368" s="1129"/>
      <c r="K368" s="313">
        <f t="shared" si="70"/>
        <v>1</v>
      </c>
      <c r="L368" s="1129"/>
      <c r="M368" s="313">
        <f t="shared" si="71"/>
        <v>1</v>
      </c>
      <c r="N368" s="1129"/>
      <c r="O368" s="313">
        <f t="shared" si="72"/>
        <v>1</v>
      </c>
      <c r="P368" s="1129"/>
      <c r="Q368" s="313">
        <f t="shared" si="73"/>
        <v>0</v>
      </c>
      <c r="R368" s="1125">
        <f t="shared" si="74"/>
        <v>0</v>
      </c>
      <c r="S368" s="698">
        <f t="shared" si="65"/>
        <v>0</v>
      </c>
    </row>
    <row r="369" spans="1:19">
      <c r="A369" s="491"/>
      <c r="B369" s="348"/>
      <c r="C369" s="313">
        <f t="shared" si="66"/>
        <v>1</v>
      </c>
      <c r="D369" s="1129"/>
      <c r="E369" s="313">
        <f t="shared" si="67"/>
        <v>1</v>
      </c>
      <c r="F369" s="1129"/>
      <c r="G369" s="313">
        <f t="shared" si="68"/>
        <v>0.02</v>
      </c>
      <c r="H369" s="1129"/>
      <c r="I369" s="313">
        <f t="shared" si="69"/>
        <v>1</v>
      </c>
      <c r="J369" s="1129"/>
      <c r="K369" s="313">
        <f t="shared" si="70"/>
        <v>1</v>
      </c>
      <c r="L369" s="1129"/>
      <c r="M369" s="313">
        <f t="shared" si="71"/>
        <v>1</v>
      </c>
      <c r="N369" s="1129"/>
      <c r="O369" s="313">
        <f t="shared" si="72"/>
        <v>1</v>
      </c>
      <c r="P369" s="1129"/>
      <c r="Q369" s="313">
        <f t="shared" si="73"/>
        <v>0</v>
      </c>
      <c r="R369" s="1125">
        <f t="shared" si="74"/>
        <v>0</v>
      </c>
      <c r="S369" s="698">
        <f t="shared" si="65"/>
        <v>0</v>
      </c>
    </row>
    <row r="370" spans="1:19">
      <c r="A370" s="491"/>
      <c r="B370" s="348"/>
      <c r="C370" s="313">
        <f t="shared" si="66"/>
        <v>1</v>
      </c>
      <c r="D370" s="1129"/>
      <c r="E370" s="313">
        <f t="shared" si="67"/>
        <v>1</v>
      </c>
      <c r="F370" s="1129"/>
      <c r="G370" s="313">
        <f t="shared" si="68"/>
        <v>0.02</v>
      </c>
      <c r="H370" s="1129"/>
      <c r="I370" s="313">
        <f t="shared" si="69"/>
        <v>1</v>
      </c>
      <c r="J370" s="1129"/>
      <c r="K370" s="313">
        <f t="shared" si="70"/>
        <v>1</v>
      </c>
      <c r="L370" s="1129"/>
      <c r="M370" s="313">
        <f t="shared" si="71"/>
        <v>1</v>
      </c>
      <c r="N370" s="1129"/>
      <c r="O370" s="313">
        <f t="shared" si="72"/>
        <v>1</v>
      </c>
      <c r="P370" s="1129"/>
      <c r="Q370" s="313">
        <f t="shared" si="73"/>
        <v>0</v>
      </c>
      <c r="R370" s="1125">
        <f t="shared" si="74"/>
        <v>0</v>
      </c>
      <c r="S370" s="698">
        <f t="shared" si="65"/>
        <v>0</v>
      </c>
    </row>
    <row r="371" spans="1:19">
      <c r="A371" s="491"/>
      <c r="B371" s="348"/>
      <c r="C371" s="313">
        <f t="shared" si="66"/>
        <v>1</v>
      </c>
      <c r="D371" s="1129"/>
      <c r="E371" s="313">
        <f t="shared" si="67"/>
        <v>1</v>
      </c>
      <c r="F371" s="1129"/>
      <c r="G371" s="313">
        <f t="shared" si="68"/>
        <v>0.02</v>
      </c>
      <c r="H371" s="1129"/>
      <c r="I371" s="313">
        <f t="shared" si="69"/>
        <v>1</v>
      </c>
      <c r="J371" s="1129"/>
      <c r="K371" s="313">
        <f t="shared" si="70"/>
        <v>1</v>
      </c>
      <c r="L371" s="1129"/>
      <c r="M371" s="313">
        <f t="shared" si="71"/>
        <v>1</v>
      </c>
      <c r="N371" s="1129"/>
      <c r="O371" s="313">
        <f t="shared" si="72"/>
        <v>1</v>
      </c>
      <c r="P371" s="1129"/>
      <c r="Q371" s="313">
        <f t="shared" si="73"/>
        <v>0</v>
      </c>
      <c r="R371" s="1125">
        <f t="shared" si="74"/>
        <v>0</v>
      </c>
      <c r="S371" s="698">
        <f t="shared" si="65"/>
        <v>0</v>
      </c>
    </row>
    <row r="372" spans="1:19">
      <c r="A372" s="491"/>
      <c r="B372" s="348"/>
      <c r="C372" s="313">
        <f t="shared" si="66"/>
        <v>1</v>
      </c>
      <c r="D372" s="1129"/>
      <c r="E372" s="313">
        <f t="shared" si="67"/>
        <v>1</v>
      </c>
      <c r="F372" s="1129"/>
      <c r="G372" s="313">
        <f t="shared" si="68"/>
        <v>0.02</v>
      </c>
      <c r="H372" s="1129"/>
      <c r="I372" s="313">
        <f t="shared" si="69"/>
        <v>1</v>
      </c>
      <c r="J372" s="1129"/>
      <c r="K372" s="313">
        <f t="shared" si="70"/>
        <v>1</v>
      </c>
      <c r="L372" s="1129"/>
      <c r="M372" s="313">
        <f t="shared" si="71"/>
        <v>1</v>
      </c>
      <c r="N372" s="1129"/>
      <c r="O372" s="313">
        <f t="shared" si="72"/>
        <v>1</v>
      </c>
      <c r="P372" s="1129"/>
      <c r="Q372" s="313">
        <f t="shared" si="73"/>
        <v>0</v>
      </c>
      <c r="R372" s="1125">
        <f t="shared" si="74"/>
        <v>0</v>
      </c>
      <c r="S372" s="698">
        <f t="shared" si="65"/>
        <v>0</v>
      </c>
    </row>
    <row r="373" spans="1:19">
      <c r="A373" s="491"/>
      <c r="B373" s="348"/>
      <c r="C373" s="313">
        <f t="shared" si="66"/>
        <v>1</v>
      </c>
      <c r="D373" s="1129"/>
      <c r="E373" s="313">
        <f t="shared" si="67"/>
        <v>1</v>
      </c>
      <c r="F373" s="1129"/>
      <c r="G373" s="313">
        <f t="shared" si="68"/>
        <v>0.02</v>
      </c>
      <c r="H373" s="1129"/>
      <c r="I373" s="313">
        <f t="shared" si="69"/>
        <v>1</v>
      </c>
      <c r="J373" s="1129"/>
      <c r="K373" s="313">
        <f t="shared" si="70"/>
        <v>1</v>
      </c>
      <c r="L373" s="1129"/>
      <c r="M373" s="313">
        <f t="shared" si="71"/>
        <v>1</v>
      </c>
      <c r="N373" s="1129"/>
      <c r="O373" s="313">
        <f t="shared" si="72"/>
        <v>1</v>
      </c>
      <c r="P373" s="1129"/>
      <c r="Q373" s="313">
        <f t="shared" si="73"/>
        <v>0</v>
      </c>
      <c r="R373" s="1125">
        <f t="shared" si="74"/>
        <v>0</v>
      </c>
      <c r="S373" s="698">
        <f t="shared" si="65"/>
        <v>0</v>
      </c>
    </row>
    <row r="374" spans="1:19">
      <c r="A374" s="491"/>
      <c r="B374" s="348"/>
      <c r="C374" s="313">
        <f t="shared" si="66"/>
        <v>1</v>
      </c>
      <c r="D374" s="1129"/>
      <c r="E374" s="313">
        <f t="shared" si="67"/>
        <v>1</v>
      </c>
      <c r="F374" s="1129"/>
      <c r="G374" s="313">
        <f t="shared" si="68"/>
        <v>0.02</v>
      </c>
      <c r="H374" s="1129"/>
      <c r="I374" s="313">
        <f t="shared" si="69"/>
        <v>1</v>
      </c>
      <c r="J374" s="1129"/>
      <c r="K374" s="313">
        <f t="shared" si="70"/>
        <v>1</v>
      </c>
      <c r="L374" s="1129"/>
      <c r="M374" s="313">
        <f t="shared" si="71"/>
        <v>1</v>
      </c>
      <c r="N374" s="1129"/>
      <c r="O374" s="313">
        <f t="shared" si="72"/>
        <v>1</v>
      </c>
      <c r="P374" s="1129"/>
      <c r="Q374" s="313">
        <f t="shared" si="73"/>
        <v>0</v>
      </c>
      <c r="R374" s="1125">
        <f t="shared" si="74"/>
        <v>0</v>
      </c>
      <c r="S374" s="698">
        <f t="shared" si="65"/>
        <v>0</v>
      </c>
    </row>
    <row r="375" spans="1:19">
      <c r="A375" s="491"/>
      <c r="B375" s="348"/>
      <c r="C375" s="313">
        <f t="shared" si="66"/>
        <v>1</v>
      </c>
      <c r="D375" s="1129"/>
      <c r="E375" s="313">
        <f t="shared" si="67"/>
        <v>1</v>
      </c>
      <c r="F375" s="1129"/>
      <c r="G375" s="313">
        <f t="shared" si="68"/>
        <v>0.02</v>
      </c>
      <c r="H375" s="1129"/>
      <c r="I375" s="313">
        <f t="shared" si="69"/>
        <v>1</v>
      </c>
      <c r="J375" s="1129"/>
      <c r="K375" s="313">
        <f t="shared" si="70"/>
        <v>1</v>
      </c>
      <c r="L375" s="1129"/>
      <c r="M375" s="313">
        <f t="shared" si="71"/>
        <v>1</v>
      </c>
      <c r="N375" s="1129"/>
      <c r="O375" s="313">
        <f t="shared" si="72"/>
        <v>1</v>
      </c>
      <c r="P375" s="1129"/>
      <c r="Q375" s="313">
        <f t="shared" si="73"/>
        <v>0</v>
      </c>
      <c r="R375" s="1125">
        <f t="shared" si="74"/>
        <v>0</v>
      </c>
      <c r="S375" s="698">
        <f t="shared" si="65"/>
        <v>0</v>
      </c>
    </row>
    <row r="376" spans="1:19">
      <c r="A376" s="491"/>
      <c r="B376" s="348"/>
      <c r="C376" s="313">
        <f t="shared" si="66"/>
        <v>1</v>
      </c>
      <c r="D376" s="1129"/>
      <c r="E376" s="313">
        <f t="shared" si="67"/>
        <v>1</v>
      </c>
      <c r="F376" s="1129"/>
      <c r="G376" s="313">
        <f t="shared" si="68"/>
        <v>0.02</v>
      </c>
      <c r="H376" s="1129"/>
      <c r="I376" s="313">
        <f t="shared" si="69"/>
        <v>1</v>
      </c>
      <c r="J376" s="1129"/>
      <c r="K376" s="313">
        <f t="shared" si="70"/>
        <v>1</v>
      </c>
      <c r="L376" s="1129"/>
      <c r="M376" s="313">
        <f t="shared" si="71"/>
        <v>1</v>
      </c>
      <c r="N376" s="1129"/>
      <c r="O376" s="313">
        <f t="shared" si="72"/>
        <v>1</v>
      </c>
      <c r="P376" s="1129"/>
      <c r="Q376" s="313">
        <f t="shared" si="73"/>
        <v>0</v>
      </c>
      <c r="R376" s="1125">
        <f t="shared" si="74"/>
        <v>0</v>
      </c>
      <c r="S376" s="698">
        <f t="shared" si="65"/>
        <v>0</v>
      </c>
    </row>
    <row r="377" spans="1:19">
      <c r="A377" s="491"/>
      <c r="B377" s="348"/>
      <c r="C377" s="313">
        <f t="shared" si="66"/>
        <v>1</v>
      </c>
      <c r="D377" s="1129"/>
      <c r="E377" s="313">
        <f t="shared" si="67"/>
        <v>1</v>
      </c>
      <c r="F377" s="1129"/>
      <c r="G377" s="313">
        <f t="shared" si="68"/>
        <v>0.02</v>
      </c>
      <c r="H377" s="1129"/>
      <c r="I377" s="313">
        <f t="shared" si="69"/>
        <v>1</v>
      </c>
      <c r="J377" s="1129"/>
      <c r="K377" s="313">
        <f t="shared" si="70"/>
        <v>1</v>
      </c>
      <c r="L377" s="1129"/>
      <c r="M377" s="313">
        <f t="shared" si="71"/>
        <v>1</v>
      </c>
      <c r="N377" s="1129"/>
      <c r="O377" s="313">
        <f t="shared" si="72"/>
        <v>1</v>
      </c>
      <c r="P377" s="1129"/>
      <c r="Q377" s="313">
        <f t="shared" si="73"/>
        <v>0</v>
      </c>
      <c r="R377" s="1125">
        <f t="shared" si="74"/>
        <v>0</v>
      </c>
      <c r="S377" s="698">
        <f t="shared" si="65"/>
        <v>0</v>
      </c>
    </row>
    <row r="378" spans="1:19">
      <c r="A378" s="491"/>
      <c r="B378" s="348"/>
      <c r="C378" s="313">
        <f t="shared" si="66"/>
        <v>1</v>
      </c>
      <c r="D378" s="1129"/>
      <c r="E378" s="313">
        <f t="shared" si="67"/>
        <v>1</v>
      </c>
      <c r="F378" s="1129"/>
      <c r="G378" s="313">
        <f t="shared" si="68"/>
        <v>0.02</v>
      </c>
      <c r="H378" s="1129"/>
      <c r="I378" s="313">
        <f t="shared" si="69"/>
        <v>1</v>
      </c>
      <c r="J378" s="1129"/>
      <c r="K378" s="313">
        <f t="shared" si="70"/>
        <v>1</v>
      </c>
      <c r="L378" s="1129"/>
      <c r="M378" s="313">
        <f t="shared" si="71"/>
        <v>1</v>
      </c>
      <c r="N378" s="1129"/>
      <c r="O378" s="313">
        <f t="shared" si="72"/>
        <v>1</v>
      </c>
      <c r="P378" s="1129"/>
      <c r="Q378" s="313">
        <f t="shared" si="73"/>
        <v>0</v>
      </c>
      <c r="R378" s="1125">
        <f t="shared" si="74"/>
        <v>0</v>
      </c>
      <c r="S378" s="698">
        <f t="shared" si="65"/>
        <v>0</v>
      </c>
    </row>
    <row r="379" spans="1:19">
      <c r="A379" s="491"/>
      <c r="B379" s="348"/>
      <c r="C379" s="313">
        <f t="shared" si="66"/>
        <v>1</v>
      </c>
      <c r="D379" s="1129"/>
      <c r="E379" s="313">
        <f t="shared" si="67"/>
        <v>1</v>
      </c>
      <c r="F379" s="1129"/>
      <c r="G379" s="313">
        <f t="shared" si="68"/>
        <v>0.02</v>
      </c>
      <c r="H379" s="1129"/>
      <c r="I379" s="313">
        <f t="shared" si="69"/>
        <v>1</v>
      </c>
      <c r="J379" s="1129"/>
      <c r="K379" s="313">
        <f t="shared" si="70"/>
        <v>1</v>
      </c>
      <c r="L379" s="1129"/>
      <c r="M379" s="313">
        <f t="shared" si="71"/>
        <v>1</v>
      </c>
      <c r="N379" s="1129"/>
      <c r="O379" s="313">
        <f t="shared" si="72"/>
        <v>1</v>
      </c>
      <c r="P379" s="1129"/>
      <c r="Q379" s="313">
        <f t="shared" si="73"/>
        <v>0</v>
      </c>
      <c r="R379" s="1125">
        <f t="shared" si="74"/>
        <v>0</v>
      </c>
      <c r="S379" s="698">
        <f t="shared" si="65"/>
        <v>0</v>
      </c>
    </row>
    <row r="380" spans="1:19">
      <c r="A380" s="491"/>
      <c r="B380" s="348"/>
      <c r="C380" s="313">
        <f t="shared" si="66"/>
        <v>1</v>
      </c>
      <c r="D380" s="1129"/>
      <c r="E380" s="313">
        <f t="shared" si="67"/>
        <v>1</v>
      </c>
      <c r="F380" s="1129"/>
      <c r="G380" s="313">
        <f t="shared" si="68"/>
        <v>0.02</v>
      </c>
      <c r="H380" s="1129"/>
      <c r="I380" s="313">
        <f t="shared" si="69"/>
        <v>1</v>
      </c>
      <c r="J380" s="1129"/>
      <c r="K380" s="313">
        <f t="shared" si="70"/>
        <v>1</v>
      </c>
      <c r="L380" s="1129"/>
      <c r="M380" s="313">
        <f t="shared" si="71"/>
        <v>1</v>
      </c>
      <c r="N380" s="1129"/>
      <c r="O380" s="313">
        <f t="shared" si="72"/>
        <v>1</v>
      </c>
      <c r="P380" s="1129"/>
      <c r="Q380" s="313">
        <f t="shared" si="73"/>
        <v>0</v>
      </c>
      <c r="R380" s="1125">
        <f t="shared" si="74"/>
        <v>0</v>
      </c>
      <c r="S380" s="698">
        <f t="shared" si="65"/>
        <v>0</v>
      </c>
    </row>
    <row r="381" spans="1:19">
      <c r="A381" s="491"/>
      <c r="B381" s="348"/>
      <c r="C381" s="313">
        <f t="shared" si="66"/>
        <v>1</v>
      </c>
      <c r="D381" s="1129"/>
      <c r="E381" s="313">
        <f t="shared" si="67"/>
        <v>1</v>
      </c>
      <c r="F381" s="1129"/>
      <c r="G381" s="313">
        <f t="shared" si="68"/>
        <v>0.02</v>
      </c>
      <c r="H381" s="1129"/>
      <c r="I381" s="313">
        <f t="shared" si="69"/>
        <v>1</v>
      </c>
      <c r="J381" s="1129"/>
      <c r="K381" s="313">
        <f t="shared" si="70"/>
        <v>1</v>
      </c>
      <c r="L381" s="1129"/>
      <c r="M381" s="313">
        <f t="shared" si="71"/>
        <v>1</v>
      </c>
      <c r="N381" s="1129"/>
      <c r="O381" s="313">
        <f t="shared" si="72"/>
        <v>1</v>
      </c>
      <c r="P381" s="1129"/>
      <c r="Q381" s="313">
        <f t="shared" si="73"/>
        <v>0</v>
      </c>
      <c r="R381" s="1125">
        <f t="shared" si="74"/>
        <v>0</v>
      </c>
      <c r="S381" s="698">
        <f t="shared" si="65"/>
        <v>0</v>
      </c>
    </row>
    <row r="382" spans="1:19">
      <c r="A382" s="491"/>
      <c r="B382" s="348"/>
      <c r="C382" s="313">
        <f t="shared" si="66"/>
        <v>1</v>
      </c>
      <c r="D382" s="1129"/>
      <c r="E382" s="313">
        <f t="shared" si="67"/>
        <v>1</v>
      </c>
      <c r="F382" s="1129"/>
      <c r="G382" s="313">
        <f t="shared" si="68"/>
        <v>0.02</v>
      </c>
      <c r="H382" s="1129"/>
      <c r="I382" s="313">
        <f t="shared" si="69"/>
        <v>1</v>
      </c>
      <c r="J382" s="1129"/>
      <c r="K382" s="313">
        <f t="shared" si="70"/>
        <v>1</v>
      </c>
      <c r="L382" s="1129"/>
      <c r="M382" s="313">
        <f t="shared" si="71"/>
        <v>1</v>
      </c>
      <c r="N382" s="1129"/>
      <c r="O382" s="313">
        <f t="shared" si="72"/>
        <v>1</v>
      </c>
      <c r="P382" s="1129"/>
      <c r="Q382" s="313">
        <f t="shared" si="73"/>
        <v>0</v>
      </c>
      <c r="R382" s="1125">
        <f t="shared" si="74"/>
        <v>0</v>
      </c>
      <c r="S382" s="698">
        <f t="shared" si="65"/>
        <v>0</v>
      </c>
    </row>
    <row r="383" spans="1:19">
      <c r="A383" s="491"/>
      <c r="B383" s="348"/>
      <c r="C383" s="313">
        <f t="shared" si="66"/>
        <v>1</v>
      </c>
      <c r="D383" s="1129"/>
      <c r="E383" s="313">
        <f t="shared" si="67"/>
        <v>1</v>
      </c>
      <c r="F383" s="1129"/>
      <c r="G383" s="313">
        <f t="shared" si="68"/>
        <v>0.02</v>
      </c>
      <c r="H383" s="1129"/>
      <c r="I383" s="313">
        <f t="shared" si="69"/>
        <v>1</v>
      </c>
      <c r="J383" s="1129"/>
      <c r="K383" s="313">
        <f t="shared" si="70"/>
        <v>1</v>
      </c>
      <c r="L383" s="1129"/>
      <c r="M383" s="313">
        <f t="shared" si="71"/>
        <v>1</v>
      </c>
      <c r="N383" s="1129"/>
      <c r="O383" s="313">
        <f t="shared" si="72"/>
        <v>1</v>
      </c>
      <c r="P383" s="1129"/>
      <c r="Q383" s="313">
        <f t="shared" si="73"/>
        <v>0</v>
      </c>
      <c r="R383" s="1125">
        <f t="shared" si="74"/>
        <v>0</v>
      </c>
      <c r="S383" s="698">
        <f t="shared" si="65"/>
        <v>0</v>
      </c>
    </row>
    <row r="384" spans="1:19">
      <c r="A384" s="491"/>
      <c r="B384" s="348"/>
      <c r="C384" s="313">
        <f t="shared" si="66"/>
        <v>1</v>
      </c>
      <c r="D384" s="1129"/>
      <c r="E384" s="313">
        <f t="shared" si="67"/>
        <v>1</v>
      </c>
      <c r="F384" s="1129"/>
      <c r="G384" s="313">
        <f t="shared" si="68"/>
        <v>0.02</v>
      </c>
      <c r="H384" s="1129"/>
      <c r="I384" s="313">
        <f t="shared" si="69"/>
        <v>1</v>
      </c>
      <c r="J384" s="1129"/>
      <c r="K384" s="313">
        <f t="shared" si="70"/>
        <v>1</v>
      </c>
      <c r="L384" s="1129"/>
      <c r="M384" s="313">
        <f t="shared" si="71"/>
        <v>1</v>
      </c>
      <c r="N384" s="1129"/>
      <c r="O384" s="313">
        <f t="shared" si="72"/>
        <v>1</v>
      </c>
      <c r="P384" s="1129"/>
      <c r="Q384" s="313">
        <f t="shared" si="73"/>
        <v>0</v>
      </c>
      <c r="R384" s="1125">
        <f t="shared" si="74"/>
        <v>0</v>
      </c>
      <c r="S384" s="698">
        <f t="shared" si="65"/>
        <v>0</v>
      </c>
    </row>
    <row r="385" spans="1:19">
      <c r="A385" s="491"/>
      <c r="B385" s="348"/>
      <c r="C385" s="313">
        <f t="shared" si="66"/>
        <v>1</v>
      </c>
      <c r="D385" s="1129"/>
      <c r="E385" s="313">
        <f t="shared" si="67"/>
        <v>1</v>
      </c>
      <c r="F385" s="1129"/>
      <c r="G385" s="313">
        <f t="shared" si="68"/>
        <v>0.02</v>
      </c>
      <c r="H385" s="1129"/>
      <c r="I385" s="313">
        <f t="shared" si="69"/>
        <v>1</v>
      </c>
      <c r="J385" s="1129"/>
      <c r="K385" s="313">
        <f t="shared" si="70"/>
        <v>1</v>
      </c>
      <c r="L385" s="1129"/>
      <c r="M385" s="313">
        <f t="shared" si="71"/>
        <v>1</v>
      </c>
      <c r="N385" s="1129"/>
      <c r="O385" s="313">
        <f t="shared" si="72"/>
        <v>1</v>
      </c>
      <c r="P385" s="1129"/>
      <c r="Q385" s="313">
        <f t="shared" si="73"/>
        <v>0</v>
      </c>
      <c r="R385" s="1125">
        <f t="shared" si="74"/>
        <v>0</v>
      </c>
      <c r="S385" s="698">
        <f t="shared" ref="S385:S422" si="75">ROUND(R385*B385/10000,0)</f>
        <v>0</v>
      </c>
    </row>
    <row r="386" spans="1:19">
      <c r="A386" s="491"/>
      <c r="B386" s="348"/>
      <c r="C386" s="313">
        <f t="shared" si="66"/>
        <v>1</v>
      </c>
      <c r="D386" s="1129"/>
      <c r="E386" s="313">
        <f t="shared" si="67"/>
        <v>1</v>
      </c>
      <c r="F386" s="1129"/>
      <c r="G386" s="313">
        <f t="shared" si="68"/>
        <v>0.02</v>
      </c>
      <c r="H386" s="1129"/>
      <c r="I386" s="313">
        <f t="shared" si="69"/>
        <v>1</v>
      </c>
      <c r="J386" s="1129"/>
      <c r="K386" s="313">
        <f t="shared" si="70"/>
        <v>1</v>
      </c>
      <c r="L386" s="1129"/>
      <c r="M386" s="313">
        <f t="shared" si="71"/>
        <v>1</v>
      </c>
      <c r="N386" s="1129"/>
      <c r="O386" s="313">
        <f t="shared" si="72"/>
        <v>1</v>
      </c>
      <c r="P386" s="1129"/>
      <c r="Q386" s="313">
        <f t="shared" si="73"/>
        <v>0</v>
      </c>
      <c r="R386" s="1125">
        <f t="shared" si="74"/>
        <v>0</v>
      </c>
      <c r="S386" s="698">
        <f t="shared" si="75"/>
        <v>0</v>
      </c>
    </row>
    <row r="387" spans="1:19">
      <c r="A387" s="491"/>
      <c r="B387" s="348"/>
      <c r="C387" s="313">
        <f t="shared" si="66"/>
        <v>1</v>
      </c>
      <c r="D387" s="1129"/>
      <c r="E387" s="313">
        <f t="shared" si="67"/>
        <v>1</v>
      </c>
      <c r="F387" s="1129"/>
      <c r="G387" s="313">
        <f t="shared" si="68"/>
        <v>0.02</v>
      </c>
      <c r="H387" s="1129"/>
      <c r="I387" s="313">
        <f t="shared" si="69"/>
        <v>1</v>
      </c>
      <c r="J387" s="1129"/>
      <c r="K387" s="313">
        <f t="shared" si="70"/>
        <v>1</v>
      </c>
      <c r="L387" s="1129"/>
      <c r="M387" s="313">
        <f t="shared" si="71"/>
        <v>1</v>
      </c>
      <c r="N387" s="1129"/>
      <c r="O387" s="313">
        <f t="shared" si="72"/>
        <v>1</v>
      </c>
      <c r="P387" s="1129"/>
      <c r="Q387" s="313">
        <f t="shared" si="73"/>
        <v>0</v>
      </c>
      <c r="R387" s="1125">
        <f t="shared" si="74"/>
        <v>0</v>
      </c>
      <c r="S387" s="698">
        <f t="shared" si="75"/>
        <v>0</v>
      </c>
    </row>
    <row r="388" spans="1:19">
      <c r="A388" s="491"/>
      <c r="B388" s="348"/>
      <c r="C388" s="313">
        <f t="shared" si="66"/>
        <v>1</v>
      </c>
      <c r="D388" s="1129"/>
      <c r="E388" s="313">
        <f t="shared" si="67"/>
        <v>1</v>
      </c>
      <c r="F388" s="1129"/>
      <c r="G388" s="313">
        <f t="shared" si="68"/>
        <v>0.02</v>
      </c>
      <c r="H388" s="1129"/>
      <c r="I388" s="313">
        <f t="shared" si="69"/>
        <v>1</v>
      </c>
      <c r="J388" s="1129"/>
      <c r="K388" s="313">
        <f t="shared" si="70"/>
        <v>1</v>
      </c>
      <c r="L388" s="1129"/>
      <c r="M388" s="313">
        <f t="shared" si="71"/>
        <v>1</v>
      </c>
      <c r="N388" s="1129"/>
      <c r="O388" s="313">
        <f t="shared" si="72"/>
        <v>1</v>
      </c>
      <c r="P388" s="1129"/>
      <c r="Q388" s="313">
        <f t="shared" si="73"/>
        <v>0</v>
      </c>
      <c r="R388" s="1125">
        <f t="shared" si="74"/>
        <v>0</v>
      </c>
      <c r="S388" s="698">
        <f t="shared" si="75"/>
        <v>0</v>
      </c>
    </row>
    <row r="389" spans="1:19">
      <c r="A389" s="491"/>
      <c r="B389" s="348"/>
      <c r="C389" s="313">
        <f t="shared" si="66"/>
        <v>1</v>
      </c>
      <c r="D389" s="1129"/>
      <c r="E389" s="313">
        <f t="shared" si="67"/>
        <v>1</v>
      </c>
      <c r="F389" s="1129"/>
      <c r="G389" s="313">
        <f t="shared" si="68"/>
        <v>0.02</v>
      </c>
      <c r="H389" s="1129"/>
      <c r="I389" s="313">
        <f t="shared" si="69"/>
        <v>1</v>
      </c>
      <c r="J389" s="1129"/>
      <c r="K389" s="313">
        <f t="shared" si="70"/>
        <v>1</v>
      </c>
      <c r="L389" s="1129"/>
      <c r="M389" s="313">
        <f t="shared" si="71"/>
        <v>1</v>
      </c>
      <c r="N389" s="1129"/>
      <c r="O389" s="313">
        <f t="shared" si="72"/>
        <v>1</v>
      </c>
      <c r="P389" s="1129"/>
      <c r="Q389" s="313">
        <f t="shared" si="73"/>
        <v>0</v>
      </c>
      <c r="R389" s="1125">
        <f t="shared" si="74"/>
        <v>0</v>
      </c>
      <c r="S389" s="698">
        <f t="shared" si="75"/>
        <v>0</v>
      </c>
    </row>
    <row r="390" spans="1:19">
      <c r="A390" s="491"/>
      <c r="B390" s="348"/>
      <c r="C390" s="313">
        <f t="shared" si="66"/>
        <v>1</v>
      </c>
      <c r="D390" s="1129"/>
      <c r="E390" s="313">
        <f t="shared" si="67"/>
        <v>1</v>
      </c>
      <c r="F390" s="1129"/>
      <c r="G390" s="313">
        <f t="shared" si="68"/>
        <v>0.02</v>
      </c>
      <c r="H390" s="1129"/>
      <c r="I390" s="313">
        <f t="shared" si="69"/>
        <v>1</v>
      </c>
      <c r="J390" s="1129"/>
      <c r="K390" s="313">
        <f t="shared" si="70"/>
        <v>1</v>
      </c>
      <c r="L390" s="1129"/>
      <c r="M390" s="313">
        <f t="shared" si="71"/>
        <v>1</v>
      </c>
      <c r="N390" s="1129"/>
      <c r="O390" s="313">
        <f t="shared" si="72"/>
        <v>1</v>
      </c>
      <c r="P390" s="1129"/>
      <c r="Q390" s="313">
        <f t="shared" si="73"/>
        <v>0</v>
      </c>
      <c r="R390" s="1125">
        <f t="shared" si="74"/>
        <v>0</v>
      </c>
      <c r="S390" s="698">
        <f t="shared" si="75"/>
        <v>0</v>
      </c>
    </row>
    <row r="391" spans="1:19">
      <c r="A391" s="491"/>
      <c r="B391" s="348"/>
      <c r="C391" s="313">
        <f t="shared" si="66"/>
        <v>1</v>
      </c>
      <c r="D391" s="1129"/>
      <c r="E391" s="313">
        <f t="shared" si="67"/>
        <v>1</v>
      </c>
      <c r="F391" s="1129"/>
      <c r="G391" s="313">
        <f t="shared" si="68"/>
        <v>0.02</v>
      </c>
      <c r="H391" s="1129"/>
      <c r="I391" s="313">
        <f t="shared" si="69"/>
        <v>1</v>
      </c>
      <c r="J391" s="1129"/>
      <c r="K391" s="313">
        <f t="shared" si="70"/>
        <v>1</v>
      </c>
      <c r="L391" s="1129"/>
      <c r="M391" s="313">
        <f t="shared" si="71"/>
        <v>1</v>
      </c>
      <c r="N391" s="1129"/>
      <c r="O391" s="313">
        <f t="shared" si="72"/>
        <v>1</v>
      </c>
      <c r="P391" s="1129"/>
      <c r="Q391" s="313">
        <f t="shared" si="73"/>
        <v>0</v>
      </c>
      <c r="R391" s="1125">
        <f t="shared" si="74"/>
        <v>0</v>
      </c>
      <c r="S391" s="698">
        <f t="shared" si="75"/>
        <v>0</v>
      </c>
    </row>
    <row r="392" spans="1:19">
      <c r="A392" s="491"/>
      <c r="B392" s="348"/>
      <c r="C392" s="313">
        <f t="shared" si="66"/>
        <v>1</v>
      </c>
      <c r="D392" s="1129"/>
      <c r="E392" s="313">
        <f t="shared" si="67"/>
        <v>1</v>
      </c>
      <c r="F392" s="1129"/>
      <c r="G392" s="313">
        <f t="shared" si="68"/>
        <v>0.02</v>
      </c>
      <c r="H392" s="1129"/>
      <c r="I392" s="313">
        <f t="shared" si="69"/>
        <v>1</v>
      </c>
      <c r="J392" s="1129"/>
      <c r="K392" s="313">
        <f t="shared" si="70"/>
        <v>1</v>
      </c>
      <c r="L392" s="1129"/>
      <c r="M392" s="313">
        <f t="shared" si="71"/>
        <v>1</v>
      </c>
      <c r="N392" s="1129"/>
      <c r="O392" s="313">
        <f t="shared" si="72"/>
        <v>1</v>
      </c>
      <c r="P392" s="1129"/>
      <c r="Q392" s="313">
        <f t="shared" si="73"/>
        <v>0</v>
      </c>
      <c r="R392" s="1125">
        <f t="shared" si="74"/>
        <v>0</v>
      </c>
      <c r="S392" s="698">
        <f t="shared" si="75"/>
        <v>0</v>
      </c>
    </row>
    <row r="393" spans="1:19">
      <c r="A393" s="491"/>
      <c r="B393" s="348"/>
      <c r="C393" s="313">
        <f t="shared" si="66"/>
        <v>1</v>
      </c>
      <c r="D393" s="1129"/>
      <c r="E393" s="313">
        <f t="shared" si="67"/>
        <v>1</v>
      </c>
      <c r="F393" s="1129"/>
      <c r="G393" s="313">
        <f t="shared" si="68"/>
        <v>0.02</v>
      </c>
      <c r="H393" s="1129"/>
      <c r="I393" s="313">
        <f t="shared" si="69"/>
        <v>1</v>
      </c>
      <c r="J393" s="1129"/>
      <c r="K393" s="313">
        <f t="shared" si="70"/>
        <v>1</v>
      </c>
      <c r="L393" s="1129"/>
      <c r="M393" s="313">
        <f t="shared" si="71"/>
        <v>1</v>
      </c>
      <c r="N393" s="1129"/>
      <c r="O393" s="313">
        <f t="shared" si="72"/>
        <v>1</v>
      </c>
      <c r="P393" s="1129"/>
      <c r="Q393" s="313">
        <f t="shared" si="73"/>
        <v>0</v>
      </c>
      <c r="R393" s="1125">
        <f t="shared" si="74"/>
        <v>0</v>
      </c>
      <c r="S393" s="698">
        <f t="shared" si="75"/>
        <v>0</v>
      </c>
    </row>
    <row r="394" spans="1:19">
      <c r="A394" s="491"/>
      <c r="B394" s="348"/>
      <c r="C394" s="313">
        <f t="shared" si="66"/>
        <v>1</v>
      </c>
      <c r="D394" s="1129"/>
      <c r="E394" s="313">
        <f t="shared" si="67"/>
        <v>1</v>
      </c>
      <c r="F394" s="1129"/>
      <c r="G394" s="313">
        <f t="shared" si="68"/>
        <v>0.02</v>
      </c>
      <c r="H394" s="1129"/>
      <c r="I394" s="313">
        <f t="shared" si="69"/>
        <v>1</v>
      </c>
      <c r="J394" s="1129"/>
      <c r="K394" s="313">
        <f t="shared" si="70"/>
        <v>1</v>
      </c>
      <c r="L394" s="1129"/>
      <c r="M394" s="313">
        <f t="shared" si="71"/>
        <v>1</v>
      </c>
      <c r="N394" s="1129"/>
      <c r="O394" s="313">
        <f t="shared" si="72"/>
        <v>1</v>
      </c>
      <c r="P394" s="1129"/>
      <c r="Q394" s="313">
        <f t="shared" si="73"/>
        <v>0</v>
      </c>
      <c r="R394" s="1125">
        <f t="shared" si="74"/>
        <v>0</v>
      </c>
      <c r="S394" s="698">
        <f t="shared" si="75"/>
        <v>0</v>
      </c>
    </row>
    <row r="395" spans="1:19">
      <c r="A395" s="491"/>
      <c r="B395" s="348"/>
      <c r="C395" s="313">
        <f t="shared" si="66"/>
        <v>1</v>
      </c>
      <c r="D395" s="1129"/>
      <c r="E395" s="313">
        <f t="shared" si="67"/>
        <v>1</v>
      </c>
      <c r="F395" s="1129"/>
      <c r="G395" s="313">
        <f t="shared" si="68"/>
        <v>0.02</v>
      </c>
      <c r="H395" s="1129"/>
      <c r="I395" s="313">
        <f t="shared" si="69"/>
        <v>1</v>
      </c>
      <c r="J395" s="1129"/>
      <c r="K395" s="313">
        <f t="shared" si="70"/>
        <v>1</v>
      </c>
      <c r="L395" s="1129"/>
      <c r="M395" s="313">
        <f t="shared" si="71"/>
        <v>1</v>
      </c>
      <c r="N395" s="1129"/>
      <c r="O395" s="313">
        <f t="shared" si="72"/>
        <v>1</v>
      </c>
      <c r="P395" s="1129"/>
      <c r="Q395" s="313">
        <f t="shared" si="73"/>
        <v>0</v>
      </c>
      <c r="R395" s="1125">
        <f t="shared" si="74"/>
        <v>0</v>
      </c>
      <c r="S395" s="698">
        <f t="shared" si="75"/>
        <v>0</v>
      </c>
    </row>
    <row r="396" spans="1:19">
      <c r="A396" s="491"/>
      <c r="B396" s="348"/>
      <c r="C396" s="313">
        <f t="shared" si="66"/>
        <v>1</v>
      </c>
      <c r="D396" s="1129"/>
      <c r="E396" s="313">
        <f t="shared" si="67"/>
        <v>1</v>
      </c>
      <c r="F396" s="1129"/>
      <c r="G396" s="313">
        <f t="shared" si="68"/>
        <v>0.02</v>
      </c>
      <c r="H396" s="1129"/>
      <c r="I396" s="313">
        <f t="shared" si="69"/>
        <v>1</v>
      </c>
      <c r="J396" s="1129"/>
      <c r="K396" s="313">
        <f t="shared" si="70"/>
        <v>1</v>
      </c>
      <c r="L396" s="1129"/>
      <c r="M396" s="313">
        <f t="shared" si="71"/>
        <v>1</v>
      </c>
      <c r="N396" s="1129"/>
      <c r="O396" s="313">
        <f t="shared" si="72"/>
        <v>1</v>
      </c>
      <c r="P396" s="1129"/>
      <c r="Q396" s="313">
        <f t="shared" si="73"/>
        <v>0</v>
      </c>
      <c r="R396" s="1125">
        <f t="shared" si="74"/>
        <v>0</v>
      </c>
      <c r="S396" s="698">
        <f t="shared" si="75"/>
        <v>0</v>
      </c>
    </row>
    <row r="397" spans="1:19">
      <c r="A397" s="491"/>
      <c r="B397" s="348"/>
      <c r="C397" s="313">
        <f t="shared" si="66"/>
        <v>1</v>
      </c>
      <c r="D397" s="1129"/>
      <c r="E397" s="313">
        <f t="shared" si="67"/>
        <v>1</v>
      </c>
      <c r="F397" s="1129"/>
      <c r="G397" s="313">
        <f t="shared" si="68"/>
        <v>0.02</v>
      </c>
      <c r="H397" s="1129"/>
      <c r="I397" s="313">
        <f t="shared" si="69"/>
        <v>1</v>
      </c>
      <c r="J397" s="1129"/>
      <c r="K397" s="313">
        <f t="shared" si="70"/>
        <v>1</v>
      </c>
      <c r="L397" s="1129"/>
      <c r="M397" s="313">
        <f t="shared" si="71"/>
        <v>1</v>
      </c>
      <c r="N397" s="1129"/>
      <c r="O397" s="313">
        <f t="shared" si="72"/>
        <v>1</v>
      </c>
      <c r="P397" s="1129"/>
      <c r="Q397" s="313">
        <f t="shared" si="73"/>
        <v>0</v>
      </c>
      <c r="R397" s="1125">
        <f t="shared" si="74"/>
        <v>0</v>
      </c>
      <c r="S397" s="698">
        <f t="shared" si="75"/>
        <v>0</v>
      </c>
    </row>
    <row r="398" spans="1:19">
      <c r="A398" s="491"/>
      <c r="B398" s="348"/>
      <c r="C398" s="313">
        <f t="shared" si="66"/>
        <v>1</v>
      </c>
      <c r="D398" s="1129"/>
      <c r="E398" s="313">
        <f t="shared" si="67"/>
        <v>1</v>
      </c>
      <c r="F398" s="1129"/>
      <c r="G398" s="313">
        <f t="shared" si="68"/>
        <v>0.02</v>
      </c>
      <c r="H398" s="1129"/>
      <c r="I398" s="313">
        <f t="shared" si="69"/>
        <v>1</v>
      </c>
      <c r="J398" s="1129"/>
      <c r="K398" s="313">
        <f t="shared" si="70"/>
        <v>1</v>
      </c>
      <c r="L398" s="1129"/>
      <c r="M398" s="313">
        <f t="shared" si="71"/>
        <v>1</v>
      </c>
      <c r="N398" s="1129"/>
      <c r="O398" s="313">
        <f t="shared" si="72"/>
        <v>1</v>
      </c>
      <c r="P398" s="1129"/>
      <c r="Q398" s="313">
        <f t="shared" si="73"/>
        <v>0</v>
      </c>
      <c r="R398" s="1125">
        <f t="shared" si="74"/>
        <v>0</v>
      </c>
      <c r="S398" s="698">
        <f t="shared" si="75"/>
        <v>0</v>
      </c>
    </row>
    <row r="399" spans="1:19">
      <c r="A399" s="491"/>
      <c r="B399" s="348"/>
      <c r="C399" s="313">
        <f t="shared" si="66"/>
        <v>1</v>
      </c>
      <c r="D399" s="1129"/>
      <c r="E399" s="313">
        <f t="shared" si="67"/>
        <v>1</v>
      </c>
      <c r="F399" s="1129"/>
      <c r="G399" s="313">
        <f t="shared" si="68"/>
        <v>0.02</v>
      </c>
      <c r="H399" s="1129"/>
      <c r="I399" s="313">
        <f t="shared" si="69"/>
        <v>1</v>
      </c>
      <c r="J399" s="1129"/>
      <c r="K399" s="313">
        <f t="shared" si="70"/>
        <v>1</v>
      </c>
      <c r="L399" s="1129"/>
      <c r="M399" s="313">
        <f t="shared" si="71"/>
        <v>1</v>
      </c>
      <c r="N399" s="1129"/>
      <c r="O399" s="313">
        <f t="shared" si="72"/>
        <v>1</v>
      </c>
      <c r="P399" s="1129"/>
      <c r="Q399" s="313">
        <f t="shared" si="73"/>
        <v>0</v>
      </c>
      <c r="R399" s="1125">
        <f t="shared" si="74"/>
        <v>0</v>
      </c>
      <c r="S399" s="698">
        <f t="shared" si="75"/>
        <v>0</v>
      </c>
    </row>
    <row r="400" spans="1:19">
      <c r="A400" s="491"/>
      <c r="B400" s="348"/>
      <c r="C400" s="313">
        <f t="shared" si="66"/>
        <v>1</v>
      </c>
      <c r="D400" s="1129"/>
      <c r="E400" s="313">
        <f t="shared" si="67"/>
        <v>1</v>
      </c>
      <c r="F400" s="1129"/>
      <c r="G400" s="313">
        <f t="shared" si="68"/>
        <v>0.02</v>
      </c>
      <c r="H400" s="1129"/>
      <c r="I400" s="313">
        <f t="shared" si="69"/>
        <v>1</v>
      </c>
      <c r="J400" s="1129"/>
      <c r="K400" s="313">
        <f t="shared" si="70"/>
        <v>1</v>
      </c>
      <c r="L400" s="1129"/>
      <c r="M400" s="313">
        <f t="shared" si="71"/>
        <v>1</v>
      </c>
      <c r="N400" s="1129"/>
      <c r="O400" s="313">
        <f t="shared" si="72"/>
        <v>1</v>
      </c>
      <c r="P400" s="1129"/>
      <c r="Q400" s="313">
        <f t="shared" si="73"/>
        <v>0</v>
      </c>
      <c r="R400" s="1125">
        <f t="shared" si="74"/>
        <v>0</v>
      </c>
      <c r="S400" s="698">
        <f t="shared" si="75"/>
        <v>0</v>
      </c>
    </row>
    <row r="401" spans="1:19">
      <c r="A401" s="491"/>
      <c r="B401" s="348"/>
      <c r="C401" s="313">
        <f t="shared" si="66"/>
        <v>1</v>
      </c>
      <c r="D401" s="1129"/>
      <c r="E401" s="313">
        <f t="shared" si="67"/>
        <v>1</v>
      </c>
      <c r="F401" s="1129"/>
      <c r="G401" s="313">
        <f t="shared" si="68"/>
        <v>0.02</v>
      </c>
      <c r="H401" s="1129"/>
      <c r="I401" s="313">
        <f t="shared" si="69"/>
        <v>1</v>
      </c>
      <c r="J401" s="1129"/>
      <c r="K401" s="313">
        <f t="shared" si="70"/>
        <v>1</v>
      </c>
      <c r="L401" s="1129"/>
      <c r="M401" s="313">
        <f t="shared" si="71"/>
        <v>1</v>
      </c>
      <c r="N401" s="1129"/>
      <c r="O401" s="313">
        <f t="shared" si="72"/>
        <v>1</v>
      </c>
      <c r="P401" s="1129"/>
      <c r="Q401" s="313">
        <f t="shared" si="73"/>
        <v>0</v>
      </c>
      <c r="R401" s="1125">
        <f t="shared" si="74"/>
        <v>0</v>
      </c>
      <c r="S401" s="698">
        <f t="shared" si="75"/>
        <v>0</v>
      </c>
    </row>
    <row r="402" spans="1:19">
      <c r="A402" s="491"/>
      <c r="B402" s="348"/>
      <c r="C402" s="313">
        <f t="shared" si="66"/>
        <v>1</v>
      </c>
      <c r="D402" s="1129"/>
      <c r="E402" s="313">
        <f t="shared" si="67"/>
        <v>1</v>
      </c>
      <c r="F402" s="1129"/>
      <c r="G402" s="313">
        <f t="shared" si="68"/>
        <v>0.02</v>
      </c>
      <c r="H402" s="1129"/>
      <c r="I402" s="313">
        <f t="shared" si="69"/>
        <v>1</v>
      </c>
      <c r="J402" s="1129"/>
      <c r="K402" s="313">
        <f t="shared" si="70"/>
        <v>1</v>
      </c>
      <c r="L402" s="1129"/>
      <c r="M402" s="313">
        <f t="shared" si="71"/>
        <v>1</v>
      </c>
      <c r="N402" s="1129"/>
      <c r="O402" s="313">
        <f t="shared" si="72"/>
        <v>1</v>
      </c>
      <c r="P402" s="1129"/>
      <c r="Q402" s="313">
        <f t="shared" si="73"/>
        <v>0</v>
      </c>
      <c r="R402" s="1125">
        <f t="shared" si="74"/>
        <v>0</v>
      </c>
      <c r="S402" s="698">
        <f t="shared" si="75"/>
        <v>0</v>
      </c>
    </row>
    <row r="403" spans="1:19">
      <c r="A403" s="491"/>
      <c r="B403" s="348"/>
      <c r="C403" s="313">
        <f t="shared" si="66"/>
        <v>1</v>
      </c>
      <c r="D403" s="1129"/>
      <c r="E403" s="313">
        <f t="shared" si="67"/>
        <v>1</v>
      </c>
      <c r="F403" s="1129"/>
      <c r="G403" s="313">
        <f t="shared" si="68"/>
        <v>0.02</v>
      </c>
      <c r="H403" s="1129"/>
      <c r="I403" s="313">
        <f t="shared" si="69"/>
        <v>1</v>
      </c>
      <c r="J403" s="1129"/>
      <c r="K403" s="313">
        <f t="shared" si="70"/>
        <v>1</v>
      </c>
      <c r="L403" s="1129"/>
      <c r="M403" s="313">
        <f t="shared" si="71"/>
        <v>1</v>
      </c>
      <c r="N403" s="1129"/>
      <c r="O403" s="313">
        <f t="shared" si="72"/>
        <v>1</v>
      </c>
      <c r="P403" s="1129"/>
      <c r="Q403" s="313">
        <f t="shared" si="73"/>
        <v>0</v>
      </c>
      <c r="R403" s="1125">
        <f t="shared" si="74"/>
        <v>0</v>
      </c>
      <c r="S403" s="698">
        <f t="shared" si="75"/>
        <v>0</v>
      </c>
    </row>
    <row r="404" spans="1:19">
      <c r="A404" s="491"/>
      <c r="B404" s="348"/>
      <c r="C404" s="313">
        <f t="shared" si="66"/>
        <v>1</v>
      </c>
      <c r="D404" s="1129"/>
      <c r="E404" s="313">
        <f t="shared" si="67"/>
        <v>1</v>
      </c>
      <c r="F404" s="1129"/>
      <c r="G404" s="313">
        <f t="shared" si="68"/>
        <v>0.02</v>
      </c>
      <c r="H404" s="1129"/>
      <c r="I404" s="313">
        <f t="shared" si="69"/>
        <v>1</v>
      </c>
      <c r="J404" s="1129"/>
      <c r="K404" s="313">
        <f t="shared" si="70"/>
        <v>1</v>
      </c>
      <c r="L404" s="1129"/>
      <c r="M404" s="313">
        <f t="shared" si="71"/>
        <v>1</v>
      </c>
      <c r="N404" s="1129"/>
      <c r="O404" s="313">
        <f t="shared" si="72"/>
        <v>1</v>
      </c>
      <c r="P404" s="1129"/>
      <c r="Q404" s="313">
        <f t="shared" si="73"/>
        <v>0</v>
      </c>
      <c r="R404" s="1125">
        <f t="shared" si="74"/>
        <v>0</v>
      </c>
      <c r="S404" s="698">
        <f t="shared" si="75"/>
        <v>0</v>
      </c>
    </row>
    <row r="405" spans="1:19">
      <c r="A405" s="491"/>
      <c r="B405" s="348"/>
      <c r="C405" s="313">
        <f t="shared" si="66"/>
        <v>1</v>
      </c>
      <c r="D405" s="1129"/>
      <c r="E405" s="313">
        <f t="shared" si="67"/>
        <v>1</v>
      </c>
      <c r="F405" s="1129"/>
      <c r="G405" s="313">
        <f t="shared" si="68"/>
        <v>0.02</v>
      </c>
      <c r="H405" s="1129"/>
      <c r="I405" s="313">
        <f t="shared" si="69"/>
        <v>1</v>
      </c>
      <c r="J405" s="1129"/>
      <c r="K405" s="313">
        <f t="shared" si="70"/>
        <v>1</v>
      </c>
      <c r="L405" s="1129"/>
      <c r="M405" s="313">
        <f t="shared" si="71"/>
        <v>1</v>
      </c>
      <c r="N405" s="1129"/>
      <c r="O405" s="313">
        <f t="shared" si="72"/>
        <v>1</v>
      </c>
      <c r="P405" s="1129"/>
      <c r="Q405" s="313">
        <f t="shared" si="73"/>
        <v>0</v>
      </c>
      <c r="R405" s="1125">
        <f t="shared" si="74"/>
        <v>0</v>
      </c>
      <c r="S405" s="698">
        <f t="shared" si="75"/>
        <v>0</v>
      </c>
    </row>
    <row r="406" spans="1:19">
      <c r="A406" s="491"/>
      <c r="B406" s="348"/>
      <c r="C406" s="313">
        <f t="shared" si="66"/>
        <v>1</v>
      </c>
      <c r="D406" s="1129"/>
      <c r="E406" s="313">
        <f t="shared" si="67"/>
        <v>1</v>
      </c>
      <c r="F406" s="1129"/>
      <c r="G406" s="313">
        <f t="shared" si="68"/>
        <v>0.02</v>
      </c>
      <c r="H406" s="1129"/>
      <c r="I406" s="313">
        <f t="shared" si="69"/>
        <v>1</v>
      </c>
      <c r="J406" s="1129"/>
      <c r="K406" s="313">
        <f t="shared" si="70"/>
        <v>1</v>
      </c>
      <c r="L406" s="1129"/>
      <c r="M406" s="313">
        <f t="shared" si="71"/>
        <v>1</v>
      </c>
      <c r="N406" s="1129"/>
      <c r="O406" s="313">
        <f t="shared" si="72"/>
        <v>1</v>
      </c>
      <c r="P406" s="1129"/>
      <c r="Q406" s="313">
        <f t="shared" si="73"/>
        <v>0</v>
      </c>
      <c r="R406" s="1125">
        <f t="shared" si="74"/>
        <v>0</v>
      </c>
      <c r="S406" s="698">
        <f t="shared" si="75"/>
        <v>0</v>
      </c>
    </row>
    <row r="407" spans="1:19">
      <c r="A407" s="491"/>
      <c r="B407" s="348"/>
      <c r="C407" s="313">
        <f t="shared" si="66"/>
        <v>1</v>
      </c>
      <c r="D407" s="1129"/>
      <c r="E407" s="313">
        <f t="shared" si="67"/>
        <v>1</v>
      </c>
      <c r="F407" s="1129"/>
      <c r="G407" s="313">
        <f t="shared" si="68"/>
        <v>0.02</v>
      </c>
      <c r="H407" s="1129"/>
      <c r="I407" s="313">
        <f t="shared" si="69"/>
        <v>1</v>
      </c>
      <c r="J407" s="1129"/>
      <c r="K407" s="313">
        <f t="shared" si="70"/>
        <v>1</v>
      </c>
      <c r="L407" s="1129"/>
      <c r="M407" s="313">
        <f t="shared" si="71"/>
        <v>1</v>
      </c>
      <c r="N407" s="1129"/>
      <c r="O407" s="313">
        <f t="shared" si="72"/>
        <v>1</v>
      </c>
      <c r="P407" s="1129"/>
      <c r="Q407" s="313">
        <f t="shared" si="73"/>
        <v>0</v>
      </c>
      <c r="R407" s="1125">
        <f t="shared" si="74"/>
        <v>0</v>
      </c>
      <c r="S407" s="698">
        <f t="shared" si="75"/>
        <v>0</v>
      </c>
    </row>
    <row r="408" spans="1:19">
      <c r="A408" s="491"/>
      <c r="B408" s="348"/>
      <c r="C408" s="313">
        <f t="shared" si="66"/>
        <v>1</v>
      </c>
      <c r="D408" s="1129"/>
      <c r="E408" s="313">
        <f t="shared" si="67"/>
        <v>1</v>
      </c>
      <c r="F408" s="1129"/>
      <c r="G408" s="313">
        <f t="shared" si="68"/>
        <v>0.02</v>
      </c>
      <c r="H408" s="1129"/>
      <c r="I408" s="313">
        <f t="shared" si="69"/>
        <v>1</v>
      </c>
      <c r="J408" s="1129"/>
      <c r="K408" s="313">
        <f t="shared" si="70"/>
        <v>1</v>
      </c>
      <c r="L408" s="1129"/>
      <c r="M408" s="313">
        <f t="shared" si="71"/>
        <v>1</v>
      </c>
      <c r="N408" s="1129"/>
      <c r="O408" s="313">
        <f t="shared" si="72"/>
        <v>1</v>
      </c>
      <c r="P408" s="1129"/>
      <c r="Q408" s="313">
        <f t="shared" si="73"/>
        <v>0</v>
      </c>
      <c r="R408" s="1125">
        <f t="shared" si="74"/>
        <v>0</v>
      </c>
      <c r="S408" s="698">
        <f t="shared" si="75"/>
        <v>0</v>
      </c>
    </row>
    <row r="409" spans="1:19">
      <c r="A409" s="491"/>
      <c r="B409" s="348"/>
      <c r="C409" s="313">
        <f t="shared" si="66"/>
        <v>1</v>
      </c>
      <c r="D409" s="1129"/>
      <c r="E409" s="313">
        <f t="shared" si="67"/>
        <v>1</v>
      </c>
      <c r="F409" s="1129"/>
      <c r="G409" s="313">
        <f t="shared" si="68"/>
        <v>0.02</v>
      </c>
      <c r="H409" s="1129"/>
      <c r="I409" s="313">
        <f t="shared" si="69"/>
        <v>1</v>
      </c>
      <c r="J409" s="1129"/>
      <c r="K409" s="313">
        <f t="shared" si="70"/>
        <v>1</v>
      </c>
      <c r="L409" s="1129"/>
      <c r="M409" s="313">
        <f t="shared" si="71"/>
        <v>1</v>
      </c>
      <c r="N409" s="1129"/>
      <c r="O409" s="313">
        <f t="shared" si="72"/>
        <v>1</v>
      </c>
      <c r="P409" s="1129"/>
      <c r="Q409" s="313">
        <f t="shared" si="73"/>
        <v>0</v>
      </c>
      <c r="R409" s="1125">
        <f t="shared" si="74"/>
        <v>0</v>
      </c>
      <c r="S409" s="698">
        <f t="shared" si="75"/>
        <v>0</v>
      </c>
    </row>
    <row r="410" spans="1:19">
      <c r="A410" s="491"/>
      <c r="B410" s="348"/>
      <c r="C410" s="313">
        <f t="shared" ref="C410:C473" si="76">IF(B410="",1,(LOOKUP(B410,$3:$3,$4:$4)-LOOKUP($B$24,$3:$3,$4:$4)+100)/100)</f>
        <v>1</v>
      </c>
      <c r="D410" s="1129"/>
      <c r="E410" s="313">
        <f t="shared" ref="E410:E473" si="77">(SUMIF($5:$5,D410,$6:$6)-SUMIF($5:$5,$D$24,$6:$6)+100)/100</f>
        <v>1</v>
      </c>
      <c r="F410" s="1129"/>
      <c r="G410" s="313">
        <f t="shared" ref="G410:G473" si="78">(SUMIF($7:$7,F410,$8:$8)-SUMIF($7:$7,$F$24,$8:$8)+100)/100</f>
        <v>0.02</v>
      </c>
      <c r="H410" s="1129"/>
      <c r="I410" s="313">
        <f t="shared" ref="I410:I473" si="79">(SUMIF($9:$9,H410,$10:$10)-SUMIF($9:$9,$H$24,$10:$10)+100)/100</f>
        <v>1</v>
      </c>
      <c r="J410" s="1129"/>
      <c r="K410" s="313">
        <f t="shared" ref="K410:K473" si="80">(SUMIF($11:$11,J410,$12:$12)-SUMIF($11:$11,$J$24,$12:$12)+100)/100</f>
        <v>1</v>
      </c>
      <c r="L410" s="1129"/>
      <c r="M410" s="313">
        <f t="shared" ref="M410:M473" si="81">(SUMIF($13:$13,L410,$14:$14)-SUMIF($13:$13,$L$24,$14:$14)+100)/100</f>
        <v>1</v>
      </c>
      <c r="N410" s="1129"/>
      <c r="O410" s="313">
        <f t="shared" ref="O410:O473" si="82">(SUMIF($15:$15,N410,$16:$16)-SUMIF($15:$15,$N$24,$16:$16)+100)/100</f>
        <v>1</v>
      </c>
      <c r="P410" s="1129"/>
      <c r="Q410" s="313">
        <f t="shared" ref="Q410:Q473" si="83">(SUMIF($17:$17,P410,$18:$18)-SUMIF($17:$17,$P$24,$18:$18)+100)/100</f>
        <v>0</v>
      </c>
      <c r="R410" s="1125">
        <f t="shared" ref="R410:R473" si="84">IF(B410="",0,ROUND($R$24*C410*E410*G410*I410*K410*M410*O410*Q410,0))</f>
        <v>0</v>
      </c>
      <c r="S410" s="698">
        <f t="shared" si="75"/>
        <v>0</v>
      </c>
    </row>
    <row r="411" spans="1:19">
      <c r="A411" s="491"/>
      <c r="B411" s="348"/>
      <c r="C411" s="313">
        <f t="shared" si="76"/>
        <v>1</v>
      </c>
      <c r="D411" s="1129"/>
      <c r="E411" s="313">
        <f t="shared" si="77"/>
        <v>1</v>
      </c>
      <c r="F411" s="1129"/>
      <c r="G411" s="313">
        <f t="shared" si="78"/>
        <v>0.02</v>
      </c>
      <c r="H411" s="1129"/>
      <c r="I411" s="313">
        <f t="shared" si="79"/>
        <v>1</v>
      </c>
      <c r="J411" s="1129"/>
      <c r="K411" s="313">
        <f t="shared" si="80"/>
        <v>1</v>
      </c>
      <c r="L411" s="1129"/>
      <c r="M411" s="313">
        <f t="shared" si="81"/>
        <v>1</v>
      </c>
      <c r="N411" s="1129"/>
      <c r="O411" s="313">
        <f t="shared" si="82"/>
        <v>1</v>
      </c>
      <c r="P411" s="1129"/>
      <c r="Q411" s="313">
        <f t="shared" si="83"/>
        <v>0</v>
      </c>
      <c r="R411" s="1125">
        <f t="shared" si="84"/>
        <v>0</v>
      </c>
      <c r="S411" s="698">
        <f t="shared" si="75"/>
        <v>0</v>
      </c>
    </row>
    <row r="412" spans="1:19">
      <c r="A412" s="491"/>
      <c r="B412" s="348"/>
      <c r="C412" s="313">
        <f t="shared" si="76"/>
        <v>1</v>
      </c>
      <c r="D412" s="1129"/>
      <c r="E412" s="313">
        <f t="shared" si="77"/>
        <v>1</v>
      </c>
      <c r="F412" s="1129"/>
      <c r="G412" s="313">
        <f t="shared" si="78"/>
        <v>0.02</v>
      </c>
      <c r="H412" s="1129"/>
      <c r="I412" s="313">
        <f t="shared" si="79"/>
        <v>1</v>
      </c>
      <c r="J412" s="1129"/>
      <c r="K412" s="313">
        <f t="shared" si="80"/>
        <v>1</v>
      </c>
      <c r="L412" s="1129"/>
      <c r="M412" s="313">
        <f t="shared" si="81"/>
        <v>1</v>
      </c>
      <c r="N412" s="1129"/>
      <c r="O412" s="313">
        <f t="shared" si="82"/>
        <v>1</v>
      </c>
      <c r="P412" s="1129"/>
      <c r="Q412" s="313">
        <f t="shared" si="83"/>
        <v>0</v>
      </c>
      <c r="R412" s="1125">
        <f t="shared" si="84"/>
        <v>0</v>
      </c>
      <c r="S412" s="698">
        <f t="shared" si="75"/>
        <v>0</v>
      </c>
    </row>
    <row r="413" spans="1:19">
      <c r="A413" s="491"/>
      <c r="B413" s="348"/>
      <c r="C413" s="313">
        <f t="shared" si="76"/>
        <v>1</v>
      </c>
      <c r="D413" s="1129"/>
      <c r="E413" s="313">
        <f t="shared" si="77"/>
        <v>1</v>
      </c>
      <c r="F413" s="1129"/>
      <c r="G413" s="313">
        <f t="shared" si="78"/>
        <v>0.02</v>
      </c>
      <c r="H413" s="1129"/>
      <c r="I413" s="313">
        <f t="shared" si="79"/>
        <v>1</v>
      </c>
      <c r="J413" s="1129"/>
      <c r="K413" s="313">
        <f t="shared" si="80"/>
        <v>1</v>
      </c>
      <c r="L413" s="1129"/>
      <c r="M413" s="313">
        <f t="shared" si="81"/>
        <v>1</v>
      </c>
      <c r="N413" s="1129"/>
      <c r="O413" s="313">
        <f t="shared" si="82"/>
        <v>1</v>
      </c>
      <c r="P413" s="1129"/>
      <c r="Q413" s="313">
        <f t="shared" si="83"/>
        <v>0</v>
      </c>
      <c r="R413" s="1125">
        <f t="shared" si="84"/>
        <v>0</v>
      </c>
      <c r="S413" s="698">
        <f t="shared" si="75"/>
        <v>0</v>
      </c>
    </row>
    <row r="414" spans="1:19">
      <c r="A414" s="491"/>
      <c r="B414" s="348"/>
      <c r="C414" s="313">
        <f t="shared" si="76"/>
        <v>1</v>
      </c>
      <c r="D414" s="1129"/>
      <c r="E414" s="313">
        <f t="shared" si="77"/>
        <v>1</v>
      </c>
      <c r="F414" s="1129"/>
      <c r="G414" s="313">
        <f t="shared" si="78"/>
        <v>0.02</v>
      </c>
      <c r="H414" s="1129"/>
      <c r="I414" s="313">
        <f t="shared" si="79"/>
        <v>1</v>
      </c>
      <c r="J414" s="1129"/>
      <c r="K414" s="313">
        <f t="shared" si="80"/>
        <v>1</v>
      </c>
      <c r="L414" s="1129"/>
      <c r="M414" s="313">
        <f t="shared" si="81"/>
        <v>1</v>
      </c>
      <c r="N414" s="1129"/>
      <c r="O414" s="313">
        <f t="shared" si="82"/>
        <v>1</v>
      </c>
      <c r="P414" s="1129"/>
      <c r="Q414" s="313">
        <f t="shared" si="83"/>
        <v>0</v>
      </c>
      <c r="R414" s="1125">
        <f t="shared" si="84"/>
        <v>0</v>
      </c>
      <c r="S414" s="698">
        <f t="shared" si="75"/>
        <v>0</v>
      </c>
    </row>
    <row r="415" spans="1:19">
      <c r="A415" s="491"/>
      <c r="B415" s="348"/>
      <c r="C415" s="313">
        <f t="shared" si="76"/>
        <v>1</v>
      </c>
      <c r="D415" s="1129"/>
      <c r="E415" s="313">
        <f t="shared" si="77"/>
        <v>1</v>
      </c>
      <c r="F415" s="1129"/>
      <c r="G415" s="313">
        <f t="shared" si="78"/>
        <v>0.02</v>
      </c>
      <c r="H415" s="1129"/>
      <c r="I415" s="313">
        <f t="shared" si="79"/>
        <v>1</v>
      </c>
      <c r="J415" s="1129"/>
      <c r="K415" s="313">
        <f t="shared" si="80"/>
        <v>1</v>
      </c>
      <c r="L415" s="1129"/>
      <c r="M415" s="313">
        <f t="shared" si="81"/>
        <v>1</v>
      </c>
      <c r="N415" s="1129"/>
      <c r="O415" s="313">
        <f t="shared" si="82"/>
        <v>1</v>
      </c>
      <c r="P415" s="1129"/>
      <c r="Q415" s="313">
        <f t="shared" si="83"/>
        <v>0</v>
      </c>
      <c r="R415" s="1125">
        <f t="shared" si="84"/>
        <v>0</v>
      </c>
      <c r="S415" s="698">
        <f t="shared" si="75"/>
        <v>0</v>
      </c>
    </row>
    <row r="416" spans="1:19">
      <c r="A416" s="491"/>
      <c r="B416" s="348"/>
      <c r="C416" s="313">
        <f t="shared" si="76"/>
        <v>1</v>
      </c>
      <c r="D416" s="1129"/>
      <c r="E416" s="313">
        <f t="shared" si="77"/>
        <v>1</v>
      </c>
      <c r="F416" s="1129"/>
      <c r="G416" s="313">
        <f t="shared" si="78"/>
        <v>0.02</v>
      </c>
      <c r="H416" s="1129"/>
      <c r="I416" s="313">
        <f t="shared" si="79"/>
        <v>1</v>
      </c>
      <c r="J416" s="1129"/>
      <c r="K416" s="313">
        <f t="shared" si="80"/>
        <v>1</v>
      </c>
      <c r="L416" s="1129"/>
      <c r="M416" s="313">
        <f t="shared" si="81"/>
        <v>1</v>
      </c>
      <c r="N416" s="1129"/>
      <c r="O416" s="313">
        <f t="shared" si="82"/>
        <v>1</v>
      </c>
      <c r="P416" s="1129"/>
      <c r="Q416" s="313">
        <f t="shared" si="83"/>
        <v>0</v>
      </c>
      <c r="R416" s="1125">
        <f t="shared" si="84"/>
        <v>0</v>
      </c>
      <c r="S416" s="698">
        <f t="shared" si="75"/>
        <v>0</v>
      </c>
    </row>
    <row r="417" spans="1:19">
      <c r="A417" s="491"/>
      <c r="B417" s="348"/>
      <c r="C417" s="313">
        <f t="shared" si="76"/>
        <v>1</v>
      </c>
      <c r="D417" s="1129"/>
      <c r="E417" s="313">
        <f t="shared" si="77"/>
        <v>1</v>
      </c>
      <c r="F417" s="1129"/>
      <c r="G417" s="313">
        <f t="shared" si="78"/>
        <v>0.02</v>
      </c>
      <c r="H417" s="1129"/>
      <c r="I417" s="313">
        <f t="shared" si="79"/>
        <v>1</v>
      </c>
      <c r="J417" s="1129"/>
      <c r="K417" s="313">
        <f t="shared" si="80"/>
        <v>1</v>
      </c>
      <c r="L417" s="1129"/>
      <c r="M417" s="313">
        <f t="shared" si="81"/>
        <v>1</v>
      </c>
      <c r="N417" s="1129"/>
      <c r="O417" s="313">
        <f t="shared" si="82"/>
        <v>1</v>
      </c>
      <c r="P417" s="1129"/>
      <c r="Q417" s="313">
        <f t="shared" si="83"/>
        <v>0</v>
      </c>
      <c r="R417" s="1125">
        <f t="shared" si="84"/>
        <v>0</v>
      </c>
      <c r="S417" s="698">
        <f t="shared" si="75"/>
        <v>0</v>
      </c>
    </row>
    <row r="418" spans="1:19">
      <c r="A418" s="491"/>
      <c r="B418" s="348"/>
      <c r="C418" s="313">
        <f t="shared" si="76"/>
        <v>1</v>
      </c>
      <c r="D418" s="1129"/>
      <c r="E418" s="313">
        <f t="shared" si="77"/>
        <v>1</v>
      </c>
      <c r="F418" s="1129"/>
      <c r="G418" s="313">
        <f t="shared" si="78"/>
        <v>0.02</v>
      </c>
      <c r="H418" s="1129"/>
      <c r="I418" s="313">
        <f t="shared" si="79"/>
        <v>1</v>
      </c>
      <c r="J418" s="1129"/>
      <c r="K418" s="313">
        <f t="shared" si="80"/>
        <v>1</v>
      </c>
      <c r="L418" s="1129"/>
      <c r="M418" s="313">
        <f t="shared" si="81"/>
        <v>1</v>
      </c>
      <c r="N418" s="1129"/>
      <c r="O418" s="313">
        <f t="shared" si="82"/>
        <v>1</v>
      </c>
      <c r="P418" s="1129"/>
      <c r="Q418" s="313">
        <f t="shared" si="83"/>
        <v>0</v>
      </c>
      <c r="R418" s="1125">
        <f t="shared" si="84"/>
        <v>0</v>
      </c>
      <c r="S418" s="698">
        <f t="shared" si="75"/>
        <v>0</v>
      </c>
    </row>
    <row r="419" spans="1:19">
      <c r="A419" s="491"/>
      <c r="B419" s="348"/>
      <c r="C419" s="313">
        <f t="shared" si="76"/>
        <v>1</v>
      </c>
      <c r="D419" s="1129"/>
      <c r="E419" s="313">
        <f t="shared" si="77"/>
        <v>1</v>
      </c>
      <c r="F419" s="1129"/>
      <c r="G419" s="313">
        <f t="shared" si="78"/>
        <v>0.02</v>
      </c>
      <c r="H419" s="1129"/>
      <c r="I419" s="313">
        <f t="shared" si="79"/>
        <v>1</v>
      </c>
      <c r="J419" s="1129"/>
      <c r="K419" s="313">
        <f t="shared" si="80"/>
        <v>1</v>
      </c>
      <c r="L419" s="1129"/>
      <c r="M419" s="313">
        <f t="shared" si="81"/>
        <v>1</v>
      </c>
      <c r="N419" s="1129"/>
      <c r="O419" s="313">
        <f t="shared" si="82"/>
        <v>1</v>
      </c>
      <c r="P419" s="1129"/>
      <c r="Q419" s="313">
        <f t="shared" si="83"/>
        <v>0</v>
      </c>
      <c r="R419" s="1125">
        <f t="shared" si="84"/>
        <v>0</v>
      </c>
      <c r="S419" s="698">
        <f t="shared" si="75"/>
        <v>0</v>
      </c>
    </row>
    <row r="420" spans="1:19">
      <c r="A420" s="491"/>
      <c r="B420" s="348"/>
      <c r="C420" s="313">
        <f t="shared" si="76"/>
        <v>1</v>
      </c>
      <c r="D420" s="1129"/>
      <c r="E420" s="313">
        <f t="shared" si="77"/>
        <v>1</v>
      </c>
      <c r="F420" s="1129"/>
      <c r="G420" s="313">
        <f t="shared" si="78"/>
        <v>0.02</v>
      </c>
      <c r="H420" s="1129"/>
      <c r="I420" s="313">
        <f t="shared" si="79"/>
        <v>1</v>
      </c>
      <c r="J420" s="1129"/>
      <c r="K420" s="313">
        <f t="shared" si="80"/>
        <v>1</v>
      </c>
      <c r="L420" s="1129"/>
      <c r="M420" s="313">
        <f t="shared" si="81"/>
        <v>1</v>
      </c>
      <c r="N420" s="1129"/>
      <c r="O420" s="313">
        <f t="shared" si="82"/>
        <v>1</v>
      </c>
      <c r="P420" s="1129"/>
      <c r="Q420" s="313">
        <f t="shared" si="83"/>
        <v>0</v>
      </c>
      <c r="R420" s="1125">
        <f t="shared" si="84"/>
        <v>0</v>
      </c>
      <c r="S420" s="698">
        <f t="shared" si="75"/>
        <v>0</v>
      </c>
    </row>
    <row r="421" spans="1:19">
      <c r="A421" s="491"/>
      <c r="B421" s="348"/>
      <c r="C421" s="313">
        <f t="shared" si="76"/>
        <v>1</v>
      </c>
      <c r="D421" s="1129"/>
      <c r="E421" s="313">
        <f t="shared" si="77"/>
        <v>1</v>
      </c>
      <c r="F421" s="1129"/>
      <c r="G421" s="313">
        <f t="shared" si="78"/>
        <v>0.02</v>
      </c>
      <c r="H421" s="1129"/>
      <c r="I421" s="313">
        <f t="shared" si="79"/>
        <v>1</v>
      </c>
      <c r="J421" s="1129"/>
      <c r="K421" s="313">
        <f t="shared" si="80"/>
        <v>1</v>
      </c>
      <c r="L421" s="1129"/>
      <c r="M421" s="313">
        <f t="shared" si="81"/>
        <v>1</v>
      </c>
      <c r="N421" s="1129"/>
      <c r="O421" s="313">
        <f t="shared" si="82"/>
        <v>1</v>
      </c>
      <c r="P421" s="1129"/>
      <c r="Q421" s="313">
        <f t="shared" si="83"/>
        <v>0</v>
      </c>
      <c r="R421" s="1125">
        <f t="shared" si="84"/>
        <v>0</v>
      </c>
      <c r="S421" s="698">
        <f t="shared" si="75"/>
        <v>0</v>
      </c>
    </row>
    <row r="422" spans="1:19">
      <c r="A422" s="491"/>
      <c r="B422" s="348"/>
      <c r="C422" s="313">
        <f t="shared" si="76"/>
        <v>1</v>
      </c>
      <c r="D422" s="1129"/>
      <c r="E422" s="313">
        <f t="shared" si="77"/>
        <v>1</v>
      </c>
      <c r="F422" s="1129"/>
      <c r="G422" s="313">
        <f t="shared" si="78"/>
        <v>0.02</v>
      </c>
      <c r="H422" s="1129"/>
      <c r="I422" s="313">
        <f t="shared" si="79"/>
        <v>1</v>
      </c>
      <c r="J422" s="1129"/>
      <c r="K422" s="313">
        <f t="shared" si="80"/>
        <v>1</v>
      </c>
      <c r="L422" s="1129"/>
      <c r="M422" s="313">
        <f t="shared" si="81"/>
        <v>1</v>
      </c>
      <c r="N422" s="1129"/>
      <c r="O422" s="313">
        <f t="shared" si="82"/>
        <v>1</v>
      </c>
      <c r="P422" s="1129"/>
      <c r="Q422" s="313">
        <f t="shared" si="83"/>
        <v>0</v>
      </c>
      <c r="R422" s="1125">
        <f t="shared" si="84"/>
        <v>0</v>
      </c>
      <c r="S422" s="698">
        <f t="shared" si="75"/>
        <v>0</v>
      </c>
    </row>
    <row r="423" spans="1:19">
      <c r="A423" s="491"/>
      <c r="B423" s="348"/>
      <c r="C423" s="313">
        <f t="shared" si="76"/>
        <v>1</v>
      </c>
      <c r="D423" s="1129"/>
      <c r="E423" s="313">
        <f t="shared" si="77"/>
        <v>1</v>
      </c>
      <c r="F423" s="1129"/>
      <c r="G423" s="313">
        <f t="shared" si="78"/>
        <v>0.02</v>
      </c>
      <c r="H423" s="1129"/>
      <c r="I423" s="313">
        <f t="shared" si="79"/>
        <v>1</v>
      </c>
      <c r="J423" s="1129"/>
      <c r="K423" s="313">
        <f t="shared" si="80"/>
        <v>1</v>
      </c>
      <c r="L423" s="1129"/>
      <c r="M423" s="313">
        <f t="shared" si="81"/>
        <v>1</v>
      </c>
      <c r="N423" s="1129"/>
      <c r="O423" s="313">
        <f t="shared" si="82"/>
        <v>1</v>
      </c>
      <c r="P423" s="1129"/>
      <c r="Q423" s="313">
        <f t="shared" si="83"/>
        <v>0</v>
      </c>
      <c r="R423" s="1125">
        <f t="shared" si="84"/>
        <v>0</v>
      </c>
      <c r="S423" s="698">
        <f t="shared" ref="S423:S467" si="85">ROUND(R423*B423/10000,0)</f>
        <v>0</v>
      </c>
    </row>
    <row r="424" spans="1:19">
      <c r="A424" s="491"/>
      <c r="B424" s="348"/>
      <c r="C424" s="313">
        <f t="shared" si="76"/>
        <v>1</v>
      </c>
      <c r="D424" s="1129"/>
      <c r="E424" s="313">
        <f t="shared" si="77"/>
        <v>1</v>
      </c>
      <c r="F424" s="1129"/>
      <c r="G424" s="313">
        <f t="shared" si="78"/>
        <v>0.02</v>
      </c>
      <c r="H424" s="1129"/>
      <c r="I424" s="313">
        <f t="shared" si="79"/>
        <v>1</v>
      </c>
      <c r="J424" s="1129"/>
      <c r="K424" s="313">
        <f t="shared" si="80"/>
        <v>1</v>
      </c>
      <c r="L424" s="1129"/>
      <c r="M424" s="313">
        <f t="shared" si="81"/>
        <v>1</v>
      </c>
      <c r="N424" s="1129"/>
      <c r="O424" s="313">
        <f t="shared" si="82"/>
        <v>1</v>
      </c>
      <c r="P424" s="1129"/>
      <c r="Q424" s="313">
        <f t="shared" si="83"/>
        <v>0</v>
      </c>
      <c r="R424" s="1125">
        <f t="shared" si="84"/>
        <v>0</v>
      </c>
      <c r="S424" s="698">
        <f t="shared" si="85"/>
        <v>0</v>
      </c>
    </row>
    <row r="425" spans="1:19">
      <c r="A425" s="491"/>
      <c r="B425" s="348"/>
      <c r="C425" s="313">
        <f t="shared" si="76"/>
        <v>1</v>
      </c>
      <c r="D425" s="1129"/>
      <c r="E425" s="313">
        <f t="shared" si="77"/>
        <v>1</v>
      </c>
      <c r="F425" s="1129"/>
      <c r="G425" s="313">
        <f t="shared" si="78"/>
        <v>0.02</v>
      </c>
      <c r="H425" s="1129"/>
      <c r="I425" s="313">
        <f t="shared" si="79"/>
        <v>1</v>
      </c>
      <c r="J425" s="1129"/>
      <c r="K425" s="313">
        <f t="shared" si="80"/>
        <v>1</v>
      </c>
      <c r="L425" s="1129"/>
      <c r="M425" s="313">
        <f t="shared" si="81"/>
        <v>1</v>
      </c>
      <c r="N425" s="1129"/>
      <c r="O425" s="313">
        <f t="shared" si="82"/>
        <v>1</v>
      </c>
      <c r="P425" s="1129"/>
      <c r="Q425" s="313">
        <f t="shared" si="83"/>
        <v>0</v>
      </c>
      <c r="R425" s="1125">
        <f t="shared" si="84"/>
        <v>0</v>
      </c>
      <c r="S425" s="698">
        <f t="shared" si="85"/>
        <v>0</v>
      </c>
    </row>
    <row r="426" spans="1:19">
      <c r="A426" s="491"/>
      <c r="B426" s="348"/>
      <c r="C426" s="313">
        <f t="shared" si="76"/>
        <v>1</v>
      </c>
      <c r="D426" s="1129"/>
      <c r="E426" s="313">
        <f t="shared" si="77"/>
        <v>1</v>
      </c>
      <c r="F426" s="1129"/>
      <c r="G426" s="313">
        <f t="shared" si="78"/>
        <v>0.02</v>
      </c>
      <c r="H426" s="1129"/>
      <c r="I426" s="313">
        <f t="shared" si="79"/>
        <v>1</v>
      </c>
      <c r="J426" s="1129"/>
      <c r="K426" s="313">
        <f t="shared" si="80"/>
        <v>1</v>
      </c>
      <c r="L426" s="1129"/>
      <c r="M426" s="313">
        <f t="shared" si="81"/>
        <v>1</v>
      </c>
      <c r="N426" s="1129"/>
      <c r="O426" s="313">
        <f t="shared" si="82"/>
        <v>1</v>
      </c>
      <c r="P426" s="1129"/>
      <c r="Q426" s="313">
        <f t="shared" si="83"/>
        <v>0</v>
      </c>
      <c r="R426" s="1125">
        <f t="shared" si="84"/>
        <v>0</v>
      </c>
      <c r="S426" s="698">
        <f t="shared" si="85"/>
        <v>0</v>
      </c>
    </row>
    <row r="427" spans="1:19">
      <c r="A427" s="491"/>
      <c r="B427" s="348"/>
      <c r="C427" s="313">
        <f t="shared" si="76"/>
        <v>1</v>
      </c>
      <c r="D427" s="1129"/>
      <c r="E427" s="313">
        <f t="shared" si="77"/>
        <v>1</v>
      </c>
      <c r="F427" s="1129"/>
      <c r="G427" s="313">
        <f t="shared" si="78"/>
        <v>0.02</v>
      </c>
      <c r="H427" s="1129"/>
      <c r="I427" s="313">
        <f t="shared" si="79"/>
        <v>1</v>
      </c>
      <c r="J427" s="1129"/>
      <c r="K427" s="313">
        <f t="shared" si="80"/>
        <v>1</v>
      </c>
      <c r="L427" s="1129"/>
      <c r="M427" s="313">
        <f t="shared" si="81"/>
        <v>1</v>
      </c>
      <c r="N427" s="1129"/>
      <c r="O427" s="313">
        <f t="shared" si="82"/>
        <v>1</v>
      </c>
      <c r="P427" s="1129"/>
      <c r="Q427" s="313">
        <f t="shared" si="83"/>
        <v>0</v>
      </c>
      <c r="R427" s="1125">
        <f t="shared" si="84"/>
        <v>0</v>
      </c>
      <c r="S427" s="698">
        <f t="shared" si="85"/>
        <v>0</v>
      </c>
    </row>
    <row r="428" spans="1:19">
      <c r="A428" s="491"/>
      <c r="B428" s="348"/>
      <c r="C428" s="313">
        <f t="shared" si="76"/>
        <v>1</v>
      </c>
      <c r="D428" s="1129"/>
      <c r="E428" s="313">
        <f t="shared" si="77"/>
        <v>1</v>
      </c>
      <c r="F428" s="1129"/>
      <c r="G428" s="313">
        <f t="shared" si="78"/>
        <v>0.02</v>
      </c>
      <c r="H428" s="1129"/>
      <c r="I428" s="313">
        <f t="shared" si="79"/>
        <v>1</v>
      </c>
      <c r="J428" s="1129"/>
      <c r="K428" s="313">
        <f t="shared" si="80"/>
        <v>1</v>
      </c>
      <c r="L428" s="1129"/>
      <c r="M428" s="313">
        <f t="shared" si="81"/>
        <v>1</v>
      </c>
      <c r="N428" s="1129"/>
      <c r="O428" s="313">
        <f t="shared" si="82"/>
        <v>1</v>
      </c>
      <c r="P428" s="1129"/>
      <c r="Q428" s="313">
        <f t="shared" si="83"/>
        <v>0</v>
      </c>
      <c r="R428" s="1125">
        <f t="shared" si="84"/>
        <v>0</v>
      </c>
      <c r="S428" s="698">
        <f t="shared" si="85"/>
        <v>0</v>
      </c>
    </row>
    <row r="429" spans="1:19">
      <c r="A429" s="491"/>
      <c r="B429" s="348"/>
      <c r="C429" s="313">
        <f t="shared" si="76"/>
        <v>1</v>
      </c>
      <c r="D429" s="1129"/>
      <c r="E429" s="313">
        <f t="shared" si="77"/>
        <v>1</v>
      </c>
      <c r="F429" s="1129"/>
      <c r="G429" s="313">
        <f t="shared" si="78"/>
        <v>0.02</v>
      </c>
      <c r="H429" s="1129"/>
      <c r="I429" s="313">
        <f t="shared" si="79"/>
        <v>1</v>
      </c>
      <c r="J429" s="1129"/>
      <c r="K429" s="313">
        <f t="shared" si="80"/>
        <v>1</v>
      </c>
      <c r="L429" s="1129"/>
      <c r="M429" s="313">
        <f t="shared" si="81"/>
        <v>1</v>
      </c>
      <c r="N429" s="1129"/>
      <c r="O429" s="313">
        <f t="shared" si="82"/>
        <v>1</v>
      </c>
      <c r="P429" s="1129"/>
      <c r="Q429" s="313">
        <f t="shared" si="83"/>
        <v>0</v>
      </c>
      <c r="R429" s="1125">
        <f t="shared" si="84"/>
        <v>0</v>
      </c>
      <c r="S429" s="698">
        <f t="shared" si="85"/>
        <v>0</v>
      </c>
    </row>
    <row r="430" spans="1:19">
      <c r="A430" s="491"/>
      <c r="B430" s="348"/>
      <c r="C430" s="313">
        <f t="shared" si="76"/>
        <v>1</v>
      </c>
      <c r="D430" s="1129"/>
      <c r="E430" s="313">
        <f t="shared" si="77"/>
        <v>1</v>
      </c>
      <c r="F430" s="1129"/>
      <c r="G430" s="313">
        <f t="shared" si="78"/>
        <v>0.02</v>
      </c>
      <c r="H430" s="1129"/>
      <c r="I430" s="313">
        <f t="shared" si="79"/>
        <v>1</v>
      </c>
      <c r="J430" s="1129"/>
      <c r="K430" s="313">
        <f t="shared" si="80"/>
        <v>1</v>
      </c>
      <c r="L430" s="1129"/>
      <c r="M430" s="313">
        <f t="shared" si="81"/>
        <v>1</v>
      </c>
      <c r="N430" s="1129"/>
      <c r="O430" s="313">
        <f t="shared" si="82"/>
        <v>1</v>
      </c>
      <c r="P430" s="1129"/>
      <c r="Q430" s="313">
        <f t="shared" si="83"/>
        <v>0</v>
      </c>
      <c r="R430" s="1125">
        <f t="shared" si="84"/>
        <v>0</v>
      </c>
      <c r="S430" s="698">
        <f t="shared" si="85"/>
        <v>0</v>
      </c>
    </row>
    <row r="431" spans="1:19">
      <c r="A431" s="491"/>
      <c r="B431" s="348"/>
      <c r="C431" s="313">
        <f t="shared" si="76"/>
        <v>1</v>
      </c>
      <c r="D431" s="1129"/>
      <c r="E431" s="313">
        <f t="shared" si="77"/>
        <v>1</v>
      </c>
      <c r="F431" s="1129"/>
      <c r="G431" s="313">
        <f t="shared" si="78"/>
        <v>0.02</v>
      </c>
      <c r="H431" s="1129"/>
      <c r="I431" s="313">
        <f t="shared" si="79"/>
        <v>1</v>
      </c>
      <c r="J431" s="1129"/>
      <c r="K431" s="313">
        <f t="shared" si="80"/>
        <v>1</v>
      </c>
      <c r="L431" s="1129"/>
      <c r="M431" s="313">
        <f t="shared" si="81"/>
        <v>1</v>
      </c>
      <c r="N431" s="1129"/>
      <c r="O431" s="313">
        <f t="shared" si="82"/>
        <v>1</v>
      </c>
      <c r="P431" s="1129"/>
      <c r="Q431" s="313">
        <f t="shared" si="83"/>
        <v>0</v>
      </c>
      <c r="R431" s="1125">
        <f t="shared" si="84"/>
        <v>0</v>
      </c>
      <c r="S431" s="698">
        <f t="shared" si="85"/>
        <v>0</v>
      </c>
    </row>
    <row r="432" spans="1:19">
      <c r="A432" s="491"/>
      <c r="B432" s="348"/>
      <c r="C432" s="313">
        <f t="shared" si="76"/>
        <v>1</v>
      </c>
      <c r="D432" s="1129"/>
      <c r="E432" s="313">
        <f t="shared" si="77"/>
        <v>1</v>
      </c>
      <c r="F432" s="1129"/>
      <c r="G432" s="313">
        <f t="shared" si="78"/>
        <v>0.02</v>
      </c>
      <c r="H432" s="1129"/>
      <c r="I432" s="313">
        <f t="shared" si="79"/>
        <v>1</v>
      </c>
      <c r="J432" s="1129"/>
      <c r="K432" s="313">
        <f t="shared" si="80"/>
        <v>1</v>
      </c>
      <c r="L432" s="1129"/>
      <c r="M432" s="313">
        <f t="shared" si="81"/>
        <v>1</v>
      </c>
      <c r="N432" s="1129"/>
      <c r="O432" s="313">
        <f t="shared" si="82"/>
        <v>1</v>
      </c>
      <c r="P432" s="1129"/>
      <c r="Q432" s="313">
        <f t="shared" si="83"/>
        <v>0</v>
      </c>
      <c r="R432" s="1125">
        <f t="shared" si="84"/>
        <v>0</v>
      </c>
      <c r="S432" s="698">
        <f t="shared" si="85"/>
        <v>0</v>
      </c>
    </row>
    <row r="433" spans="1:19">
      <c r="A433" s="491"/>
      <c r="B433" s="348"/>
      <c r="C433" s="313">
        <f t="shared" si="76"/>
        <v>1</v>
      </c>
      <c r="D433" s="1129"/>
      <c r="E433" s="313">
        <f t="shared" si="77"/>
        <v>1</v>
      </c>
      <c r="F433" s="1129"/>
      <c r="G433" s="313">
        <f t="shared" si="78"/>
        <v>0.02</v>
      </c>
      <c r="H433" s="1129"/>
      <c r="I433" s="313">
        <f t="shared" si="79"/>
        <v>1</v>
      </c>
      <c r="J433" s="1129"/>
      <c r="K433" s="313">
        <f t="shared" si="80"/>
        <v>1</v>
      </c>
      <c r="L433" s="1129"/>
      <c r="M433" s="313">
        <f t="shared" si="81"/>
        <v>1</v>
      </c>
      <c r="N433" s="1129"/>
      <c r="O433" s="313">
        <f t="shared" si="82"/>
        <v>1</v>
      </c>
      <c r="P433" s="1129"/>
      <c r="Q433" s="313">
        <f t="shared" si="83"/>
        <v>0</v>
      </c>
      <c r="R433" s="1125">
        <f t="shared" si="84"/>
        <v>0</v>
      </c>
      <c r="S433" s="698">
        <f t="shared" si="85"/>
        <v>0</v>
      </c>
    </row>
    <row r="434" spans="1:19">
      <c r="A434" s="491"/>
      <c r="B434" s="348"/>
      <c r="C434" s="313">
        <f t="shared" si="76"/>
        <v>1</v>
      </c>
      <c r="D434" s="1129"/>
      <c r="E434" s="313">
        <f t="shared" si="77"/>
        <v>1</v>
      </c>
      <c r="F434" s="1129"/>
      <c r="G434" s="313">
        <f t="shared" si="78"/>
        <v>0.02</v>
      </c>
      <c r="H434" s="1129"/>
      <c r="I434" s="313">
        <f t="shared" si="79"/>
        <v>1</v>
      </c>
      <c r="J434" s="1129"/>
      <c r="K434" s="313">
        <f t="shared" si="80"/>
        <v>1</v>
      </c>
      <c r="L434" s="1129"/>
      <c r="M434" s="313">
        <f t="shared" si="81"/>
        <v>1</v>
      </c>
      <c r="N434" s="1129"/>
      <c r="O434" s="313">
        <f t="shared" si="82"/>
        <v>1</v>
      </c>
      <c r="P434" s="1129"/>
      <c r="Q434" s="313">
        <f t="shared" si="83"/>
        <v>0</v>
      </c>
      <c r="R434" s="1125">
        <f t="shared" si="84"/>
        <v>0</v>
      </c>
      <c r="S434" s="698">
        <f t="shared" si="85"/>
        <v>0</v>
      </c>
    </row>
    <row r="435" spans="1:19">
      <c r="A435" s="491"/>
      <c r="B435" s="348"/>
      <c r="C435" s="313">
        <f t="shared" si="76"/>
        <v>1</v>
      </c>
      <c r="D435" s="1129"/>
      <c r="E435" s="313">
        <f t="shared" si="77"/>
        <v>1</v>
      </c>
      <c r="F435" s="1129"/>
      <c r="G435" s="313">
        <f t="shared" si="78"/>
        <v>0.02</v>
      </c>
      <c r="H435" s="1129"/>
      <c r="I435" s="313">
        <f t="shared" si="79"/>
        <v>1</v>
      </c>
      <c r="J435" s="1129"/>
      <c r="K435" s="313">
        <f t="shared" si="80"/>
        <v>1</v>
      </c>
      <c r="L435" s="1129"/>
      <c r="M435" s="313">
        <f t="shared" si="81"/>
        <v>1</v>
      </c>
      <c r="N435" s="1129"/>
      <c r="O435" s="313">
        <f t="shared" si="82"/>
        <v>1</v>
      </c>
      <c r="P435" s="1129"/>
      <c r="Q435" s="313">
        <f t="shared" si="83"/>
        <v>0</v>
      </c>
      <c r="R435" s="1125">
        <f t="shared" si="84"/>
        <v>0</v>
      </c>
      <c r="S435" s="698">
        <f t="shared" si="85"/>
        <v>0</v>
      </c>
    </row>
    <row r="436" spans="1:19">
      <c r="A436" s="491"/>
      <c r="B436" s="348"/>
      <c r="C436" s="313">
        <f t="shared" si="76"/>
        <v>1</v>
      </c>
      <c r="D436" s="1129"/>
      <c r="E436" s="313">
        <f t="shared" si="77"/>
        <v>1</v>
      </c>
      <c r="F436" s="1129"/>
      <c r="G436" s="313">
        <f t="shared" si="78"/>
        <v>0.02</v>
      </c>
      <c r="H436" s="1129"/>
      <c r="I436" s="313">
        <f t="shared" si="79"/>
        <v>1</v>
      </c>
      <c r="J436" s="1129"/>
      <c r="K436" s="313">
        <f t="shared" si="80"/>
        <v>1</v>
      </c>
      <c r="L436" s="1129"/>
      <c r="M436" s="313">
        <f t="shared" si="81"/>
        <v>1</v>
      </c>
      <c r="N436" s="1129"/>
      <c r="O436" s="313">
        <f t="shared" si="82"/>
        <v>1</v>
      </c>
      <c r="P436" s="1129"/>
      <c r="Q436" s="313">
        <f t="shared" si="83"/>
        <v>0</v>
      </c>
      <c r="R436" s="1125">
        <f t="shared" si="84"/>
        <v>0</v>
      </c>
      <c r="S436" s="698">
        <f t="shared" si="85"/>
        <v>0</v>
      </c>
    </row>
    <row r="437" spans="1:19">
      <c r="A437" s="491"/>
      <c r="B437" s="348"/>
      <c r="C437" s="313">
        <f t="shared" si="76"/>
        <v>1</v>
      </c>
      <c r="D437" s="1129"/>
      <c r="E437" s="313">
        <f t="shared" si="77"/>
        <v>1</v>
      </c>
      <c r="F437" s="1129"/>
      <c r="G437" s="313">
        <f t="shared" si="78"/>
        <v>0.02</v>
      </c>
      <c r="H437" s="1129"/>
      <c r="I437" s="313">
        <f t="shared" si="79"/>
        <v>1</v>
      </c>
      <c r="J437" s="1129"/>
      <c r="K437" s="313">
        <f t="shared" si="80"/>
        <v>1</v>
      </c>
      <c r="L437" s="1129"/>
      <c r="M437" s="313">
        <f t="shared" si="81"/>
        <v>1</v>
      </c>
      <c r="N437" s="1129"/>
      <c r="O437" s="313">
        <f t="shared" si="82"/>
        <v>1</v>
      </c>
      <c r="P437" s="1129"/>
      <c r="Q437" s="313">
        <f t="shared" si="83"/>
        <v>0</v>
      </c>
      <c r="R437" s="1125">
        <f t="shared" si="84"/>
        <v>0</v>
      </c>
      <c r="S437" s="698">
        <f t="shared" si="85"/>
        <v>0</v>
      </c>
    </row>
    <row r="438" spans="1:19">
      <c r="A438" s="491"/>
      <c r="B438" s="348"/>
      <c r="C438" s="313">
        <f t="shared" si="76"/>
        <v>1</v>
      </c>
      <c r="D438" s="1129"/>
      <c r="E438" s="313">
        <f t="shared" si="77"/>
        <v>1</v>
      </c>
      <c r="F438" s="1129"/>
      <c r="G438" s="313">
        <f t="shared" si="78"/>
        <v>0.02</v>
      </c>
      <c r="H438" s="1129"/>
      <c r="I438" s="313">
        <f t="shared" si="79"/>
        <v>1</v>
      </c>
      <c r="J438" s="1129"/>
      <c r="K438" s="313">
        <f t="shared" si="80"/>
        <v>1</v>
      </c>
      <c r="L438" s="1129"/>
      <c r="M438" s="313">
        <f t="shared" si="81"/>
        <v>1</v>
      </c>
      <c r="N438" s="1129"/>
      <c r="O438" s="313">
        <f t="shared" si="82"/>
        <v>1</v>
      </c>
      <c r="P438" s="1129"/>
      <c r="Q438" s="313">
        <f t="shared" si="83"/>
        <v>0</v>
      </c>
      <c r="R438" s="1125">
        <f t="shared" si="84"/>
        <v>0</v>
      </c>
      <c r="S438" s="698">
        <f t="shared" si="85"/>
        <v>0</v>
      </c>
    </row>
    <row r="439" spans="1:19">
      <c r="A439" s="491"/>
      <c r="B439" s="348"/>
      <c r="C439" s="313">
        <f t="shared" si="76"/>
        <v>1</v>
      </c>
      <c r="D439" s="1129"/>
      <c r="E439" s="313">
        <f t="shared" si="77"/>
        <v>1</v>
      </c>
      <c r="F439" s="1129"/>
      <c r="G439" s="313">
        <f t="shared" si="78"/>
        <v>0.02</v>
      </c>
      <c r="H439" s="1129"/>
      <c r="I439" s="313">
        <f t="shared" si="79"/>
        <v>1</v>
      </c>
      <c r="J439" s="1129"/>
      <c r="K439" s="313">
        <f t="shared" si="80"/>
        <v>1</v>
      </c>
      <c r="L439" s="1129"/>
      <c r="M439" s="313">
        <f t="shared" si="81"/>
        <v>1</v>
      </c>
      <c r="N439" s="1129"/>
      <c r="O439" s="313">
        <f t="shared" si="82"/>
        <v>1</v>
      </c>
      <c r="P439" s="1129"/>
      <c r="Q439" s="313">
        <f t="shared" si="83"/>
        <v>0</v>
      </c>
      <c r="R439" s="1125">
        <f t="shared" si="84"/>
        <v>0</v>
      </c>
      <c r="S439" s="698">
        <f t="shared" si="85"/>
        <v>0</v>
      </c>
    </row>
    <row r="440" spans="1:19">
      <c r="A440" s="491"/>
      <c r="B440" s="348"/>
      <c r="C440" s="313">
        <f t="shared" si="76"/>
        <v>1</v>
      </c>
      <c r="D440" s="1129"/>
      <c r="E440" s="313">
        <f t="shared" si="77"/>
        <v>1</v>
      </c>
      <c r="F440" s="1129"/>
      <c r="G440" s="313">
        <f t="shared" si="78"/>
        <v>0.02</v>
      </c>
      <c r="H440" s="1129"/>
      <c r="I440" s="313">
        <f t="shared" si="79"/>
        <v>1</v>
      </c>
      <c r="J440" s="1129"/>
      <c r="K440" s="313">
        <f t="shared" si="80"/>
        <v>1</v>
      </c>
      <c r="L440" s="1129"/>
      <c r="M440" s="313">
        <f t="shared" si="81"/>
        <v>1</v>
      </c>
      <c r="N440" s="1129"/>
      <c r="O440" s="313">
        <f t="shared" si="82"/>
        <v>1</v>
      </c>
      <c r="P440" s="1129"/>
      <c r="Q440" s="313">
        <f t="shared" si="83"/>
        <v>0</v>
      </c>
      <c r="R440" s="1125">
        <f t="shared" si="84"/>
        <v>0</v>
      </c>
      <c r="S440" s="698">
        <f t="shared" si="85"/>
        <v>0</v>
      </c>
    </row>
    <row r="441" spans="1:19">
      <c r="A441" s="491"/>
      <c r="B441" s="348"/>
      <c r="C441" s="313">
        <f t="shared" si="76"/>
        <v>1</v>
      </c>
      <c r="D441" s="1129"/>
      <c r="E441" s="313">
        <f t="shared" si="77"/>
        <v>1</v>
      </c>
      <c r="F441" s="1129"/>
      <c r="G441" s="313">
        <f t="shared" si="78"/>
        <v>0.02</v>
      </c>
      <c r="H441" s="1129"/>
      <c r="I441" s="313">
        <f t="shared" si="79"/>
        <v>1</v>
      </c>
      <c r="J441" s="1129"/>
      <c r="K441" s="313">
        <f t="shared" si="80"/>
        <v>1</v>
      </c>
      <c r="L441" s="1129"/>
      <c r="M441" s="313">
        <f t="shared" si="81"/>
        <v>1</v>
      </c>
      <c r="N441" s="1129"/>
      <c r="O441" s="313">
        <f t="shared" si="82"/>
        <v>1</v>
      </c>
      <c r="P441" s="1129"/>
      <c r="Q441" s="313">
        <f t="shared" si="83"/>
        <v>0</v>
      </c>
      <c r="R441" s="1125">
        <f t="shared" si="84"/>
        <v>0</v>
      </c>
      <c r="S441" s="698">
        <f t="shared" si="85"/>
        <v>0</v>
      </c>
    </row>
    <row r="442" spans="1:19">
      <c r="A442" s="491"/>
      <c r="B442" s="348"/>
      <c r="C442" s="313">
        <f t="shared" si="76"/>
        <v>1</v>
      </c>
      <c r="D442" s="1129"/>
      <c r="E442" s="313">
        <f t="shared" si="77"/>
        <v>1</v>
      </c>
      <c r="F442" s="1129"/>
      <c r="G442" s="313">
        <f t="shared" si="78"/>
        <v>0.02</v>
      </c>
      <c r="H442" s="1129"/>
      <c r="I442" s="313">
        <f t="shared" si="79"/>
        <v>1</v>
      </c>
      <c r="J442" s="1129"/>
      <c r="K442" s="313">
        <f t="shared" si="80"/>
        <v>1</v>
      </c>
      <c r="L442" s="1129"/>
      <c r="M442" s="313">
        <f t="shared" si="81"/>
        <v>1</v>
      </c>
      <c r="N442" s="1129"/>
      <c r="O442" s="313">
        <f t="shared" si="82"/>
        <v>1</v>
      </c>
      <c r="P442" s="1129"/>
      <c r="Q442" s="313">
        <f t="shared" si="83"/>
        <v>0</v>
      </c>
      <c r="R442" s="1125">
        <f t="shared" si="84"/>
        <v>0</v>
      </c>
      <c r="S442" s="698">
        <f t="shared" si="85"/>
        <v>0</v>
      </c>
    </row>
    <row r="443" spans="1:19">
      <c r="A443" s="491"/>
      <c r="B443" s="348"/>
      <c r="C443" s="313">
        <f t="shared" si="76"/>
        <v>1</v>
      </c>
      <c r="D443" s="1129"/>
      <c r="E443" s="313">
        <f t="shared" si="77"/>
        <v>1</v>
      </c>
      <c r="F443" s="1129"/>
      <c r="G443" s="313">
        <f t="shared" si="78"/>
        <v>0.02</v>
      </c>
      <c r="H443" s="1129"/>
      <c r="I443" s="313">
        <f t="shared" si="79"/>
        <v>1</v>
      </c>
      <c r="J443" s="1129"/>
      <c r="K443" s="313">
        <f t="shared" si="80"/>
        <v>1</v>
      </c>
      <c r="L443" s="1129"/>
      <c r="M443" s="313">
        <f t="shared" si="81"/>
        <v>1</v>
      </c>
      <c r="N443" s="1129"/>
      <c r="O443" s="313">
        <f t="shared" si="82"/>
        <v>1</v>
      </c>
      <c r="P443" s="1129"/>
      <c r="Q443" s="313">
        <f t="shared" si="83"/>
        <v>0</v>
      </c>
      <c r="R443" s="1125">
        <f t="shared" si="84"/>
        <v>0</v>
      </c>
      <c r="S443" s="698">
        <f t="shared" si="85"/>
        <v>0</v>
      </c>
    </row>
    <row r="444" spans="1:19">
      <c r="A444" s="491"/>
      <c r="B444" s="348"/>
      <c r="C444" s="313">
        <f t="shared" si="76"/>
        <v>1</v>
      </c>
      <c r="D444" s="1129"/>
      <c r="E444" s="313">
        <f t="shared" si="77"/>
        <v>1</v>
      </c>
      <c r="F444" s="1129"/>
      <c r="G444" s="313">
        <f t="shared" si="78"/>
        <v>0.02</v>
      </c>
      <c r="H444" s="1129"/>
      <c r="I444" s="313">
        <f t="shared" si="79"/>
        <v>1</v>
      </c>
      <c r="J444" s="1129"/>
      <c r="K444" s="313">
        <f t="shared" si="80"/>
        <v>1</v>
      </c>
      <c r="L444" s="1129"/>
      <c r="M444" s="313">
        <f t="shared" si="81"/>
        <v>1</v>
      </c>
      <c r="N444" s="1129"/>
      <c r="O444" s="313">
        <f t="shared" si="82"/>
        <v>1</v>
      </c>
      <c r="P444" s="1129"/>
      <c r="Q444" s="313">
        <f t="shared" si="83"/>
        <v>0</v>
      </c>
      <c r="R444" s="1125">
        <f t="shared" si="84"/>
        <v>0</v>
      </c>
      <c r="S444" s="698">
        <f t="shared" si="85"/>
        <v>0</v>
      </c>
    </row>
    <row r="445" spans="1:19">
      <c r="A445" s="491"/>
      <c r="B445" s="348"/>
      <c r="C445" s="313">
        <f t="shared" si="76"/>
        <v>1</v>
      </c>
      <c r="D445" s="1129"/>
      <c r="E445" s="313">
        <f t="shared" si="77"/>
        <v>1</v>
      </c>
      <c r="F445" s="1129"/>
      <c r="G445" s="313">
        <f t="shared" si="78"/>
        <v>0.02</v>
      </c>
      <c r="H445" s="1129"/>
      <c r="I445" s="313">
        <f t="shared" si="79"/>
        <v>1</v>
      </c>
      <c r="J445" s="1129"/>
      <c r="K445" s="313">
        <f t="shared" si="80"/>
        <v>1</v>
      </c>
      <c r="L445" s="1129"/>
      <c r="M445" s="313">
        <f t="shared" si="81"/>
        <v>1</v>
      </c>
      <c r="N445" s="1129"/>
      <c r="O445" s="313">
        <f t="shared" si="82"/>
        <v>1</v>
      </c>
      <c r="P445" s="1129"/>
      <c r="Q445" s="313">
        <f t="shared" si="83"/>
        <v>0</v>
      </c>
      <c r="R445" s="1125">
        <f t="shared" si="84"/>
        <v>0</v>
      </c>
      <c r="S445" s="698">
        <f t="shared" si="85"/>
        <v>0</v>
      </c>
    </row>
    <row r="446" spans="1:19">
      <c r="A446" s="491"/>
      <c r="B446" s="348"/>
      <c r="C446" s="313">
        <f t="shared" si="76"/>
        <v>1</v>
      </c>
      <c r="D446" s="1129"/>
      <c r="E446" s="313">
        <f t="shared" si="77"/>
        <v>1</v>
      </c>
      <c r="F446" s="1129"/>
      <c r="G446" s="313">
        <f t="shared" si="78"/>
        <v>0.02</v>
      </c>
      <c r="H446" s="1129"/>
      <c r="I446" s="313">
        <f t="shared" si="79"/>
        <v>1</v>
      </c>
      <c r="J446" s="1129"/>
      <c r="K446" s="313">
        <f t="shared" si="80"/>
        <v>1</v>
      </c>
      <c r="L446" s="1129"/>
      <c r="M446" s="313">
        <f t="shared" si="81"/>
        <v>1</v>
      </c>
      <c r="N446" s="1129"/>
      <c r="O446" s="313">
        <f t="shared" si="82"/>
        <v>1</v>
      </c>
      <c r="P446" s="1129"/>
      <c r="Q446" s="313">
        <f t="shared" si="83"/>
        <v>0</v>
      </c>
      <c r="R446" s="1125">
        <f t="shared" si="84"/>
        <v>0</v>
      </c>
      <c r="S446" s="698">
        <f t="shared" si="85"/>
        <v>0</v>
      </c>
    </row>
    <row r="447" spans="1:19">
      <c r="A447" s="491"/>
      <c r="B447" s="348"/>
      <c r="C447" s="313">
        <f t="shared" si="76"/>
        <v>1</v>
      </c>
      <c r="D447" s="1129"/>
      <c r="E447" s="313">
        <f t="shared" si="77"/>
        <v>1</v>
      </c>
      <c r="F447" s="1129"/>
      <c r="G447" s="313">
        <f t="shared" si="78"/>
        <v>0.02</v>
      </c>
      <c r="H447" s="1129"/>
      <c r="I447" s="313">
        <f t="shared" si="79"/>
        <v>1</v>
      </c>
      <c r="J447" s="1129"/>
      <c r="K447" s="313">
        <f t="shared" si="80"/>
        <v>1</v>
      </c>
      <c r="L447" s="1129"/>
      <c r="M447" s="313">
        <f t="shared" si="81"/>
        <v>1</v>
      </c>
      <c r="N447" s="1129"/>
      <c r="O447" s="313">
        <f t="shared" si="82"/>
        <v>1</v>
      </c>
      <c r="P447" s="1129"/>
      <c r="Q447" s="313">
        <f t="shared" si="83"/>
        <v>0</v>
      </c>
      <c r="R447" s="1125">
        <f t="shared" si="84"/>
        <v>0</v>
      </c>
      <c r="S447" s="698">
        <f t="shared" si="85"/>
        <v>0</v>
      </c>
    </row>
    <row r="448" spans="1:19">
      <c r="A448" s="491"/>
      <c r="B448" s="348"/>
      <c r="C448" s="313">
        <f t="shared" si="76"/>
        <v>1</v>
      </c>
      <c r="D448" s="1129"/>
      <c r="E448" s="313">
        <f t="shared" si="77"/>
        <v>1</v>
      </c>
      <c r="F448" s="1129"/>
      <c r="G448" s="313">
        <f t="shared" si="78"/>
        <v>0.02</v>
      </c>
      <c r="H448" s="1129"/>
      <c r="I448" s="313">
        <f t="shared" si="79"/>
        <v>1</v>
      </c>
      <c r="J448" s="1129"/>
      <c r="K448" s="313">
        <f t="shared" si="80"/>
        <v>1</v>
      </c>
      <c r="L448" s="1129"/>
      <c r="M448" s="313">
        <f t="shared" si="81"/>
        <v>1</v>
      </c>
      <c r="N448" s="1129"/>
      <c r="O448" s="313">
        <f t="shared" si="82"/>
        <v>1</v>
      </c>
      <c r="P448" s="1129"/>
      <c r="Q448" s="313">
        <f t="shared" si="83"/>
        <v>0</v>
      </c>
      <c r="R448" s="1125">
        <f t="shared" si="84"/>
        <v>0</v>
      </c>
      <c r="S448" s="698">
        <f t="shared" si="85"/>
        <v>0</v>
      </c>
    </row>
    <row r="449" spans="1:19">
      <c r="A449" s="491"/>
      <c r="B449" s="348"/>
      <c r="C449" s="313">
        <f t="shared" si="76"/>
        <v>1</v>
      </c>
      <c r="D449" s="1129"/>
      <c r="E449" s="313">
        <f t="shared" si="77"/>
        <v>1</v>
      </c>
      <c r="F449" s="1129"/>
      <c r="G449" s="313">
        <f t="shared" si="78"/>
        <v>0.02</v>
      </c>
      <c r="H449" s="1129"/>
      <c r="I449" s="313">
        <f t="shared" si="79"/>
        <v>1</v>
      </c>
      <c r="J449" s="1129"/>
      <c r="K449" s="313">
        <f t="shared" si="80"/>
        <v>1</v>
      </c>
      <c r="L449" s="1129"/>
      <c r="M449" s="313">
        <f t="shared" si="81"/>
        <v>1</v>
      </c>
      <c r="N449" s="1129"/>
      <c r="O449" s="313">
        <f t="shared" si="82"/>
        <v>1</v>
      </c>
      <c r="P449" s="1129"/>
      <c r="Q449" s="313">
        <f t="shared" si="83"/>
        <v>0</v>
      </c>
      <c r="R449" s="1125">
        <f t="shared" si="84"/>
        <v>0</v>
      </c>
      <c r="S449" s="698">
        <f t="shared" si="85"/>
        <v>0</v>
      </c>
    </row>
    <row r="450" spans="1:19">
      <c r="A450" s="491"/>
      <c r="B450" s="348"/>
      <c r="C450" s="313">
        <f t="shared" si="76"/>
        <v>1</v>
      </c>
      <c r="D450" s="1129"/>
      <c r="E450" s="313">
        <f t="shared" si="77"/>
        <v>1</v>
      </c>
      <c r="F450" s="1129"/>
      <c r="G450" s="313">
        <f t="shared" si="78"/>
        <v>0.02</v>
      </c>
      <c r="H450" s="1129"/>
      <c r="I450" s="313">
        <f t="shared" si="79"/>
        <v>1</v>
      </c>
      <c r="J450" s="1129"/>
      <c r="K450" s="313">
        <f t="shared" si="80"/>
        <v>1</v>
      </c>
      <c r="L450" s="1129"/>
      <c r="M450" s="313">
        <f t="shared" si="81"/>
        <v>1</v>
      </c>
      <c r="N450" s="1129"/>
      <c r="O450" s="313">
        <f t="shared" si="82"/>
        <v>1</v>
      </c>
      <c r="P450" s="1129"/>
      <c r="Q450" s="313">
        <f t="shared" si="83"/>
        <v>0</v>
      </c>
      <c r="R450" s="1125">
        <f t="shared" si="84"/>
        <v>0</v>
      </c>
      <c r="S450" s="698">
        <f t="shared" si="85"/>
        <v>0</v>
      </c>
    </row>
    <row r="451" spans="1:19">
      <c r="A451" s="491"/>
      <c r="B451" s="348"/>
      <c r="C451" s="313">
        <f t="shared" si="76"/>
        <v>1</v>
      </c>
      <c r="D451" s="1129"/>
      <c r="E451" s="313">
        <f t="shared" si="77"/>
        <v>1</v>
      </c>
      <c r="F451" s="1129"/>
      <c r="G451" s="313">
        <f t="shared" si="78"/>
        <v>0.02</v>
      </c>
      <c r="H451" s="1129"/>
      <c r="I451" s="313">
        <f t="shared" si="79"/>
        <v>1</v>
      </c>
      <c r="J451" s="1129"/>
      <c r="K451" s="313">
        <f t="shared" si="80"/>
        <v>1</v>
      </c>
      <c r="L451" s="1129"/>
      <c r="M451" s="313">
        <f t="shared" si="81"/>
        <v>1</v>
      </c>
      <c r="N451" s="1129"/>
      <c r="O451" s="313">
        <f t="shared" si="82"/>
        <v>1</v>
      </c>
      <c r="P451" s="1129"/>
      <c r="Q451" s="313">
        <f t="shared" si="83"/>
        <v>0</v>
      </c>
      <c r="R451" s="1125">
        <f t="shared" si="84"/>
        <v>0</v>
      </c>
      <c r="S451" s="698">
        <f t="shared" si="85"/>
        <v>0</v>
      </c>
    </row>
    <row r="452" spans="1:19">
      <c r="A452" s="491"/>
      <c r="B452" s="348"/>
      <c r="C452" s="313">
        <f t="shared" si="76"/>
        <v>1</v>
      </c>
      <c r="D452" s="1129"/>
      <c r="E452" s="313">
        <f t="shared" si="77"/>
        <v>1</v>
      </c>
      <c r="F452" s="1129"/>
      <c r="G452" s="313">
        <f t="shared" si="78"/>
        <v>0.02</v>
      </c>
      <c r="H452" s="1129"/>
      <c r="I452" s="313">
        <f t="shared" si="79"/>
        <v>1</v>
      </c>
      <c r="J452" s="1129"/>
      <c r="K452" s="313">
        <f t="shared" si="80"/>
        <v>1</v>
      </c>
      <c r="L452" s="1129"/>
      <c r="M452" s="313">
        <f t="shared" si="81"/>
        <v>1</v>
      </c>
      <c r="N452" s="1129"/>
      <c r="O452" s="313">
        <f t="shared" si="82"/>
        <v>1</v>
      </c>
      <c r="P452" s="1129"/>
      <c r="Q452" s="313">
        <f t="shared" si="83"/>
        <v>0</v>
      </c>
      <c r="R452" s="1125">
        <f t="shared" si="84"/>
        <v>0</v>
      </c>
      <c r="S452" s="698">
        <f t="shared" si="85"/>
        <v>0</v>
      </c>
    </row>
    <row r="453" spans="1:19">
      <c r="A453" s="491"/>
      <c r="B453" s="348"/>
      <c r="C453" s="313">
        <f t="shared" si="76"/>
        <v>1</v>
      </c>
      <c r="D453" s="1129"/>
      <c r="E453" s="313">
        <f t="shared" si="77"/>
        <v>1</v>
      </c>
      <c r="F453" s="1129"/>
      <c r="G453" s="313">
        <f t="shared" si="78"/>
        <v>0.02</v>
      </c>
      <c r="H453" s="1129"/>
      <c r="I453" s="313">
        <f t="shared" si="79"/>
        <v>1</v>
      </c>
      <c r="J453" s="1129"/>
      <c r="K453" s="313">
        <f t="shared" si="80"/>
        <v>1</v>
      </c>
      <c r="L453" s="1129"/>
      <c r="M453" s="313">
        <f t="shared" si="81"/>
        <v>1</v>
      </c>
      <c r="N453" s="1129"/>
      <c r="O453" s="313">
        <f t="shared" si="82"/>
        <v>1</v>
      </c>
      <c r="P453" s="1129"/>
      <c r="Q453" s="313">
        <f t="shared" si="83"/>
        <v>0</v>
      </c>
      <c r="R453" s="1125">
        <f t="shared" si="84"/>
        <v>0</v>
      </c>
      <c r="S453" s="698">
        <f t="shared" si="85"/>
        <v>0</v>
      </c>
    </row>
    <row r="454" spans="1:19">
      <c r="A454" s="491"/>
      <c r="B454" s="348"/>
      <c r="C454" s="313">
        <f t="shared" si="76"/>
        <v>1</v>
      </c>
      <c r="D454" s="1129"/>
      <c r="E454" s="313">
        <f t="shared" si="77"/>
        <v>1</v>
      </c>
      <c r="F454" s="1129"/>
      <c r="G454" s="313">
        <f t="shared" si="78"/>
        <v>0.02</v>
      </c>
      <c r="H454" s="1129"/>
      <c r="I454" s="313">
        <f t="shared" si="79"/>
        <v>1</v>
      </c>
      <c r="J454" s="1129"/>
      <c r="K454" s="313">
        <f t="shared" si="80"/>
        <v>1</v>
      </c>
      <c r="L454" s="1129"/>
      <c r="M454" s="313">
        <f t="shared" si="81"/>
        <v>1</v>
      </c>
      <c r="N454" s="1129"/>
      <c r="O454" s="313">
        <f t="shared" si="82"/>
        <v>1</v>
      </c>
      <c r="P454" s="1129"/>
      <c r="Q454" s="313">
        <f t="shared" si="83"/>
        <v>0</v>
      </c>
      <c r="R454" s="1125">
        <f t="shared" si="84"/>
        <v>0</v>
      </c>
      <c r="S454" s="698">
        <f t="shared" si="85"/>
        <v>0</v>
      </c>
    </row>
    <row r="455" spans="1:19">
      <c r="A455" s="491"/>
      <c r="B455" s="348"/>
      <c r="C455" s="313">
        <f t="shared" si="76"/>
        <v>1</v>
      </c>
      <c r="D455" s="1129"/>
      <c r="E455" s="313">
        <f t="shared" si="77"/>
        <v>1</v>
      </c>
      <c r="F455" s="1129"/>
      <c r="G455" s="313">
        <f t="shared" si="78"/>
        <v>0.02</v>
      </c>
      <c r="H455" s="1129"/>
      <c r="I455" s="313">
        <f t="shared" si="79"/>
        <v>1</v>
      </c>
      <c r="J455" s="1129"/>
      <c r="K455" s="313">
        <f t="shared" si="80"/>
        <v>1</v>
      </c>
      <c r="L455" s="1129"/>
      <c r="M455" s="313">
        <f t="shared" si="81"/>
        <v>1</v>
      </c>
      <c r="N455" s="1129"/>
      <c r="O455" s="313">
        <f t="shared" si="82"/>
        <v>1</v>
      </c>
      <c r="P455" s="1129"/>
      <c r="Q455" s="313">
        <f t="shared" si="83"/>
        <v>0</v>
      </c>
      <c r="R455" s="1125">
        <f t="shared" si="84"/>
        <v>0</v>
      </c>
      <c r="S455" s="698">
        <f t="shared" si="85"/>
        <v>0</v>
      </c>
    </row>
    <row r="456" spans="1:19">
      <c r="A456" s="491"/>
      <c r="B456" s="348"/>
      <c r="C456" s="313">
        <f t="shared" si="76"/>
        <v>1</v>
      </c>
      <c r="D456" s="1129"/>
      <c r="E456" s="313">
        <f t="shared" si="77"/>
        <v>1</v>
      </c>
      <c r="F456" s="1129"/>
      <c r="G456" s="313">
        <f t="shared" si="78"/>
        <v>0.02</v>
      </c>
      <c r="H456" s="1129"/>
      <c r="I456" s="313">
        <f t="shared" si="79"/>
        <v>1</v>
      </c>
      <c r="J456" s="1129"/>
      <c r="K456" s="313">
        <f t="shared" si="80"/>
        <v>1</v>
      </c>
      <c r="L456" s="1129"/>
      <c r="M456" s="313">
        <f t="shared" si="81"/>
        <v>1</v>
      </c>
      <c r="N456" s="1129"/>
      <c r="O456" s="313">
        <f t="shared" si="82"/>
        <v>1</v>
      </c>
      <c r="P456" s="1129"/>
      <c r="Q456" s="313">
        <f t="shared" si="83"/>
        <v>0</v>
      </c>
      <c r="R456" s="1125">
        <f t="shared" si="84"/>
        <v>0</v>
      </c>
      <c r="S456" s="698">
        <f t="shared" si="85"/>
        <v>0</v>
      </c>
    </row>
    <row r="457" spans="1:19">
      <c r="A457" s="491"/>
      <c r="B457" s="348"/>
      <c r="C457" s="313">
        <f t="shared" si="76"/>
        <v>1</v>
      </c>
      <c r="D457" s="1129"/>
      <c r="E457" s="313">
        <f t="shared" si="77"/>
        <v>1</v>
      </c>
      <c r="F457" s="1129"/>
      <c r="G457" s="313">
        <f t="shared" si="78"/>
        <v>0.02</v>
      </c>
      <c r="H457" s="1129"/>
      <c r="I457" s="313">
        <f t="shared" si="79"/>
        <v>1</v>
      </c>
      <c r="J457" s="1129"/>
      <c r="K457" s="313">
        <f t="shared" si="80"/>
        <v>1</v>
      </c>
      <c r="L457" s="1129"/>
      <c r="M457" s="313">
        <f t="shared" si="81"/>
        <v>1</v>
      </c>
      <c r="N457" s="1129"/>
      <c r="O457" s="313">
        <f t="shared" si="82"/>
        <v>1</v>
      </c>
      <c r="P457" s="1129"/>
      <c r="Q457" s="313">
        <f t="shared" si="83"/>
        <v>0</v>
      </c>
      <c r="R457" s="1125">
        <f t="shared" si="84"/>
        <v>0</v>
      </c>
      <c r="S457" s="698">
        <f t="shared" si="85"/>
        <v>0</v>
      </c>
    </row>
    <row r="458" spans="1:19">
      <c r="A458" s="491"/>
      <c r="B458" s="348"/>
      <c r="C458" s="313">
        <f t="shared" si="76"/>
        <v>1</v>
      </c>
      <c r="D458" s="1129"/>
      <c r="E458" s="313">
        <f t="shared" si="77"/>
        <v>1</v>
      </c>
      <c r="F458" s="1129"/>
      <c r="G458" s="313">
        <f t="shared" si="78"/>
        <v>0.02</v>
      </c>
      <c r="H458" s="1129"/>
      <c r="I458" s="313">
        <f t="shared" si="79"/>
        <v>1</v>
      </c>
      <c r="J458" s="1129"/>
      <c r="K458" s="313">
        <f t="shared" si="80"/>
        <v>1</v>
      </c>
      <c r="L458" s="1129"/>
      <c r="M458" s="313">
        <f t="shared" si="81"/>
        <v>1</v>
      </c>
      <c r="N458" s="1129"/>
      <c r="O458" s="313">
        <f t="shared" si="82"/>
        <v>1</v>
      </c>
      <c r="P458" s="1129"/>
      <c r="Q458" s="313">
        <f t="shared" si="83"/>
        <v>0</v>
      </c>
      <c r="R458" s="1125">
        <f t="shared" si="84"/>
        <v>0</v>
      </c>
      <c r="S458" s="698">
        <f t="shared" si="85"/>
        <v>0</v>
      </c>
    </row>
    <row r="459" spans="1:19">
      <c r="A459" s="491"/>
      <c r="B459" s="348"/>
      <c r="C459" s="313">
        <f t="shared" si="76"/>
        <v>1</v>
      </c>
      <c r="D459" s="1129"/>
      <c r="E459" s="313">
        <f t="shared" si="77"/>
        <v>1</v>
      </c>
      <c r="F459" s="1129"/>
      <c r="G459" s="313">
        <f t="shared" si="78"/>
        <v>0.02</v>
      </c>
      <c r="H459" s="1129"/>
      <c r="I459" s="313">
        <f t="shared" si="79"/>
        <v>1</v>
      </c>
      <c r="J459" s="1129"/>
      <c r="K459" s="313">
        <f t="shared" si="80"/>
        <v>1</v>
      </c>
      <c r="L459" s="1129"/>
      <c r="M459" s="313">
        <f t="shared" si="81"/>
        <v>1</v>
      </c>
      <c r="N459" s="1129"/>
      <c r="O459" s="313">
        <f t="shared" si="82"/>
        <v>1</v>
      </c>
      <c r="P459" s="1129"/>
      <c r="Q459" s="313">
        <f t="shared" si="83"/>
        <v>0</v>
      </c>
      <c r="R459" s="1125">
        <f t="shared" si="84"/>
        <v>0</v>
      </c>
      <c r="S459" s="698">
        <f t="shared" si="85"/>
        <v>0</v>
      </c>
    </row>
    <row r="460" spans="1:19">
      <c r="A460" s="491"/>
      <c r="B460" s="348"/>
      <c r="C460" s="313">
        <f t="shared" si="76"/>
        <v>1</v>
      </c>
      <c r="D460" s="1129"/>
      <c r="E460" s="313">
        <f t="shared" si="77"/>
        <v>1</v>
      </c>
      <c r="F460" s="1129"/>
      <c r="G460" s="313">
        <f t="shared" si="78"/>
        <v>0.02</v>
      </c>
      <c r="H460" s="1129"/>
      <c r="I460" s="313">
        <f t="shared" si="79"/>
        <v>1</v>
      </c>
      <c r="J460" s="1129"/>
      <c r="K460" s="313">
        <f t="shared" si="80"/>
        <v>1</v>
      </c>
      <c r="L460" s="1129"/>
      <c r="M460" s="313">
        <f t="shared" si="81"/>
        <v>1</v>
      </c>
      <c r="N460" s="1129"/>
      <c r="O460" s="313">
        <f t="shared" si="82"/>
        <v>1</v>
      </c>
      <c r="P460" s="1129"/>
      <c r="Q460" s="313">
        <f t="shared" si="83"/>
        <v>0</v>
      </c>
      <c r="R460" s="1125">
        <f t="shared" si="84"/>
        <v>0</v>
      </c>
      <c r="S460" s="698">
        <f t="shared" si="85"/>
        <v>0</v>
      </c>
    </row>
    <row r="461" spans="1:19">
      <c r="A461" s="491"/>
      <c r="B461" s="348"/>
      <c r="C461" s="313">
        <f t="shared" si="76"/>
        <v>1</v>
      </c>
      <c r="D461" s="1129"/>
      <c r="E461" s="313">
        <f t="shared" si="77"/>
        <v>1</v>
      </c>
      <c r="F461" s="1129"/>
      <c r="G461" s="313">
        <f t="shared" si="78"/>
        <v>0.02</v>
      </c>
      <c r="H461" s="1129"/>
      <c r="I461" s="313">
        <f t="shared" si="79"/>
        <v>1</v>
      </c>
      <c r="J461" s="1129"/>
      <c r="K461" s="313">
        <f t="shared" si="80"/>
        <v>1</v>
      </c>
      <c r="L461" s="1129"/>
      <c r="M461" s="313">
        <f t="shared" si="81"/>
        <v>1</v>
      </c>
      <c r="N461" s="1129"/>
      <c r="O461" s="313">
        <f t="shared" si="82"/>
        <v>1</v>
      </c>
      <c r="P461" s="1129"/>
      <c r="Q461" s="313">
        <f t="shared" si="83"/>
        <v>0</v>
      </c>
      <c r="R461" s="1125">
        <f t="shared" si="84"/>
        <v>0</v>
      </c>
      <c r="S461" s="698">
        <f t="shared" si="85"/>
        <v>0</v>
      </c>
    </row>
    <row r="462" spans="1:19">
      <c r="A462" s="491"/>
      <c r="B462" s="348"/>
      <c r="C462" s="313">
        <f t="shared" si="76"/>
        <v>1</v>
      </c>
      <c r="D462" s="1129"/>
      <c r="E462" s="313">
        <f t="shared" si="77"/>
        <v>1</v>
      </c>
      <c r="F462" s="1129"/>
      <c r="G462" s="313">
        <f t="shared" si="78"/>
        <v>0.02</v>
      </c>
      <c r="H462" s="1129"/>
      <c r="I462" s="313">
        <f t="shared" si="79"/>
        <v>1</v>
      </c>
      <c r="J462" s="1129"/>
      <c r="K462" s="313">
        <f t="shared" si="80"/>
        <v>1</v>
      </c>
      <c r="L462" s="1129"/>
      <c r="M462" s="313">
        <f t="shared" si="81"/>
        <v>1</v>
      </c>
      <c r="N462" s="1129"/>
      <c r="O462" s="313">
        <f t="shared" si="82"/>
        <v>1</v>
      </c>
      <c r="P462" s="1129"/>
      <c r="Q462" s="313">
        <f t="shared" si="83"/>
        <v>0</v>
      </c>
      <c r="R462" s="1125">
        <f t="shared" si="84"/>
        <v>0</v>
      </c>
      <c r="S462" s="698">
        <f t="shared" si="85"/>
        <v>0</v>
      </c>
    </row>
    <row r="463" spans="1:19">
      <c r="A463" s="491"/>
      <c r="B463" s="348"/>
      <c r="C463" s="313">
        <f t="shared" si="76"/>
        <v>1</v>
      </c>
      <c r="D463" s="1129"/>
      <c r="E463" s="313">
        <f t="shared" si="77"/>
        <v>1</v>
      </c>
      <c r="F463" s="1129"/>
      <c r="G463" s="313">
        <f t="shared" si="78"/>
        <v>0.02</v>
      </c>
      <c r="H463" s="1129"/>
      <c r="I463" s="313">
        <f t="shared" si="79"/>
        <v>1</v>
      </c>
      <c r="J463" s="1129"/>
      <c r="K463" s="313">
        <f t="shared" si="80"/>
        <v>1</v>
      </c>
      <c r="L463" s="1129"/>
      <c r="M463" s="313">
        <f t="shared" si="81"/>
        <v>1</v>
      </c>
      <c r="N463" s="1129"/>
      <c r="O463" s="313">
        <f t="shared" si="82"/>
        <v>1</v>
      </c>
      <c r="P463" s="1129"/>
      <c r="Q463" s="313">
        <f t="shared" si="83"/>
        <v>0</v>
      </c>
      <c r="R463" s="1125">
        <f t="shared" si="84"/>
        <v>0</v>
      </c>
      <c r="S463" s="698">
        <f t="shared" si="85"/>
        <v>0</v>
      </c>
    </row>
    <row r="464" spans="1:19">
      <c r="A464" s="491"/>
      <c r="B464" s="348"/>
      <c r="C464" s="313">
        <f t="shared" si="76"/>
        <v>1</v>
      </c>
      <c r="D464" s="1129"/>
      <c r="E464" s="313">
        <f t="shared" si="77"/>
        <v>1</v>
      </c>
      <c r="F464" s="1129"/>
      <c r="G464" s="313">
        <f t="shared" si="78"/>
        <v>0.02</v>
      </c>
      <c r="H464" s="1129"/>
      <c r="I464" s="313">
        <f t="shared" si="79"/>
        <v>1</v>
      </c>
      <c r="J464" s="1129"/>
      <c r="K464" s="313">
        <f t="shared" si="80"/>
        <v>1</v>
      </c>
      <c r="L464" s="1129"/>
      <c r="M464" s="313">
        <f t="shared" si="81"/>
        <v>1</v>
      </c>
      <c r="N464" s="1129"/>
      <c r="O464" s="313">
        <f t="shared" si="82"/>
        <v>1</v>
      </c>
      <c r="P464" s="1129"/>
      <c r="Q464" s="313">
        <f t="shared" si="83"/>
        <v>0</v>
      </c>
      <c r="R464" s="1125">
        <f t="shared" si="84"/>
        <v>0</v>
      </c>
      <c r="S464" s="698">
        <f t="shared" si="85"/>
        <v>0</v>
      </c>
    </row>
    <row r="465" spans="1:19">
      <c r="A465" s="491"/>
      <c r="B465" s="348"/>
      <c r="C465" s="313">
        <f t="shared" si="76"/>
        <v>1</v>
      </c>
      <c r="D465" s="1129"/>
      <c r="E465" s="313">
        <f t="shared" si="77"/>
        <v>1</v>
      </c>
      <c r="F465" s="1129"/>
      <c r="G465" s="313">
        <f t="shared" si="78"/>
        <v>0.02</v>
      </c>
      <c r="H465" s="1129"/>
      <c r="I465" s="313">
        <f t="shared" si="79"/>
        <v>1</v>
      </c>
      <c r="J465" s="1129"/>
      <c r="K465" s="313">
        <f t="shared" si="80"/>
        <v>1</v>
      </c>
      <c r="L465" s="1129"/>
      <c r="M465" s="313">
        <f t="shared" si="81"/>
        <v>1</v>
      </c>
      <c r="N465" s="1129"/>
      <c r="O465" s="313">
        <f t="shared" si="82"/>
        <v>1</v>
      </c>
      <c r="P465" s="1129"/>
      <c r="Q465" s="313">
        <f t="shared" si="83"/>
        <v>0</v>
      </c>
      <c r="R465" s="1125">
        <f t="shared" si="84"/>
        <v>0</v>
      </c>
      <c r="S465" s="698">
        <f t="shared" si="85"/>
        <v>0</v>
      </c>
    </row>
    <row r="466" spans="1:19">
      <c r="A466" s="491"/>
      <c r="B466" s="348"/>
      <c r="C466" s="313">
        <f t="shared" si="76"/>
        <v>1</v>
      </c>
      <c r="D466" s="1129"/>
      <c r="E466" s="313">
        <f t="shared" si="77"/>
        <v>1</v>
      </c>
      <c r="F466" s="1129"/>
      <c r="G466" s="313">
        <f t="shared" si="78"/>
        <v>0.02</v>
      </c>
      <c r="H466" s="1129"/>
      <c r="I466" s="313">
        <f t="shared" si="79"/>
        <v>1</v>
      </c>
      <c r="J466" s="1129"/>
      <c r="K466" s="313">
        <f t="shared" si="80"/>
        <v>1</v>
      </c>
      <c r="L466" s="1129"/>
      <c r="M466" s="313">
        <f t="shared" si="81"/>
        <v>1</v>
      </c>
      <c r="N466" s="1129"/>
      <c r="O466" s="313">
        <f t="shared" si="82"/>
        <v>1</v>
      </c>
      <c r="P466" s="1129"/>
      <c r="Q466" s="313">
        <f t="shared" si="83"/>
        <v>0</v>
      </c>
      <c r="R466" s="1125">
        <f t="shared" si="84"/>
        <v>0</v>
      </c>
      <c r="S466" s="698">
        <f t="shared" si="85"/>
        <v>0</v>
      </c>
    </row>
    <row r="467" spans="1:19">
      <c r="A467" s="491"/>
      <c r="B467" s="348"/>
      <c r="C467" s="313">
        <f t="shared" si="76"/>
        <v>1</v>
      </c>
      <c r="D467" s="1129"/>
      <c r="E467" s="313">
        <f t="shared" si="77"/>
        <v>1</v>
      </c>
      <c r="F467" s="1129"/>
      <c r="G467" s="313">
        <f t="shared" si="78"/>
        <v>0.02</v>
      </c>
      <c r="H467" s="1129"/>
      <c r="I467" s="313">
        <f t="shared" si="79"/>
        <v>1</v>
      </c>
      <c r="J467" s="1129"/>
      <c r="K467" s="313">
        <f t="shared" si="80"/>
        <v>1</v>
      </c>
      <c r="L467" s="1129"/>
      <c r="M467" s="313">
        <f t="shared" si="81"/>
        <v>1</v>
      </c>
      <c r="N467" s="1129"/>
      <c r="O467" s="313">
        <f t="shared" si="82"/>
        <v>1</v>
      </c>
      <c r="P467" s="1129"/>
      <c r="Q467" s="313">
        <f t="shared" si="83"/>
        <v>0</v>
      </c>
      <c r="R467" s="1125">
        <f t="shared" si="84"/>
        <v>0</v>
      </c>
      <c r="S467" s="698">
        <f t="shared" si="85"/>
        <v>0</v>
      </c>
    </row>
    <row r="468" spans="1:19">
      <c r="A468" s="491"/>
      <c r="B468" s="348"/>
      <c r="C468" s="313">
        <f t="shared" si="76"/>
        <v>1</v>
      </c>
      <c r="D468" s="1129"/>
      <c r="E468" s="313">
        <f t="shared" si="77"/>
        <v>1</v>
      </c>
      <c r="F468" s="1129"/>
      <c r="G468" s="313">
        <f t="shared" si="78"/>
        <v>0.02</v>
      </c>
      <c r="H468" s="1129"/>
      <c r="I468" s="313">
        <f t="shared" si="79"/>
        <v>1</v>
      </c>
      <c r="J468" s="1129"/>
      <c r="K468" s="313">
        <f t="shared" si="80"/>
        <v>1</v>
      </c>
      <c r="L468" s="1129"/>
      <c r="M468" s="313">
        <f t="shared" si="81"/>
        <v>1</v>
      </c>
      <c r="N468" s="1129"/>
      <c r="O468" s="313">
        <f t="shared" si="82"/>
        <v>1</v>
      </c>
      <c r="P468" s="1129"/>
      <c r="Q468" s="313">
        <f t="shared" si="83"/>
        <v>0</v>
      </c>
      <c r="R468" s="1125">
        <f t="shared" si="84"/>
        <v>0</v>
      </c>
      <c r="S468" s="698">
        <f t="shared" ref="S468:S497" si="86">ROUND(R468*B468/10000,0)</f>
        <v>0</v>
      </c>
    </row>
    <row r="469" spans="1:19">
      <c r="A469" s="491"/>
      <c r="B469" s="348"/>
      <c r="C469" s="313">
        <f t="shared" si="76"/>
        <v>1</v>
      </c>
      <c r="D469" s="1129"/>
      <c r="E469" s="313">
        <f t="shared" si="77"/>
        <v>1</v>
      </c>
      <c r="F469" s="1129"/>
      <c r="G469" s="313">
        <f t="shared" si="78"/>
        <v>0.02</v>
      </c>
      <c r="H469" s="1129"/>
      <c r="I469" s="313">
        <f t="shared" si="79"/>
        <v>1</v>
      </c>
      <c r="J469" s="1129"/>
      <c r="K469" s="313">
        <f t="shared" si="80"/>
        <v>1</v>
      </c>
      <c r="L469" s="1129"/>
      <c r="M469" s="313">
        <f t="shared" si="81"/>
        <v>1</v>
      </c>
      <c r="N469" s="1129"/>
      <c r="O469" s="313">
        <f t="shared" si="82"/>
        <v>1</v>
      </c>
      <c r="P469" s="1129"/>
      <c r="Q469" s="313">
        <f t="shared" si="83"/>
        <v>0</v>
      </c>
      <c r="R469" s="1125">
        <f t="shared" si="84"/>
        <v>0</v>
      </c>
      <c r="S469" s="698">
        <f t="shared" si="86"/>
        <v>0</v>
      </c>
    </row>
    <row r="470" spans="1:19">
      <c r="A470" s="491"/>
      <c r="B470" s="348"/>
      <c r="C470" s="313">
        <f t="shared" si="76"/>
        <v>1</v>
      </c>
      <c r="D470" s="1129"/>
      <c r="E470" s="313">
        <f t="shared" si="77"/>
        <v>1</v>
      </c>
      <c r="F470" s="1129"/>
      <c r="G470" s="313">
        <f t="shared" si="78"/>
        <v>0.02</v>
      </c>
      <c r="H470" s="1129"/>
      <c r="I470" s="313">
        <f t="shared" si="79"/>
        <v>1</v>
      </c>
      <c r="J470" s="1129"/>
      <c r="K470" s="313">
        <f t="shared" si="80"/>
        <v>1</v>
      </c>
      <c r="L470" s="1129"/>
      <c r="M470" s="313">
        <f t="shared" si="81"/>
        <v>1</v>
      </c>
      <c r="N470" s="1129"/>
      <c r="O470" s="313">
        <f t="shared" si="82"/>
        <v>1</v>
      </c>
      <c r="P470" s="1129"/>
      <c r="Q470" s="313">
        <f t="shared" si="83"/>
        <v>0</v>
      </c>
      <c r="R470" s="1125">
        <f t="shared" si="84"/>
        <v>0</v>
      </c>
      <c r="S470" s="698">
        <f t="shared" si="86"/>
        <v>0</v>
      </c>
    </row>
    <row r="471" spans="1:19">
      <c r="A471" s="491"/>
      <c r="B471" s="348"/>
      <c r="C471" s="313">
        <f t="shared" si="76"/>
        <v>1</v>
      </c>
      <c r="D471" s="1129"/>
      <c r="E471" s="313">
        <f t="shared" si="77"/>
        <v>1</v>
      </c>
      <c r="F471" s="1129"/>
      <c r="G471" s="313">
        <f t="shared" si="78"/>
        <v>0.02</v>
      </c>
      <c r="H471" s="1129"/>
      <c r="I471" s="313">
        <f t="shared" si="79"/>
        <v>1</v>
      </c>
      <c r="J471" s="1129"/>
      <c r="K471" s="313">
        <f t="shared" si="80"/>
        <v>1</v>
      </c>
      <c r="L471" s="1129"/>
      <c r="M471" s="313">
        <f t="shared" si="81"/>
        <v>1</v>
      </c>
      <c r="N471" s="1129"/>
      <c r="O471" s="313">
        <f t="shared" si="82"/>
        <v>1</v>
      </c>
      <c r="P471" s="1129"/>
      <c r="Q471" s="313">
        <f t="shared" si="83"/>
        <v>0</v>
      </c>
      <c r="R471" s="1125">
        <f t="shared" si="84"/>
        <v>0</v>
      </c>
      <c r="S471" s="698">
        <f t="shared" si="86"/>
        <v>0</v>
      </c>
    </row>
    <row r="472" spans="1:19">
      <c r="A472" s="491"/>
      <c r="B472" s="348"/>
      <c r="C472" s="313">
        <f t="shared" si="76"/>
        <v>1</v>
      </c>
      <c r="D472" s="1129"/>
      <c r="E472" s="313">
        <f t="shared" si="77"/>
        <v>1</v>
      </c>
      <c r="F472" s="1129"/>
      <c r="G472" s="313">
        <f t="shared" si="78"/>
        <v>0.02</v>
      </c>
      <c r="H472" s="1129"/>
      <c r="I472" s="313">
        <f t="shared" si="79"/>
        <v>1</v>
      </c>
      <c r="J472" s="1129"/>
      <c r="K472" s="313">
        <f t="shared" si="80"/>
        <v>1</v>
      </c>
      <c r="L472" s="1129"/>
      <c r="M472" s="313">
        <f t="shared" si="81"/>
        <v>1</v>
      </c>
      <c r="N472" s="1129"/>
      <c r="O472" s="313">
        <f t="shared" si="82"/>
        <v>1</v>
      </c>
      <c r="P472" s="1129"/>
      <c r="Q472" s="313">
        <f t="shared" si="83"/>
        <v>0</v>
      </c>
      <c r="R472" s="1125">
        <f t="shared" si="84"/>
        <v>0</v>
      </c>
      <c r="S472" s="698">
        <f t="shared" si="86"/>
        <v>0</v>
      </c>
    </row>
    <row r="473" spans="1:19">
      <c r="A473" s="491"/>
      <c r="B473" s="348"/>
      <c r="C473" s="313">
        <f t="shared" si="76"/>
        <v>1</v>
      </c>
      <c r="D473" s="1129"/>
      <c r="E473" s="313">
        <f t="shared" si="77"/>
        <v>1</v>
      </c>
      <c r="F473" s="1129"/>
      <c r="G473" s="313">
        <f t="shared" si="78"/>
        <v>0.02</v>
      </c>
      <c r="H473" s="1129"/>
      <c r="I473" s="313">
        <f t="shared" si="79"/>
        <v>1</v>
      </c>
      <c r="J473" s="1129"/>
      <c r="K473" s="313">
        <f t="shared" si="80"/>
        <v>1</v>
      </c>
      <c r="L473" s="1129"/>
      <c r="M473" s="313">
        <f t="shared" si="81"/>
        <v>1</v>
      </c>
      <c r="N473" s="1129"/>
      <c r="O473" s="313">
        <f t="shared" si="82"/>
        <v>1</v>
      </c>
      <c r="P473" s="1129"/>
      <c r="Q473" s="313">
        <f t="shared" si="83"/>
        <v>0</v>
      </c>
      <c r="R473" s="1125">
        <f t="shared" si="84"/>
        <v>0</v>
      </c>
      <c r="S473" s="698">
        <f t="shared" si="86"/>
        <v>0</v>
      </c>
    </row>
    <row r="474" spans="1:19">
      <c r="A474" s="491"/>
      <c r="B474" s="348"/>
      <c r="C474" s="313">
        <f t="shared" ref="C474:C524" si="87">IF(B474="",1,(LOOKUP(B474,$3:$3,$4:$4)-LOOKUP($B$24,$3:$3,$4:$4)+100)/100)</f>
        <v>1</v>
      </c>
      <c r="D474" s="1129"/>
      <c r="E474" s="313">
        <f t="shared" ref="E474:E524" si="88">(SUMIF($5:$5,D474,$6:$6)-SUMIF($5:$5,$D$24,$6:$6)+100)/100</f>
        <v>1</v>
      </c>
      <c r="F474" s="1129"/>
      <c r="G474" s="313">
        <f t="shared" ref="G474:G524" si="89">(SUMIF($7:$7,F474,$8:$8)-SUMIF($7:$7,$F$24,$8:$8)+100)/100</f>
        <v>0.02</v>
      </c>
      <c r="H474" s="1129"/>
      <c r="I474" s="313">
        <f t="shared" ref="I474:I524" si="90">(SUMIF($9:$9,H474,$10:$10)-SUMIF($9:$9,$H$24,$10:$10)+100)/100</f>
        <v>1</v>
      </c>
      <c r="J474" s="1129"/>
      <c r="K474" s="313">
        <f t="shared" ref="K474:K524" si="91">(SUMIF($11:$11,J474,$12:$12)-SUMIF($11:$11,$J$24,$12:$12)+100)/100</f>
        <v>1</v>
      </c>
      <c r="L474" s="1129"/>
      <c r="M474" s="313">
        <f t="shared" ref="M474:M524" si="92">(SUMIF($13:$13,L474,$14:$14)-SUMIF($13:$13,$L$24,$14:$14)+100)/100</f>
        <v>1</v>
      </c>
      <c r="N474" s="1129"/>
      <c r="O474" s="313">
        <f t="shared" ref="O474:O524" si="93">(SUMIF($15:$15,N474,$16:$16)-SUMIF($15:$15,$N$24,$16:$16)+100)/100</f>
        <v>1</v>
      </c>
      <c r="P474" s="1129"/>
      <c r="Q474" s="313">
        <f t="shared" ref="Q474:Q524" si="94">(SUMIF($17:$17,P474,$18:$18)-SUMIF($17:$17,$P$24,$18:$18)+100)/100</f>
        <v>0</v>
      </c>
      <c r="R474" s="1125">
        <f t="shared" ref="R474:R524" si="95">IF(B474="",0,ROUND($R$24*C474*E474*G474*I474*K474*M474*O474*Q474,0))</f>
        <v>0</v>
      </c>
      <c r="S474" s="698">
        <f t="shared" si="86"/>
        <v>0</v>
      </c>
    </row>
    <row r="475" spans="1:19">
      <c r="A475" s="491"/>
      <c r="B475" s="348"/>
      <c r="C475" s="313">
        <f t="shared" si="87"/>
        <v>1</v>
      </c>
      <c r="D475" s="1129"/>
      <c r="E475" s="313">
        <f t="shared" si="88"/>
        <v>1</v>
      </c>
      <c r="F475" s="1129"/>
      <c r="G475" s="313">
        <f t="shared" si="89"/>
        <v>0.02</v>
      </c>
      <c r="H475" s="1129"/>
      <c r="I475" s="313">
        <f t="shared" si="90"/>
        <v>1</v>
      </c>
      <c r="J475" s="1129"/>
      <c r="K475" s="313">
        <f t="shared" si="91"/>
        <v>1</v>
      </c>
      <c r="L475" s="1129"/>
      <c r="M475" s="313">
        <f t="shared" si="92"/>
        <v>1</v>
      </c>
      <c r="N475" s="1129"/>
      <c r="O475" s="313">
        <f t="shared" si="93"/>
        <v>1</v>
      </c>
      <c r="P475" s="1129"/>
      <c r="Q475" s="313">
        <f t="shared" si="94"/>
        <v>0</v>
      </c>
      <c r="R475" s="1125">
        <f t="shared" si="95"/>
        <v>0</v>
      </c>
      <c r="S475" s="698">
        <f t="shared" si="86"/>
        <v>0</v>
      </c>
    </row>
    <row r="476" spans="1:19">
      <c r="A476" s="491"/>
      <c r="B476" s="348"/>
      <c r="C476" s="313">
        <f t="shared" si="87"/>
        <v>1</v>
      </c>
      <c r="D476" s="1129"/>
      <c r="E476" s="313">
        <f t="shared" si="88"/>
        <v>1</v>
      </c>
      <c r="F476" s="1129"/>
      <c r="G476" s="313">
        <f t="shared" si="89"/>
        <v>0.02</v>
      </c>
      <c r="H476" s="1129"/>
      <c r="I476" s="313">
        <f t="shared" si="90"/>
        <v>1</v>
      </c>
      <c r="J476" s="1129"/>
      <c r="K476" s="313">
        <f t="shared" si="91"/>
        <v>1</v>
      </c>
      <c r="L476" s="1129"/>
      <c r="M476" s="313">
        <f t="shared" si="92"/>
        <v>1</v>
      </c>
      <c r="N476" s="1129"/>
      <c r="O476" s="313">
        <f t="shared" si="93"/>
        <v>1</v>
      </c>
      <c r="P476" s="1129"/>
      <c r="Q476" s="313">
        <f t="shared" si="94"/>
        <v>0</v>
      </c>
      <c r="R476" s="1125">
        <f t="shared" si="95"/>
        <v>0</v>
      </c>
      <c r="S476" s="698">
        <f t="shared" si="86"/>
        <v>0</v>
      </c>
    </row>
    <row r="477" spans="1:19">
      <c r="A477" s="491"/>
      <c r="B477" s="348"/>
      <c r="C477" s="313">
        <f t="shared" si="87"/>
        <v>1</v>
      </c>
      <c r="D477" s="1129"/>
      <c r="E477" s="313">
        <f t="shared" si="88"/>
        <v>1</v>
      </c>
      <c r="F477" s="1129"/>
      <c r="G477" s="313">
        <f t="shared" si="89"/>
        <v>0.02</v>
      </c>
      <c r="H477" s="1129"/>
      <c r="I477" s="313">
        <f t="shared" si="90"/>
        <v>1</v>
      </c>
      <c r="J477" s="1129"/>
      <c r="K477" s="313">
        <f t="shared" si="91"/>
        <v>1</v>
      </c>
      <c r="L477" s="1129"/>
      <c r="M477" s="313">
        <f t="shared" si="92"/>
        <v>1</v>
      </c>
      <c r="N477" s="1129"/>
      <c r="O477" s="313">
        <f t="shared" si="93"/>
        <v>1</v>
      </c>
      <c r="P477" s="1129"/>
      <c r="Q477" s="313">
        <f t="shared" si="94"/>
        <v>0</v>
      </c>
      <c r="R477" s="1125">
        <f t="shared" si="95"/>
        <v>0</v>
      </c>
      <c r="S477" s="698">
        <f t="shared" si="86"/>
        <v>0</v>
      </c>
    </row>
    <row r="478" spans="1:19">
      <c r="A478" s="491"/>
      <c r="B478" s="348"/>
      <c r="C478" s="313">
        <f t="shared" si="87"/>
        <v>1</v>
      </c>
      <c r="D478" s="1129"/>
      <c r="E478" s="313">
        <f t="shared" si="88"/>
        <v>1</v>
      </c>
      <c r="F478" s="1129"/>
      <c r="G478" s="313">
        <f t="shared" si="89"/>
        <v>0.02</v>
      </c>
      <c r="H478" s="1129"/>
      <c r="I478" s="313">
        <f t="shared" si="90"/>
        <v>1</v>
      </c>
      <c r="J478" s="1129"/>
      <c r="K478" s="313">
        <f t="shared" si="91"/>
        <v>1</v>
      </c>
      <c r="L478" s="1129"/>
      <c r="M478" s="313">
        <f t="shared" si="92"/>
        <v>1</v>
      </c>
      <c r="N478" s="1129"/>
      <c r="O478" s="313">
        <f t="shared" si="93"/>
        <v>1</v>
      </c>
      <c r="P478" s="1129"/>
      <c r="Q478" s="313">
        <f t="shared" si="94"/>
        <v>0</v>
      </c>
      <c r="R478" s="1125">
        <f t="shared" si="95"/>
        <v>0</v>
      </c>
      <c r="S478" s="698">
        <f t="shared" si="86"/>
        <v>0</v>
      </c>
    </row>
    <row r="479" spans="1:19">
      <c r="A479" s="491"/>
      <c r="B479" s="348"/>
      <c r="C479" s="313">
        <f t="shared" si="87"/>
        <v>1</v>
      </c>
      <c r="D479" s="1129"/>
      <c r="E479" s="313">
        <f t="shared" si="88"/>
        <v>1</v>
      </c>
      <c r="F479" s="1129"/>
      <c r="G479" s="313">
        <f t="shared" si="89"/>
        <v>0.02</v>
      </c>
      <c r="H479" s="1129"/>
      <c r="I479" s="313">
        <f t="shared" si="90"/>
        <v>1</v>
      </c>
      <c r="J479" s="1129"/>
      <c r="K479" s="313">
        <f t="shared" si="91"/>
        <v>1</v>
      </c>
      <c r="L479" s="1129"/>
      <c r="M479" s="313">
        <f t="shared" si="92"/>
        <v>1</v>
      </c>
      <c r="N479" s="1129"/>
      <c r="O479" s="313">
        <f t="shared" si="93"/>
        <v>1</v>
      </c>
      <c r="P479" s="1129"/>
      <c r="Q479" s="313">
        <f t="shared" si="94"/>
        <v>0</v>
      </c>
      <c r="R479" s="1125">
        <f t="shared" si="95"/>
        <v>0</v>
      </c>
      <c r="S479" s="698">
        <f t="shared" si="86"/>
        <v>0</v>
      </c>
    </row>
    <row r="480" spans="1:19">
      <c r="A480" s="491"/>
      <c r="B480" s="348"/>
      <c r="C480" s="313">
        <f t="shared" si="87"/>
        <v>1</v>
      </c>
      <c r="D480" s="1129"/>
      <c r="E480" s="313">
        <f t="shared" si="88"/>
        <v>1</v>
      </c>
      <c r="F480" s="1129"/>
      <c r="G480" s="313">
        <f t="shared" si="89"/>
        <v>0.02</v>
      </c>
      <c r="H480" s="1129"/>
      <c r="I480" s="313">
        <f t="shared" si="90"/>
        <v>1</v>
      </c>
      <c r="J480" s="1129"/>
      <c r="K480" s="313">
        <f t="shared" si="91"/>
        <v>1</v>
      </c>
      <c r="L480" s="1129"/>
      <c r="M480" s="313">
        <f t="shared" si="92"/>
        <v>1</v>
      </c>
      <c r="N480" s="1129"/>
      <c r="O480" s="313">
        <f t="shared" si="93"/>
        <v>1</v>
      </c>
      <c r="P480" s="1129"/>
      <c r="Q480" s="313">
        <f t="shared" si="94"/>
        <v>0</v>
      </c>
      <c r="R480" s="1125">
        <f t="shared" si="95"/>
        <v>0</v>
      </c>
      <c r="S480" s="698">
        <f t="shared" si="86"/>
        <v>0</v>
      </c>
    </row>
    <row r="481" spans="1:19">
      <c r="A481" s="491"/>
      <c r="B481" s="348"/>
      <c r="C481" s="313">
        <f t="shared" si="87"/>
        <v>1</v>
      </c>
      <c r="D481" s="1129"/>
      <c r="E481" s="313">
        <f t="shared" si="88"/>
        <v>1</v>
      </c>
      <c r="F481" s="1129"/>
      <c r="G481" s="313">
        <f t="shared" si="89"/>
        <v>0.02</v>
      </c>
      <c r="H481" s="1129"/>
      <c r="I481" s="313">
        <f t="shared" si="90"/>
        <v>1</v>
      </c>
      <c r="J481" s="1129"/>
      <c r="K481" s="313">
        <f t="shared" si="91"/>
        <v>1</v>
      </c>
      <c r="L481" s="1129"/>
      <c r="M481" s="313">
        <f t="shared" si="92"/>
        <v>1</v>
      </c>
      <c r="N481" s="1129"/>
      <c r="O481" s="313">
        <f t="shared" si="93"/>
        <v>1</v>
      </c>
      <c r="P481" s="1129"/>
      <c r="Q481" s="313">
        <f t="shared" si="94"/>
        <v>0</v>
      </c>
      <c r="R481" s="1125">
        <f t="shared" si="95"/>
        <v>0</v>
      </c>
      <c r="S481" s="698">
        <f t="shared" si="86"/>
        <v>0</v>
      </c>
    </row>
    <row r="482" spans="1:19">
      <c r="A482" s="491"/>
      <c r="B482" s="348"/>
      <c r="C482" s="313">
        <f t="shared" si="87"/>
        <v>1</v>
      </c>
      <c r="D482" s="1129"/>
      <c r="E482" s="313">
        <f t="shared" si="88"/>
        <v>1</v>
      </c>
      <c r="F482" s="1129"/>
      <c r="G482" s="313">
        <f t="shared" si="89"/>
        <v>0.02</v>
      </c>
      <c r="H482" s="1129"/>
      <c r="I482" s="313">
        <f t="shared" si="90"/>
        <v>1</v>
      </c>
      <c r="J482" s="1129"/>
      <c r="K482" s="313">
        <f t="shared" si="91"/>
        <v>1</v>
      </c>
      <c r="L482" s="1129"/>
      <c r="M482" s="313">
        <f t="shared" si="92"/>
        <v>1</v>
      </c>
      <c r="N482" s="1129"/>
      <c r="O482" s="313">
        <f t="shared" si="93"/>
        <v>1</v>
      </c>
      <c r="P482" s="1129"/>
      <c r="Q482" s="313">
        <f t="shared" si="94"/>
        <v>0</v>
      </c>
      <c r="R482" s="1125">
        <f t="shared" si="95"/>
        <v>0</v>
      </c>
      <c r="S482" s="698">
        <f t="shared" si="86"/>
        <v>0</v>
      </c>
    </row>
    <row r="483" spans="1:19">
      <c r="A483" s="491"/>
      <c r="B483" s="348"/>
      <c r="C483" s="313">
        <f t="shared" si="87"/>
        <v>1</v>
      </c>
      <c r="D483" s="1129"/>
      <c r="E483" s="313">
        <f t="shared" si="88"/>
        <v>1</v>
      </c>
      <c r="F483" s="1129"/>
      <c r="G483" s="313">
        <f t="shared" si="89"/>
        <v>0.02</v>
      </c>
      <c r="H483" s="1129"/>
      <c r="I483" s="313">
        <f t="shared" si="90"/>
        <v>1</v>
      </c>
      <c r="J483" s="1129"/>
      <c r="K483" s="313">
        <f t="shared" si="91"/>
        <v>1</v>
      </c>
      <c r="L483" s="1129"/>
      <c r="M483" s="313">
        <f t="shared" si="92"/>
        <v>1</v>
      </c>
      <c r="N483" s="1129"/>
      <c r="O483" s="313">
        <f t="shared" si="93"/>
        <v>1</v>
      </c>
      <c r="P483" s="1129"/>
      <c r="Q483" s="313">
        <f t="shared" si="94"/>
        <v>0</v>
      </c>
      <c r="R483" s="1125">
        <f t="shared" si="95"/>
        <v>0</v>
      </c>
      <c r="S483" s="698">
        <f t="shared" si="86"/>
        <v>0</v>
      </c>
    </row>
    <row r="484" spans="1:19">
      <c r="A484" s="491"/>
      <c r="B484" s="348"/>
      <c r="C484" s="313">
        <f t="shared" si="87"/>
        <v>1</v>
      </c>
      <c r="D484" s="1129"/>
      <c r="E484" s="313">
        <f t="shared" si="88"/>
        <v>1</v>
      </c>
      <c r="F484" s="1129"/>
      <c r="G484" s="313">
        <f t="shared" si="89"/>
        <v>0.02</v>
      </c>
      <c r="H484" s="1129"/>
      <c r="I484" s="313">
        <f t="shared" si="90"/>
        <v>1</v>
      </c>
      <c r="J484" s="1129"/>
      <c r="K484" s="313">
        <f t="shared" si="91"/>
        <v>1</v>
      </c>
      <c r="L484" s="1129"/>
      <c r="M484" s="313">
        <f t="shared" si="92"/>
        <v>1</v>
      </c>
      <c r="N484" s="1129"/>
      <c r="O484" s="313">
        <f t="shared" si="93"/>
        <v>1</v>
      </c>
      <c r="P484" s="1129"/>
      <c r="Q484" s="313">
        <f t="shared" si="94"/>
        <v>0</v>
      </c>
      <c r="R484" s="1125">
        <f t="shared" si="95"/>
        <v>0</v>
      </c>
      <c r="S484" s="698">
        <f t="shared" si="86"/>
        <v>0</v>
      </c>
    </row>
    <row r="485" spans="1:19">
      <c r="A485" s="491"/>
      <c r="B485" s="348"/>
      <c r="C485" s="313">
        <f t="shared" si="87"/>
        <v>1</v>
      </c>
      <c r="D485" s="1129"/>
      <c r="E485" s="313">
        <f t="shared" si="88"/>
        <v>1</v>
      </c>
      <c r="F485" s="1129"/>
      <c r="G485" s="313">
        <f t="shared" si="89"/>
        <v>0.02</v>
      </c>
      <c r="H485" s="1129"/>
      <c r="I485" s="313">
        <f t="shared" si="90"/>
        <v>1</v>
      </c>
      <c r="J485" s="1129"/>
      <c r="K485" s="313">
        <f t="shared" si="91"/>
        <v>1</v>
      </c>
      <c r="L485" s="1129"/>
      <c r="M485" s="313">
        <f t="shared" si="92"/>
        <v>1</v>
      </c>
      <c r="N485" s="1129"/>
      <c r="O485" s="313">
        <f t="shared" si="93"/>
        <v>1</v>
      </c>
      <c r="P485" s="1129"/>
      <c r="Q485" s="313">
        <f t="shared" si="94"/>
        <v>0</v>
      </c>
      <c r="R485" s="1125">
        <f t="shared" si="95"/>
        <v>0</v>
      </c>
      <c r="S485" s="698">
        <f t="shared" si="86"/>
        <v>0</v>
      </c>
    </row>
    <row r="486" spans="1:19">
      <c r="A486" s="491"/>
      <c r="B486" s="348"/>
      <c r="C486" s="313">
        <f t="shared" si="87"/>
        <v>1</v>
      </c>
      <c r="D486" s="1129"/>
      <c r="E486" s="313">
        <f t="shared" si="88"/>
        <v>1</v>
      </c>
      <c r="F486" s="1129"/>
      <c r="G486" s="313">
        <f t="shared" si="89"/>
        <v>0.02</v>
      </c>
      <c r="H486" s="1129"/>
      <c r="I486" s="313">
        <f t="shared" si="90"/>
        <v>1</v>
      </c>
      <c r="J486" s="1129"/>
      <c r="K486" s="313">
        <f t="shared" si="91"/>
        <v>1</v>
      </c>
      <c r="L486" s="1129"/>
      <c r="M486" s="313">
        <f t="shared" si="92"/>
        <v>1</v>
      </c>
      <c r="N486" s="1129"/>
      <c r="O486" s="313">
        <f t="shared" si="93"/>
        <v>1</v>
      </c>
      <c r="P486" s="1129"/>
      <c r="Q486" s="313">
        <f t="shared" si="94"/>
        <v>0</v>
      </c>
      <c r="R486" s="1125">
        <f t="shared" si="95"/>
        <v>0</v>
      </c>
      <c r="S486" s="698">
        <f t="shared" si="86"/>
        <v>0</v>
      </c>
    </row>
    <row r="487" spans="1:19">
      <c r="A487" s="491"/>
      <c r="B487" s="348"/>
      <c r="C487" s="313">
        <f t="shared" si="87"/>
        <v>1</v>
      </c>
      <c r="D487" s="1129"/>
      <c r="E487" s="313">
        <f t="shared" si="88"/>
        <v>1</v>
      </c>
      <c r="F487" s="1129"/>
      <c r="G487" s="313">
        <f t="shared" si="89"/>
        <v>0.02</v>
      </c>
      <c r="H487" s="1129"/>
      <c r="I487" s="313">
        <f t="shared" si="90"/>
        <v>1</v>
      </c>
      <c r="J487" s="1129"/>
      <c r="K487" s="313">
        <f t="shared" si="91"/>
        <v>1</v>
      </c>
      <c r="L487" s="1129"/>
      <c r="M487" s="313">
        <f t="shared" si="92"/>
        <v>1</v>
      </c>
      <c r="N487" s="1129"/>
      <c r="O487" s="313">
        <f t="shared" si="93"/>
        <v>1</v>
      </c>
      <c r="P487" s="1129"/>
      <c r="Q487" s="313">
        <f t="shared" si="94"/>
        <v>0</v>
      </c>
      <c r="R487" s="1125">
        <f t="shared" si="95"/>
        <v>0</v>
      </c>
      <c r="S487" s="698">
        <f t="shared" si="86"/>
        <v>0</v>
      </c>
    </row>
    <row r="488" spans="1:19">
      <c r="A488" s="491"/>
      <c r="B488" s="348"/>
      <c r="C488" s="313">
        <f t="shared" si="87"/>
        <v>1</v>
      </c>
      <c r="D488" s="1129"/>
      <c r="E488" s="313">
        <f t="shared" si="88"/>
        <v>1</v>
      </c>
      <c r="F488" s="1129"/>
      <c r="G488" s="313">
        <f t="shared" si="89"/>
        <v>0.02</v>
      </c>
      <c r="H488" s="1129"/>
      <c r="I488" s="313">
        <f t="shared" si="90"/>
        <v>1</v>
      </c>
      <c r="J488" s="1129"/>
      <c r="K488" s="313">
        <f t="shared" si="91"/>
        <v>1</v>
      </c>
      <c r="L488" s="1129"/>
      <c r="M488" s="313">
        <f t="shared" si="92"/>
        <v>1</v>
      </c>
      <c r="N488" s="1129"/>
      <c r="O488" s="313">
        <f t="shared" si="93"/>
        <v>1</v>
      </c>
      <c r="P488" s="1129"/>
      <c r="Q488" s="313">
        <f t="shared" si="94"/>
        <v>0</v>
      </c>
      <c r="R488" s="1125">
        <f t="shared" si="95"/>
        <v>0</v>
      </c>
      <c r="S488" s="698">
        <f t="shared" si="86"/>
        <v>0</v>
      </c>
    </row>
    <row r="489" spans="1:19">
      <c r="A489" s="491"/>
      <c r="B489" s="348"/>
      <c r="C489" s="313">
        <f t="shared" si="87"/>
        <v>1</v>
      </c>
      <c r="D489" s="1129"/>
      <c r="E489" s="313">
        <f t="shared" si="88"/>
        <v>1</v>
      </c>
      <c r="F489" s="1129"/>
      <c r="G489" s="313">
        <f t="shared" si="89"/>
        <v>0.02</v>
      </c>
      <c r="H489" s="1129"/>
      <c r="I489" s="313">
        <f t="shared" si="90"/>
        <v>1</v>
      </c>
      <c r="J489" s="1129"/>
      <c r="K489" s="313">
        <f t="shared" si="91"/>
        <v>1</v>
      </c>
      <c r="L489" s="1129"/>
      <c r="M489" s="313">
        <f t="shared" si="92"/>
        <v>1</v>
      </c>
      <c r="N489" s="1129"/>
      <c r="O489" s="313">
        <f t="shared" si="93"/>
        <v>1</v>
      </c>
      <c r="P489" s="1129"/>
      <c r="Q489" s="313">
        <f t="shared" si="94"/>
        <v>0</v>
      </c>
      <c r="R489" s="1125">
        <f t="shared" si="95"/>
        <v>0</v>
      </c>
      <c r="S489" s="698">
        <f t="shared" si="86"/>
        <v>0</v>
      </c>
    </row>
    <row r="490" spans="1:19">
      <c r="A490" s="491"/>
      <c r="B490" s="348"/>
      <c r="C490" s="313">
        <f t="shared" si="87"/>
        <v>1</v>
      </c>
      <c r="D490" s="1129"/>
      <c r="E490" s="313">
        <f t="shared" si="88"/>
        <v>1</v>
      </c>
      <c r="F490" s="1129"/>
      <c r="G490" s="313">
        <f t="shared" si="89"/>
        <v>0.02</v>
      </c>
      <c r="H490" s="1129"/>
      <c r="I490" s="313">
        <f t="shared" si="90"/>
        <v>1</v>
      </c>
      <c r="J490" s="1129"/>
      <c r="K490" s="313">
        <f t="shared" si="91"/>
        <v>1</v>
      </c>
      <c r="L490" s="1129"/>
      <c r="M490" s="313">
        <f t="shared" si="92"/>
        <v>1</v>
      </c>
      <c r="N490" s="1129"/>
      <c r="O490" s="313">
        <f t="shared" si="93"/>
        <v>1</v>
      </c>
      <c r="P490" s="1129"/>
      <c r="Q490" s="313">
        <f t="shared" si="94"/>
        <v>0</v>
      </c>
      <c r="R490" s="1125">
        <f t="shared" si="95"/>
        <v>0</v>
      </c>
      <c r="S490" s="698">
        <f t="shared" si="86"/>
        <v>0</v>
      </c>
    </row>
    <row r="491" spans="1:19">
      <c r="A491" s="491"/>
      <c r="B491" s="348"/>
      <c r="C491" s="313">
        <f t="shared" si="87"/>
        <v>1</v>
      </c>
      <c r="D491" s="1129"/>
      <c r="E491" s="313">
        <f t="shared" si="88"/>
        <v>1</v>
      </c>
      <c r="F491" s="1129"/>
      <c r="G491" s="313">
        <f t="shared" si="89"/>
        <v>0.02</v>
      </c>
      <c r="H491" s="1129"/>
      <c r="I491" s="313">
        <f t="shared" si="90"/>
        <v>1</v>
      </c>
      <c r="J491" s="1129"/>
      <c r="K491" s="313">
        <f t="shared" si="91"/>
        <v>1</v>
      </c>
      <c r="L491" s="1129"/>
      <c r="M491" s="313">
        <f t="shared" si="92"/>
        <v>1</v>
      </c>
      <c r="N491" s="1129"/>
      <c r="O491" s="313">
        <f t="shared" si="93"/>
        <v>1</v>
      </c>
      <c r="P491" s="1129"/>
      <c r="Q491" s="313">
        <f t="shared" si="94"/>
        <v>0</v>
      </c>
      <c r="R491" s="1125">
        <f t="shared" si="95"/>
        <v>0</v>
      </c>
      <c r="S491" s="698">
        <f t="shared" si="86"/>
        <v>0</v>
      </c>
    </row>
    <row r="492" spans="1:19">
      <c r="A492" s="491"/>
      <c r="B492" s="348"/>
      <c r="C492" s="313">
        <f t="shared" si="87"/>
        <v>1</v>
      </c>
      <c r="D492" s="1129"/>
      <c r="E492" s="313">
        <f t="shared" si="88"/>
        <v>1</v>
      </c>
      <c r="F492" s="1129"/>
      <c r="G492" s="313">
        <f t="shared" si="89"/>
        <v>0.02</v>
      </c>
      <c r="H492" s="1129"/>
      <c r="I492" s="313">
        <f t="shared" si="90"/>
        <v>1</v>
      </c>
      <c r="J492" s="1129"/>
      <c r="K492" s="313">
        <f t="shared" si="91"/>
        <v>1</v>
      </c>
      <c r="L492" s="1129"/>
      <c r="M492" s="313">
        <f t="shared" si="92"/>
        <v>1</v>
      </c>
      <c r="N492" s="1129"/>
      <c r="O492" s="313">
        <f t="shared" si="93"/>
        <v>1</v>
      </c>
      <c r="P492" s="1129"/>
      <c r="Q492" s="313">
        <f t="shared" si="94"/>
        <v>0</v>
      </c>
      <c r="R492" s="1125">
        <f t="shared" si="95"/>
        <v>0</v>
      </c>
      <c r="S492" s="698">
        <f t="shared" si="86"/>
        <v>0</v>
      </c>
    </row>
    <row r="493" spans="1:19">
      <c r="A493" s="491"/>
      <c r="B493" s="348"/>
      <c r="C493" s="313">
        <f t="shared" si="87"/>
        <v>1</v>
      </c>
      <c r="D493" s="1129"/>
      <c r="E493" s="313">
        <f t="shared" si="88"/>
        <v>1</v>
      </c>
      <c r="F493" s="1129"/>
      <c r="G493" s="313">
        <f t="shared" si="89"/>
        <v>0.02</v>
      </c>
      <c r="H493" s="1129"/>
      <c r="I493" s="313">
        <f t="shared" si="90"/>
        <v>1</v>
      </c>
      <c r="J493" s="1129"/>
      <c r="K493" s="313">
        <f t="shared" si="91"/>
        <v>1</v>
      </c>
      <c r="L493" s="1129"/>
      <c r="M493" s="313">
        <f t="shared" si="92"/>
        <v>1</v>
      </c>
      <c r="N493" s="1129"/>
      <c r="O493" s="313">
        <f t="shared" si="93"/>
        <v>1</v>
      </c>
      <c r="P493" s="1129"/>
      <c r="Q493" s="313">
        <f t="shared" si="94"/>
        <v>0</v>
      </c>
      <c r="R493" s="1125">
        <f t="shared" si="95"/>
        <v>0</v>
      </c>
      <c r="S493" s="698">
        <f t="shared" si="86"/>
        <v>0</v>
      </c>
    </row>
    <row r="494" spans="1:19">
      <c r="A494" s="491"/>
      <c r="B494" s="348"/>
      <c r="C494" s="313">
        <f t="shared" si="87"/>
        <v>1</v>
      </c>
      <c r="D494" s="1129"/>
      <c r="E494" s="313">
        <f t="shared" si="88"/>
        <v>1</v>
      </c>
      <c r="F494" s="1129"/>
      <c r="G494" s="313">
        <f t="shared" si="89"/>
        <v>0.02</v>
      </c>
      <c r="H494" s="1129"/>
      <c r="I494" s="313">
        <f t="shared" si="90"/>
        <v>1</v>
      </c>
      <c r="J494" s="1129"/>
      <c r="K494" s="313">
        <f t="shared" si="91"/>
        <v>1</v>
      </c>
      <c r="L494" s="1129"/>
      <c r="M494" s="313">
        <f t="shared" si="92"/>
        <v>1</v>
      </c>
      <c r="N494" s="1129"/>
      <c r="O494" s="313">
        <f t="shared" si="93"/>
        <v>1</v>
      </c>
      <c r="P494" s="1129"/>
      <c r="Q494" s="313">
        <f t="shared" si="94"/>
        <v>0</v>
      </c>
      <c r="R494" s="1125">
        <f t="shared" si="95"/>
        <v>0</v>
      </c>
      <c r="S494" s="698">
        <f t="shared" si="86"/>
        <v>0</v>
      </c>
    </row>
    <row r="495" spans="1:19">
      <c r="A495" s="491"/>
      <c r="B495" s="348"/>
      <c r="C495" s="313">
        <f t="shared" si="87"/>
        <v>1</v>
      </c>
      <c r="D495" s="1129"/>
      <c r="E495" s="313">
        <f t="shared" si="88"/>
        <v>1</v>
      </c>
      <c r="F495" s="1129"/>
      <c r="G495" s="313">
        <f t="shared" si="89"/>
        <v>0.02</v>
      </c>
      <c r="H495" s="1129"/>
      <c r="I495" s="313">
        <f t="shared" si="90"/>
        <v>1</v>
      </c>
      <c r="J495" s="1129"/>
      <c r="K495" s="313">
        <f t="shared" si="91"/>
        <v>1</v>
      </c>
      <c r="L495" s="1129"/>
      <c r="M495" s="313">
        <f t="shared" si="92"/>
        <v>1</v>
      </c>
      <c r="N495" s="1129"/>
      <c r="O495" s="313">
        <f t="shared" si="93"/>
        <v>1</v>
      </c>
      <c r="P495" s="1129"/>
      <c r="Q495" s="313">
        <f t="shared" si="94"/>
        <v>0</v>
      </c>
      <c r="R495" s="1125">
        <f t="shared" si="95"/>
        <v>0</v>
      </c>
      <c r="S495" s="698">
        <f t="shared" si="86"/>
        <v>0</v>
      </c>
    </row>
    <row r="496" spans="1:19">
      <c r="A496" s="491"/>
      <c r="B496" s="348"/>
      <c r="C496" s="313">
        <f t="shared" si="87"/>
        <v>1</v>
      </c>
      <c r="D496" s="1129"/>
      <c r="E496" s="313">
        <f t="shared" si="88"/>
        <v>1</v>
      </c>
      <c r="F496" s="1129"/>
      <c r="G496" s="313">
        <f t="shared" si="89"/>
        <v>0.02</v>
      </c>
      <c r="H496" s="1129"/>
      <c r="I496" s="313">
        <f t="shared" si="90"/>
        <v>1</v>
      </c>
      <c r="J496" s="1129"/>
      <c r="K496" s="313">
        <f t="shared" si="91"/>
        <v>1</v>
      </c>
      <c r="L496" s="1129"/>
      <c r="M496" s="313">
        <f t="shared" si="92"/>
        <v>1</v>
      </c>
      <c r="N496" s="1129"/>
      <c r="O496" s="313">
        <f t="shared" si="93"/>
        <v>1</v>
      </c>
      <c r="P496" s="1129"/>
      <c r="Q496" s="313">
        <f t="shared" si="94"/>
        <v>0</v>
      </c>
      <c r="R496" s="1125">
        <f t="shared" si="95"/>
        <v>0</v>
      </c>
      <c r="S496" s="698">
        <f t="shared" si="86"/>
        <v>0</v>
      </c>
    </row>
    <row r="497" spans="1:19">
      <c r="A497" s="491"/>
      <c r="B497" s="348"/>
      <c r="C497" s="313">
        <f t="shared" si="87"/>
        <v>1</v>
      </c>
      <c r="D497" s="1129"/>
      <c r="E497" s="313">
        <f t="shared" si="88"/>
        <v>1</v>
      </c>
      <c r="F497" s="1129"/>
      <c r="G497" s="313">
        <f t="shared" si="89"/>
        <v>0.02</v>
      </c>
      <c r="H497" s="1129"/>
      <c r="I497" s="313">
        <f t="shared" si="90"/>
        <v>1</v>
      </c>
      <c r="J497" s="1129"/>
      <c r="K497" s="313">
        <f t="shared" si="91"/>
        <v>1</v>
      </c>
      <c r="L497" s="1129"/>
      <c r="M497" s="313">
        <f t="shared" si="92"/>
        <v>1</v>
      </c>
      <c r="N497" s="1129"/>
      <c r="O497" s="313">
        <f t="shared" si="93"/>
        <v>1</v>
      </c>
      <c r="P497" s="1129"/>
      <c r="Q497" s="313">
        <f t="shared" si="94"/>
        <v>0</v>
      </c>
      <c r="R497" s="1125">
        <f t="shared" si="95"/>
        <v>0</v>
      </c>
      <c r="S497" s="698">
        <f t="shared" si="86"/>
        <v>0</v>
      </c>
    </row>
    <row r="498" spans="1:19">
      <c r="A498" s="491"/>
      <c r="B498" s="348"/>
      <c r="C498" s="313">
        <f t="shared" si="87"/>
        <v>1</v>
      </c>
      <c r="D498" s="1129"/>
      <c r="E498" s="313">
        <f t="shared" si="88"/>
        <v>1</v>
      </c>
      <c r="F498" s="1129"/>
      <c r="G498" s="313">
        <f t="shared" si="89"/>
        <v>0.02</v>
      </c>
      <c r="H498" s="1129"/>
      <c r="I498" s="313">
        <f t="shared" si="90"/>
        <v>1</v>
      </c>
      <c r="J498" s="1129"/>
      <c r="K498" s="313">
        <f t="shared" si="91"/>
        <v>1</v>
      </c>
      <c r="L498" s="1129"/>
      <c r="M498" s="313">
        <f t="shared" si="92"/>
        <v>1</v>
      </c>
      <c r="N498" s="1129"/>
      <c r="O498" s="313">
        <f t="shared" si="93"/>
        <v>1</v>
      </c>
      <c r="P498" s="1129"/>
      <c r="Q498" s="313">
        <f t="shared" si="94"/>
        <v>0</v>
      </c>
      <c r="R498" s="1125">
        <f t="shared" si="95"/>
        <v>0</v>
      </c>
      <c r="S498" s="698">
        <f t="shared" ref="S498:S524" si="96">ROUND(R498*B498/10000,0)</f>
        <v>0</v>
      </c>
    </row>
    <row r="499" spans="1:19">
      <c r="A499" s="491"/>
      <c r="B499" s="348"/>
      <c r="C499" s="313">
        <f t="shared" si="87"/>
        <v>1</v>
      </c>
      <c r="D499" s="1129"/>
      <c r="E499" s="313">
        <f t="shared" si="88"/>
        <v>1</v>
      </c>
      <c r="F499" s="1129"/>
      <c r="G499" s="313">
        <f t="shared" si="89"/>
        <v>0.02</v>
      </c>
      <c r="H499" s="1129"/>
      <c r="I499" s="313">
        <f t="shared" si="90"/>
        <v>1</v>
      </c>
      <c r="J499" s="1129"/>
      <c r="K499" s="313">
        <f t="shared" si="91"/>
        <v>1</v>
      </c>
      <c r="L499" s="1129"/>
      <c r="M499" s="313">
        <f t="shared" si="92"/>
        <v>1</v>
      </c>
      <c r="N499" s="1129"/>
      <c r="O499" s="313">
        <f t="shared" si="93"/>
        <v>1</v>
      </c>
      <c r="P499" s="1129"/>
      <c r="Q499" s="313">
        <f t="shared" si="94"/>
        <v>0</v>
      </c>
      <c r="R499" s="1125">
        <f t="shared" si="95"/>
        <v>0</v>
      </c>
      <c r="S499" s="698">
        <f t="shared" si="96"/>
        <v>0</v>
      </c>
    </row>
    <row r="500" spans="1:19">
      <c r="A500" s="491"/>
      <c r="B500" s="348"/>
      <c r="C500" s="313">
        <f t="shared" si="87"/>
        <v>1</v>
      </c>
      <c r="D500" s="1129"/>
      <c r="E500" s="313">
        <f t="shared" si="88"/>
        <v>1</v>
      </c>
      <c r="F500" s="1129"/>
      <c r="G500" s="313">
        <f t="shared" si="89"/>
        <v>0.02</v>
      </c>
      <c r="H500" s="1129"/>
      <c r="I500" s="313">
        <f t="shared" si="90"/>
        <v>1</v>
      </c>
      <c r="J500" s="1129"/>
      <c r="K500" s="313">
        <f t="shared" si="91"/>
        <v>1</v>
      </c>
      <c r="L500" s="1129"/>
      <c r="M500" s="313">
        <f t="shared" si="92"/>
        <v>1</v>
      </c>
      <c r="N500" s="1129"/>
      <c r="O500" s="313">
        <f t="shared" si="93"/>
        <v>1</v>
      </c>
      <c r="P500" s="1129"/>
      <c r="Q500" s="313">
        <f t="shared" si="94"/>
        <v>0</v>
      </c>
      <c r="R500" s="1125">
        <f t="shared" si="95"/>
        <v>0</v>
      </c>
      <c r="S500" s="698">
        <f t="shared" si="96"/>
        <v>0</v>
      </c>
    </row>
    <row r="501" spans="1:19">
      <c r="A501" s="491"/>
      <c r="B501" s="348"/>
      <c r="C501" s="313">
        <f t="shared" si="87"/>
        <v>1</v>
      </c>
      <c r="D501" s="1129"/>
      <c r="E501" s="313">
        <f t="shared" si="88"/>
        <v>1</v>
      </c>
      <c r="F501" s="1129"/>
      <c r="G501" s="313">
        <f t="shared" si="89"/>
        <v>0.02</v>
      </c>
      <c r="H501" s="1129"/>
      <c r="I501" s="313">
        <f t="shared" si="90"/>
        <v>1</v>
      </c>
      <c r="J501" s="1129"/>
      <c r="K501" s="313">
        <f t="shared" si="91"/>
        <v>1</v>
      </c>
      <c r="L501" s="1129"/>
      <c r="M501" s="313">
        <f t="shared" si="92"/>
        <v>1</v>
      </c>
      <c r="N501" s="1129"/>
      <c r="O501" s="313">
        <f t="shared" si="93"/>
        <v>1</v>
      </c>
      <c r="P501" s="1129"/>
      <c r="Q501" s="313">
        <f t="shared" si="94"/>
        <v>0</v>
      </c>
      <c r="R501" s="1125">
        <f t="shared" si="95"/>
        <v>0</v>
      </c>
      <c r="S501" s="698">
        <f t="shared" si="96"/>
        <v>0</v>
      </c>
    </row>
    <row r="502" spans="1:19">
      <c r="A502" s="491"/>
      <c r="B502" s="348"/>
      <c r="C502" s="313">
        <f t="shared" si="87"/>
        <v>1</v>
      </c>
      <c r="D502" s="1129"/>
      <c r="E502" s="313">
        <f t="shared" si="88"/>
        <v>1</v>
      </c>
      <c r="F502" s="1129"/>
      <c r="G502" s="313">
        <f t="shared" si="89"/>
        <v>0.02</v>
      </c>
      <c r="H502" s="1129"/>
      <c r="I502" s="313">
        <f t="shared" si="90"/>
        <v>1</v>
      </c>
      <c r="J502" s="1129"/>
      <c r="K502" s="313">
        <f t="shared" si="91"/>
        <v>1</v>
      </c>
      <c r="L502" s="1129"/>
      <c r="M502" s="313">
        <f t="shared" si="92"/>
        <v>1</v>
      </c>
      <c r="N502" s="1129"/>
      <c r="O502" s="313">
        <f t="shared" si="93"/>
        <v>1</v>
      </c>
      <c r="P502" s="1129"/>
      <c r="Q502" s="313">
        <f t="shared" si="94"/>
        <v>0</v>
      </c>
      <c r="R502" s="1125">
        <f t="shared" si="95"/>
        <v>0</v>
      </c>
      <c r="S502" s="698">
        <f t="shared" si="96"/>
        <v>0</v>
      </c>
    </row>
    <row r="503" spans="1:19">
      <c r="A503" s="491"/>
      <c r="B503" s="348"/>
      <c r="C503" s="313">
        <f t="shared" si="87"/>
        <v>1</v>
      </c>
      <c r="D503" s="1129"/>
      <c r="E503" s="313">
        <f t="shared" si="88"/>
        <v>1</v>
      </c>
      <c r="F503" s="1129"/>
      <c r="G503" s="313">
        <f t="shared" si="89"/>
        <v>0.02</v>
      </c>
      <c r="H503" s="1129"/>
      <c r="I503" s="313">
        <f t="shared" si="90"/>
        <v>1</v>
      </c>
      <c r="J503" s="1129"/>
      <c r="K503" s="313">
        <f t="shared" si="91"/>
        <v>1</v>
      </c>
      <c r="L503" s="1129"/>
      <c r="M503" s="313">
        <f t="shared" si="92"/>
        <v>1</v>
      </c>
      <c r="N503" s="1129"/>
      <c r="O503" s="313">
        <f t="shared" si="93"/>
        <v>1</v>
      </c>
      <c r="P503" s="1129"/>
      <c r="Q503" s="313">
        <f t="shared" si="94"/>
        <v>0</v>
      </c>
      <c r="R503" s="1125">
        <f t="shared" si="95"/>
        <v>0</v>
      </c>
      <c r="S503" s="698">
        <f t="shared" si="96"/>
        <v>0</v>
      </c>
    </row>
    <row r="504" spans="1:19">
      <c r="A504" s="491"/>
      <c r="B504" s="348"/>
      <c r="C504" s="313">
        <f t="shared" si="87"/>
        <v>1</v>
      </c>
      <c r="D504" s="1129"/>
      <c r="E504" s="313">
        <f t="shared" si="88"/>
        <v>1</v>
      </c>
      <c r="F504" s="1129"/>
      <c r="G504" s="313">
        <f t="shared" si="89"/>
        <v>0.02</v>
      </c>
      <c r="H504" s="1129"/>
      <c r="I504" s="313">
        <f t="shared" si="90"/>
        <v>1</v>
      </c>
      <c r="J504" s="1129"/>
      <c r="K504" s="313">
        <f t="shared" si="91"/>
        <v>1</v>
      </c>
      <c r="L504" s="1129"/>
      <c r="M504" s="313">
        <f t="shared" si="92"/>
        <v>1</v>
      </c>
      <c r="N504" s="1129"/>
      <c r="O504" s="313">
        <f t="shared" si="93"/>
        <v>1</v>
      </c>
      <c r="P504" s="1129"/>
      <c r="Q504" s="313">
        <f t="shared" si="94"/>
        <v>0</v>
      </c>
      <c r="R504" s="1125">
        <f t="shared" si="95"/>
        <v>0</v>
      </c>
      <c r="S504" s="698">
        <f t="shared" si="96"/>
        <v>0</v>
      </c>
    </row>
    <row r="505" spans="1:19">
      <c r="A505" s="491"/>
      <c r="B505" s="348"/>
      <c r="C505" s="313">
        <f t="shared" si="87"/>
        <v>1</v>
      </c>
      <c r="D505" s="1129"/>
      <c r="E505" s="313">
        <f t="shared" si="88"/>
        <v>1</v>
      </c>
      <c r="F505" s="1129"/>
      <c r="G505" s="313">
        <f t="shared" si="89"/>
        <v>0.02</v>
      </c>
      <c r="H505" s="1129"/>
      <c r="I505" s="313">
        <f t="shared" si="90"/>
        <v>1</v>
      </c>
      <c r="J505" s="1129"/>
      <c r="K505" s="313">
        <f t="shared" si="91"/>
        <v>1</v>
      </c>
      <c r="L505" s="1129"/>
      <c r="M505" s="313">
        <f t="shared" si="92"/>
        <v>1</v>
      </c>
      <c r="N505" s="1129"/>
      <c r="O505" s="313">
        <f t="shared" si="93"/>
        <v>1</v>
      </c>
      <c r="P505" s="1129"/>
      <c r="Q505" s="313">
        <f t="shared" si="94"/>
        <v>0</v>
      </c>
      <c r="R505" s="1125">
        <f t="shared" si="95"/>
        <v>0</v>
      </c>
      <c r="S505" s="698">
        <f t="shared" si="96"/>
        <v>0</v>
      </c>
    </row>
    <row r="506" spans="1:19">
      <c r="A506" s="491"/>
      <c r="B506" s="348"/>
      <c r="C506" s="313">
        <f t="shared" si="87"/>
        <v>1</v>
      </c>
      <c r="D506" s="1129"/>
      <c r="E506" s="313">
        <f t="shared" si="88"/>
        <v>1</v>
      </c>
      <c r="F506" s="1129"/>
      <c r="G506" s="313">
        <f t="shared" si="89"/>
        <v>0.02</v>
      </c>
      <c r="H506" s="1129"/>
      <c r="I506" s="313">
        <f t="shared" si="90"/>
        <v>1</v>
      </c>
      <c r="J506" s="1129"/>
      <c r="K506" s="313">
        <f t="shared" si="91"/>
        <v>1</v>
      </c>
      <c r="L506" s="1129"/>
      <c r="M506" s="313">
        <f t="shared" si="92"/>
        <v>1</v>
      </c>
      <c r="N506" s="1129"/>
      <c r="O506" s="313">
        <f t="shared" si="93"/>
        <v>1</v>
      </c>
      <c r="P506" s="1129"/>
      <c r="Q506" s="313">
        <f t="shared" si="94"/>
        <v>0</v>
      </c>
      <c r="R506" s="1125">
        <f t="shared" si="95"/>
        <v>0</v>
      </c>
      <c r="S506" s="698">
        <f t="shared" si="96"/>
        <v>0</v>
      </c>
    </row>
    <row r="507" spans="1:19">
      <c r="A507" s="491"/>
      <c r="B507" s="348"/>
      <c r="C507" s="313">
        <f t="shared" si="87"/>
        <v>1</v>
      </c>
      <c r="D507" s="1129"/>
      <c r="E507" s="313">
        <f t="shared" si="88"/>
        <v>1</v>
      </c>
      <c r="F507" s="1129"/>
      <c r="G507" s="313">
        <f t="shared" si="89"/>
        <v>0.02</v>
      </c>
      <c r="H507" s="1129"/>
      <c r="I507" s="313">
        <f t="shared" si="90"/>
        <v>1</v>
      </c>
      <c r="J507" s="1129"/>
      <c r="K507" s="313">
        <f t="shared" si="91"/>
        <v>1</v>
      </c>
      <c r="L507" s="1129"/>
      <c r="M507" s="313">
        <f t="shared" si="92"/>
        <v>1</v>
      </c>
      <c r="N507" s="1129"/>
      <c r="O507" s="313">
        <f t="shared" si="93"/>
        <v>1</v>
      </c>
      <c r="P507" s="1129"/>
      <c r="Q507" s="313">
        <f t="shared" si="94"/>
        <v>0</v>
      </c>
      <c r="R507" s="1125">
        <f t="shared" si="95"/>
        <v>0</v>
      </c>
      <c r="S507" s="698">
        <f t="shared" si="96"/>
        <v>0</v>
      </c>
    </row>
    <row r="508" spans="1:19">
      <c r="A508" s="491"/>
      <c r="B508" s="348"/>
      <c r="C508" s="313">
        <f t="shared" si="87"/>
        <v>1</v>
      </c>
      <c r="D508" s="1129"/>
      <c r="E508" s="313">
        <f t="shared" si="88"/>
        <v>1</v>
      </c>
      <c r="F508" s="1129"/>
      <c r="G508" s="313">
        <f t="shared" si="89"/>
        <v>0.02</v>
      </c>
      <c r="H508" s="1129"/>
      <c r="I508" s="313">
        <f t="shared" si="90"/>
        <v>1</v>
      </c>
      <c r="J508" s="1129"/>
      <c r="K508" s="313">
        <f t="shared" si="91"/>
        <v>1</v>
      </c>
      <c r="L508" s="1129"/>
      <c r="M508" s="313">
        <f t="shared" si="92"/>
        <v>1</v>
      </c>
      <c r="N508" s="1129"/>
      <c r="O508" s="313">
        <f t="shared" si="93"/>
        <v>1</v>
      </c>
      <c r="P508" s="1129"/>
      <c r="Q508" s="313">
        <f t="shared" si="94"/>
        <v>0</v>
      </c>
      <c r="R508" s="1125">
        <f t="shared" si="95"/>
        <v>0</v>
      </c>
      <c r="S508" s="698">
        <f t="shared" si="96"/>
        <v>0</v>
      </c>
    </row>
    <row r="509" spans="1:19">
      <c r="A509" s="491"/>
      <c r="B509" s="348"/>
      <c r="C509" s="313">
        <f t="shared" si="87"/>
        <v>1</v>
      </c>
      <c r="D509" s="1129"/>
      <c r="E509" s="313">
        <f t="shared" si="88"/>
        <v>1</v>
      </c>
      <c r="F509" s="1129"/>
      <c r="G509" s="313">
        <f t="shared" si="89"/>
        <v>0.02</v>
      </c>
      <c r="H509" s="1129"/>
      <c r="I509" s="313">
        <f t="shared" si="90"/>
        <v>1</v>
      </c>
      <c r="J509" s="1129"/>
      <c r="K509" s="313">
        <f t="shared" si="91"/>
        <v>1</v>
      </c>
      <c r="L509" s="1129"/>
      <c r="M509" s="313">
        <f t="shared" si="92"/>
        <v>1</v>
      </c>
      <c r="N509" s="1129"/>
      <c r="O509" s="313">
        <f t="shared" si="93"/>
        <v>1</v>
      </c>
      <c r="P509" s="1129"/>
      <c r="Q509" s="313">
        <f t="shared" si="94"/>
        <v>0</v>
      </c>
      <c r="R509" s="1125">
        <f t="shared" si="95"/>
        <v>0</v>
      </c>
      <c r="S509" s="698">
        <f t="shared" si="96"/>
        <v>0</v>
      </c>
    </row>
    <row r="510" spans="1:19">
      <c r="A510" s="491"/>
      <c r="B510" s="348"/>
      <c r="C510" s="313">
        <f t="shared" si="87"/>
        <v>1</v>
      </c>
      <c r="D510" s="1129"/>
      <c r="E510" s="313">
        <f t="shared" si="88"/>
        <v>1</v>
      </c>
      <c r="F510" s="1129"/>
      <c r="G510" s="313">
        <f t="shared" si="89"/>
        <v>0.02</v>
      </c>
      <c r="H510" s="1129"/>
      <c r="I510" s="313">
        <f t="shared" si="90"/>
        <v>1</v>
      </c>
      <c r="J510" s="1129"/>
      <c r="K510" s="313">
        <f t="shared" si="91"/>
        <v>1</v>
      </c>
      <c r="L510" s="1129"/>
      <c r="M510" s="313">
        <f t="shared" si="92"/>
        <v>1</v>
      </c>
      <c r="N510" s="1129"/>
      <c r="O510" s="313">
        <f t="shared" si="93"/>
        <v>1</v>
      </c>
      <c r="P510" s="1129"/>
      <c r="Q510" s="313">
        <f t="shared" si="94"/>
        <v>0</v>
      </c>
      <c r="R510" s="1125">
        <f t="shared" si="95"/>
        <v>0</v>
      </c>
      <c r="S510" s="698">
        <f t="shared" si="96"/>
        <v>0</v>
      </c>
    </row>
    <row r="511" spans="1:19">
      <c r="A511" s="491"/>
      <c r="B511" s="348"/>
      <c r="C511" s="313">
        <f t="shared" si="87"/>
        <v>1</v>
      </c>
      <c r="D511" s="1129"/>
      <c r="E511" s="313">
        <f t="shared" si="88"/>
        <v>1</v>
      </c>
      <c r="F511" s="1129"/>
      <c r="G511" s="313">
        <f t="shared" si="89"/>
        <v>0.02</v>
      </c>
      <c r="H511" s="1129"/>
      <c r="I511" s="313">
        <f t="shared" si="90"/>
        <v>1</v>
      </c>
      <c r="J511" s="1129"/>
      <c r="K511" s="313">
        <f t="shared" si="91"/>
        <v>1</v>
      </c>
      <c r="L511" s="1129"/>
      <c r="M511" s="313">
        <f t="shared" si="92"/>
        <v>1</v>
      </c>
      <c r="N511" s="1129"/>
      <c r="O511" s="313">
        <f t="shared" si="93"/>
        <v>1</v>
      </c>
      <c r="P511" s="1129"/>
      <c r="Q511" s="313">
        <f t="shared" si="94"/>
        <v>0</v>
      </c>
      <c r="R511" s="1125">
        <f t="shared" si="95"/>
        <v>0</v>
      </c>
      <c r="S511" s="698">
        <f t="shared" si="96"/>
        <v>0</v>
      </c>
    </row>
    <row r="512" spans="1:19">
      <c r="A512" s="491"/>
      <c r="B512" s="348"/>
      <c r="C512" s="313">
        <f t="shared" si="87"/>
        <v>1</v>
      </c>
      <c r="D512" s="1129"/>
      <c r="E512" s="313">
        <f t="shared" si="88"/>
        <v>1</v>
      </c>
      <c r="F512" s="1129"/>
      <c r="G512" s="313">
        <f t="shared" si="89"/>
        <v>0.02</v>
      </c>
      <c r="H512" s="1129"/>
      <c r="I512" s="313">
        <f t="shared" si="90"/>
        <v>1</v>
      </c>
      <c r="J512" s="1129"/>
      <c r="K512" s="313">
        <f t="shared" si="91"/>
        <v>1</v>
      </c>
      <c r="L512" s="1129"/>
      <c r="M512" s="313">
        <f t="shared" si="92"/>
        <v>1</v>
      </c>
      <c r="N512" s="1129"/>
      <c r="O512" s="313">
        <f t="shared" si="93"/>
        <v>1</v>
      </c>
      <c r="P512" s="1129"/>
      <c r="Q512" s="313">
        <f t="shared" si="94"/>
        <v>0</v>
      </c>
      <c r="R512" s="1125">
        <f t="shared" si="95"/>
        <v>0</v>
      </c>
      <c r="S512" s="698">
        <f t="shared" si="96"/>
        <v>0</v>
      </c>
    </row>
    <row r="513" spans="1:19">
      <c r="A513" s="491"/>
      <c r="B513" s="348"/>
      <c r="C513" s="313">
        <f t="shared" si="87"/>
        <v>1</v>
      </c>
      <c r="D513" s="1129"/>
      <c r="E513" s="313">
        <f t="shared" si="88"/>
        <v>1</v>
      </c>
      <c r="F513" s="1129"/>
      <c r="G513" s="313">
        <f t="shared" si="89"/>
        <v>0.02</v>
      </c>
      <c r="H513" s="1129"/>
      <c r="I513" s="313">
        <f t="shared" si="90"/>
        <v>1</v>
      </c>
      <c r="J513" s="1129"/>
      <c r="K513" s="313">
        <f t="shared" si="91"/>
        <v>1</v>
      </c>
      <c r="L513" s="1129"/>
      <c r="M513" s="313">
        <f t="shared" si="92"/>
        <v>1</v>
      </c>
      <c r="N513" s="1129"/>
      <c r="O513" s="313">
        <f t="shared" si="93"/>
        <v>1</v>
      </c>
      <c r="P513" s="1129"/>
      <c r="Q513" s="313">
        <f t="shared" si="94"/>
        <v>0</v>
      </c>
      <c r="R513" s="1125">
        <f t="shared" si="95"/>
        <v>0</v>
      </c>
      <c r="S513" s="698">
        <f t="shared" si="96"/>
        <v>0</v>
      </c>
    </row>
    <row r="514" spans="1:19">
      <c r="A514" s="491"/>
      <c r="B514" s="348"/>
      <c r="C514" s="313">
        <f t="shared" si="87"/>
        <v>1</v>
      </c>
      <c r="D514" s="1129"/>
      <c r="E514" s="313">
        <f t="shared" si="88"/>
        <v>1</v>
      </c>
      <c r="F514" s="1129"/>
      <c r="G514" s="313">
        <f t="shared" si="89"/>
        <v>0.02</v>
      </c>
      <c r="H514" s="1129"/>
      <c r="I514" s="313">
        <f t="shared" si="90"/>
        <v>1</v>
      </c>
      <c r="J514" s="1129"/>
      <c r="K514" s="313">
        <f t="shared" si="91"/>
        <v>1</v>
      </c>
      <c r="L514" s="1129"/>
      <c r="M514" s="313">
        <f t="shared" si="92"/>
        <v>1</v>
      </c>
      <c r="N514" s="1129"/>
      <c r="O514" s="313">
        <f t="shared" si="93"/>
        <v>1</v>
      </c>
      <c r="P514" s="1129"/>
      <c r="Q514" s="313">
        <f t="shared" si="94"/>
        <v>0</v>
      </c>
      <c r="R514" s="1125">
        <f t="shared" si="95"/>
        <v>0</v>
      </c>
      <c r="S514" s="698">
        <f t="shared" si="96"/>
        <v>0</v>
      </c>
    </row>
    <row r="515" spans="1:19">
      <c r="A515" s="491"/>
      <c r="B515" s="348"/>
      <c r="C515" s="313">
        <f t="shared" si="87"/>
        <v>1</v>
      </c>
      <c r="D515" s="1129"/>
      <c r="E515" s="313">
        <f t="shared" si="88"/>
        <v>1</v>
      </c>
      <c r="F515" s="1129"/>
      <c r="G515" s="313">
        <f t="shared" si="89"/>
        <v>0.02</v>
      </c>
      <c r="H515" s="1129"/>
      <c r="I515" s="313">
        <f t="shared" si="90"/>
        <v>1</v>
      </c>
      <c r="J515" s="1129"/>
      <c r="K515" s="313">
        <f t="shared" si="91"/>
        <v>1</v>
      </c>
      <c r="L515" s="1129"/>
      <c r="M515" s="313">
        <f t="shared" si="92"/>
        <v>1</v>
      </c>
      <c r="N515" s="1129"/>
      <c r="O515" s="313">
        <f t="shared" si="93"/>
        <v>1</v>
      </c>
      <c r="P515" s="1129"/>
      <c r="Q515" s="313">
        <f t="shared" si="94"/>
        <v>0</v>
      </c>
      <c r="R515" s="1125">
        <f t="shared" si="95"/>
        <v>0</v>
      </c>
      <c r="S515" s="698">
        <f t="shared" si="96"/>
        <v>0</v>
      </c>
    </row>
    <row r="516" spans="1:19">
      <c r="A516" s="491"/>
      <c r="B516" s="348"/>
      <c r="C516" s="313">
        <f t="shared" si="87"/>
        <v>1</v>
      </c>
      <c r="D516" s="1129"/>
      <c r="E516" s="313">
        <f t="shared" si="88"/>
        <v>1</v>
      </c>
      <c r="F516" s="1129"/>
      <c r="G516" s="313">
        <f t="shared" si="89"/>
        <v>0.02</v>
      </c>
      <c r="H516" s="1129"/>
      <c r="I516" s="313">
        <f t="shared" si="90"/>
        <v>1</v>
      </c>
      <c r="J516" s="1129"/>
      <c r="K516" s="313">
        <f t="shared" si="91"/>
        <v>1</v>
      </c>
      <c r="L516" s="1129"/>
      <c r="M516" s="313">
        <f t="shared" si="92"/>
        <v>1</v>
      </c>
      <c r="N516" s="1129"/>
      <c r="O516" s="313">
        <f t="shared" si="93"/>
        <v>1</v>
      </c>
      <c r="P516" s="1129"/>
      <c r="Q516" s="313">
        <f t="shared" si="94"/>
        <v>0</v>
      </c>
      <c r="R516" s="1125">
        <f t="shared" si="95"/>
        <v>0</v>
      </c>
      <c r="S516" s="698">
        <f t="shared" si="96"/>
        <v>0</v>
      </c>
    </row>
    <row r="517" spans="1:19">
      <c r="A517" s="491"/>
      <c r="B517" s="348"/>
      <c r="C517" s="313">
        <f t="shared" si="87"/>
        <v>1</v>
      </c>
      <c r="D517" s="1129"/>
      <c r="E517" s="313">
        <f t="shared" si="88"/>
        <v>1</v>
      </c>
      <c r="F517" s="1129"/>
      <c r="G517" s="313">
        <f t="shared" si="89"/>
        <v>0.02</v>
      </c>
      <c r="H517" s="1129"/>
      <c r="I517" s="313">
        <f t="shared" si="90"/>
        <v>1</v>
      </c>
      <c r="J517" s="1129"/>
      <c r="K517" s="313">
        <f t="shared" si="91"/>
        <v>1</v>
      </c>
      <c r="L517" s="1129"/>
      <c r="M517" s="313">
        <f t="shared" si="92"/>
        <v>1</v>
      </c>
      <c r="N517" s="1129"/>
      <c r="O517" s="313">
        <f t="shared" si="93"/>
        <v>1</v>
      </c>
      <c r="P517" s="1129"/>
      <c r="Q517" s="313">
        <f t="shared" si="94"/>
        <v>0</v>
      </c>
      <c r="R517" s="1125">
        <f t="shared" si="95"/>
        <v>0</v>
      </c>
      <c r="S517" s="698">
        <f t="shared" si="96"/>
        <v>0</v>
      </c>
    </row>
    <row r="518" spans="1:19">
      <c r="A518" s="491"/>
      <c r="B518" s="348"/>
      <c r="C518" s="313">
        <f t="shared" si="87"/>
        <v>1</v>
      </c>
      <c r="D518" s="1129"/>
      <c r="E518" s="313">
        <f t="shared" si="88"/>
        <v>1</v>
      </c>
      <c r="F518" s="1129"/>
      <c r="G518" s="313">
        <f t="shared" si="89"/>
        <v>0.02</v>
      </c>
      <c r="H518" s="1129"/>
      <c r="I518" s="313">
        <f t="shared" si="90"/>
        <v>1</v>
      </c>
      <c r="J518" s="1129"/>
      <c r="K518" s="313">
        <f t="shared" si="91"/>
        <v>1</v>
      </c>
      <c r="L518" s="1129"/>
      <c r="M518" s="313">
        <f t="shared" si="92"/>
        <v>1</v>
      </c>
      <c r="N518" s="1129"/>
      <c r="O518" s="313">
        <f t="shared" si="93"/>
        <v>1</v>
      </c>
      <c r="P518" s="1129"/>
      <c r="Q518" s="313">
        <f t="shared" si="94"/>
        <v>0</v>
      </c>
      <c r="R518" s="1125">
        <f t="shared" si="95"/>
        <v>0</v>
      </c>
      <c r="S518" s="698">
        <f t="shared" si="96"/>
        <v>0</v>
      </c>
    </row>
    <row r="519" spans="1:19">
      <c r="A519" s="491"/>
      <c r="B519" s="348"/>
      <c r="C519" s="313">
        <f t="shared" si="87"/>
        <v>1</v>
      </c>
      <c r="D519" s="1129"/>
      <c r="E519" s="313">
        <f t="shared" si="88"/>
        <v>1</v>
      </c>
      <c r="F519" s="1129"/>
      <c r="G519" s="313">
        <f t="shared" si="89"/>
        <v>0.02</v>
      </c>
      <c r="H519" s="1129"/>
      <c r="I519" s="313">
        <f t="shared" si="90"/>
        <v>1</v>
      </c>
      <c r="J519" s="1129"/>
      <c r="K519" s="313">
        <f t="shared" si="91"/>
        <v>1</v>
      </c>
      <c r="L519" s="1129"/>
      <c r="M519" s="313">
        <f t="shared" si="92"/>
        <v>1</v>
      </c>
      <c r="N519" s="1129"/>
      <c r="O519" s="313">
        <f t="shared" si="93"/>
        <v>1</v>
      </c>
      <c r="P519" s="1129"/>
      <c r="Q519" s="313">
        <f t="shared" si="94"/>
        <v>0</v>
      </c>
      <c r="R519" s="1125">
        <f t="shared" si="95"/>
        <v>0</v>
      </c>
      <c r="S519" s="698">
        <f t="shared" si="96"/>
        <v>0</v>
      </c>
    </row>
    <row r="520" spans="1:19">
      <c r="A520" s="491"/>
      <c r="B520" s="348"/>
      <c r="C520" s="313">
        <f t="shared" si="87"/>
        <v>1</v>
      </c>
      <c r="D520" s="1129"/>
      <c r="E520" s="313">
        <f t="shared" si="88"/>
        <v>1</v>
      </c>
      <c r="F520" s="1129"/>
      <c r="G520" s="313">
        <f t="shared" si="89"/>
        <v>0.02</v>
      </c>
      <c r="H520" s="1129"/>
      <c r="I520" s="313">
        <f t="shared" si="90"/>
        <v>1</v>
      </c>
      <c r="J520" s="1129"/>
      <c r="K520" s="313">
        <f t="shared" si="91"/>
        <v>1</v>
      </c>
      <c r="L520" s="1129"/>
      <c r="M520" s="313">
        <f t="shared" si="92"/>
        <v>1</v>
      </c>
      <c r="N520" s="1129"/>
      <c r="O520" s="313">
        <f t="shared" si="93"/>
        <v>1</v>
      </c>
      <c r="P520" s="1129"/>
      <c r="Q520" s="313">
        <f t="shared" si="94"/>
        <v>0</v>
      </c>
      <c r="R520" s="1125">
        <f t="shared" si="95"/>
        <v>0</v>
      </c>
      <c r="S520" s="698">
        <f t="shared" si="96"/>
        <v>0</v>
      </c>
    </row>
    <row r="521" spans="1:19">
      <c r="A521" s="491"/>
      <c r="B521" s="348"/>
      <c r="C521" s="313">
        <f t="shared" si="87"/>
        <v>1</v>
      </c>
      <c r="D521" s="1129"/>
      <c r="E521" s="313">
        <f t="shared" si="88"/>
        <v>1</v>
      </c>
      <c r="F521" s="1129"/>
      <c r="G521" s="313">
        <f t="shared" si="89"/>
        <v>0.02</v>
      </c>
      <c r="H521" s="1129"/>
      <c r="I521" s="313">
        <f t="shared" si="90"/>
        <v>1</v>
      </c>
      <c r="J521" s="1129"/>
      <c r="K521" s="313">
        <f t="shared" si="91"/>
        <v>1</v>
      </c>
      <c r="L521" s="1129"/>
      <c r="M521" s="313">
        <f t="shared" si="92"/>
        <v>1</v>
      </c>
      <c r="N521" s="1129"/>
      <c r="O521" s="313">
        <f t="shared" si="93"/>
        <v>1</v>
      </c>
      <c r="P521" s="1129"/>
      <c r="Q521" s="313">
        <f t="shared" si="94"/>
        <v>0</v>
      </c>
      <c r="R521" s="1125">
        <f t="shared" si="95"/>
        <v>0</v>
      </c>
      <c r="S521" s="698">
        <f t="shared" si="96"/>
        <v>0</v>
      </c>
    </row>
    <row r="522" spans="1:19">
      <c r="A522" s="491"/>
      <c r="B522" s="348"/>
      <c r="C522" s="313">
        <f t="shared" si="87"/>
        <v>1</v>
      </c>
      <c r="D522" s="1129"/>
      <c r="E522" s="313">
        <f t="shared" si="88"/>
        <v>1</v>
      </c>
      <c r="F522" s="1129"/>
      <c r="G522" s="313">
        <f t="shared" si="89"/>
        <v>0.02</v>
      </c>
      <c r="H522" s="1129"/>
      <c r="I522" s="313">
        <f t="shared" si="90"/>
        <v>1</v>
      </c>
      <c r="J522" s="1129"/>
      <c r="K522" s="313">
        <f t="shared" si="91"/>
        <v>1</v>
      </c>
      <c r="L522" s="1129"/>
      <c r="M522" s="313">
        <f t="shared" si="92"/>
        <v>1</v>
      </c>
      <c r="N522" s="1129"/>
      <c r="O522" s="313">
        <f t="shared" si="93"/>
        <v>1</v>
      </c>
      <c r="P522" s="1129"/>
      <c r="Q522" s="313">
        <f t="shared" si="94"/>
        <v>0</v>
      </c>
      <c r="R522" s="1125">
        <f t="shared" si="95"/>
        <v>0</v>
      </c>
      <c r="S522" s="698">
        <f t="shared" si="96"/>
        <v>0</v>
      </c>
    </row>
    <row r="523" spans="1:19">
      <c r="A523" s="491"/>
      <c r="B523" s="348"/>
      <c r="C523" s="313">
        <f t="shared" si="87"/>
        <v>1</v>
      </c>
      <c r="D523" s="1129"/>
      <c r="E523" s="313">
        <f t="shared" si="88"/>
        <v>1</v>
      </c>
      <c r="F523" s="1129"/>
      <c r="G523" s="313">
        <f t="shared" si="89"/>
        <v>0.02</v>
      </c>
      <c r="H523" s="1129"/>
      <c r="I523" s="313">
        <f t="shared" si="90"/>
        <v>1</v>
      </c>
      <c r="J523" s="1129"/>
      <c r="K523" s="313">
        <f t="shared" si="91"/>
        <v>1</v>
      </c>
      <c r="L523" s="1129"/>
      <c r="M523" s="313">
        <f t="shared" si="92"/>
        <v>1</v>
      </c>
      <c r="N523" s="1129"/>
      <c r="O523" s="313">
        <f t="shared" si="93"/>
        <v>1</v>
      </c>
      <c r="P523" s="1129"/>
      <c r="Q523" s="313">
        <f t="shared" si="94"/>
        <v>0</v>
      </c>
      <c r="R523" s="1125">
        <f t="shared" si="95"/>
        <v>0</v>
      </c>
      <c r="S523" s="698">
        <f t="shared" si="96"/>
        <v>0</v>
      </c>
    </row>
    <row r="524" spans="1:19">
      <c r="A524" s="491"/>
      <c r="B524" s="348"/>
      <c r="C524" s="313">
        <f t="shared" si="87"/>
        <v>1</v>
      </c>
      <c r="D524" s="1129"/>
      <c r="E524" s="313">
        <f t="shared" si="88"/>
        <v>1</v>
      </c>
      <c r="F524" s="1129"/>
      <c r="G524" s="313">
        <f t="shared" si="89"/>
        <v>0.02</v>
      </c>
      <c r="H524" s="1129"/>
      <c r="I524" s="313">
        <f t="shared" si="90"/>
        <v>1</v>
      </c>
      <c r="J524" s="1129"/>
      <c r="K524" s="313">
        <f t="shared" si="91"/>
        <v>1</v>
      </c>
      <c r="L524" s="1129"/>
      <c r="M524" s="313">
        <f t="shared" si="92"/>
        <v>1</v>
      </c>
      <c r="N524" s="1129"/>
      <c r="O524" s="313">
        <f t="shared" si="93"/>
        <v>1</v>
      </c>
      <c r="P524" s="1129"/>
      <c r="Q524" s="313">
        <f t="shared" si="94"/>
        <v>0</v>
      </c>
      <c r="R524" s="1125">
        <f t="shared" si="95"/>
        <v>0</v>
      </c>
      <c r="S524" s="698">
        <f t="shared" si="96"/>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29392</v>
      </c>
      <c r="C2" s="85" t="s">
        <v>869</v>
      </c>
      <c r="D2" s="575"/>
      <c r="E2" s="575"/>
      <c r="F2" s="575"/>
      <c r="G2" s="575"/>
    </row>
    <row r="3" spans="1:7" s="576" customFormat="1" ht="18" customHeight="1" thickBot="1">
      <c r="A3" s="579" t="s">
        <v>821</v>
      </c>
      <c r="B3" s="580">
        <f ca="1">ROUND(B2*10000/'数据-汇总表'!E3,0)</f>
        <v>140028</v>
      </c>
      <c r="C3" s="85" t="s">
        <v>870</v>
      </c>
      <c r="D3" s="575"/>
      <c r="E3" s="575"/>
      <c r="F3" s="575"/>
      <c r="G3" s="575"/>
    </row>
    <row r="4" spans="1:7" s="584" customFormat="1" ht="15.75">
      <c r="A4" s="581" t="s">
        <v>822</v>
      </c>
      <c r="B4" s="582"/>
      <c r="C4" s="582"/>
      <c r="D4" s="582"/>
      <c r="E4" s="582"/>
      <c r="F4" s="582"/>
      <c r="G4" s="583"/>
    </row>
    <row r="5" spans="1:7" s="590" customFormat="1" ht="13.5" customHeight="1">
      <c r="A5" s="631" t="s">
        <v>2505</v>
      </c>
      <c r="B5" s="586" t="s">
        <v>823</v>
      </c>
      <c r="C5" s="587">
        <f>C6+C7+C8</f>
        <v>20000</v>
      </c>
      <c r="D5" s="587" t="s">
        <v>824</v>
      </c>
      <c r="E5" s="588" t="s">
        <v>825</v>
      </c>
      <c r="F5" s="588" t="s">
        <v>826</v>
      </c>
      <c r="G5" s="589"/>
    </row>
    <row r="6" spans="1:7" s="590" customFormat="1" ht="13.5" customHeight="1">
      <c r="A6" s="1801" t="s">
        <v>1918</v>
      </c>
      <c r="B6" s="591" t="s">
        <v>827</v>
      </c>
      <c r="C6" s="592">
        <v>20000</v>
      </c>
      <c r="D6" s="593"/>
      <c r="E6" s="594"/>
      <c r="F6" s="594"/>
      <c r="G6" s="595"/>
    </row>
    <row r="7" spans="1:7" s="590" customFormat="1" ht="13.5" customHeight="1">
      <c r="A7" s="1801" t="s">
        <v>1919</v>
      </c>
      <c r="B7" s="591" t="s">
        <v>347</v>
      </c>
      <c r="C7" s="596">
        <f>ROUND(C6*F7,0)</f>
        <v>0</v>
      </c>
      <c r="D7" s="596"/>
      <c r="E7" s="594"/>
      <c r="F7" s="597">
        <f>'数据-取费表'!B48+'数据-取费表'!B49</f>
        <v>0</v>
      </c>
      <c r="G7" s="595"/>
    </row>
    <row r="8" spans="1:7" s="599" customFormat="1">
      <c r="A8" s="1801" t="s">
        <v>1920</v>
      </c>
      <c r="B8" s="591" t="s">
        <v>828</v>
      </c>
      <c r="C8" s="596" t="str">
        <f>IF(G8="已包含在土地购买价格中","0",'数据-取费表'!B29)</f>
        <v>0</v>
      </c>
      <c r="D8" s="598"/>
      <c r="E8" s="596"/>
      <c r="F8" s="597"/>
      <c r="G8" s="84" t="s">
        <v>2683</v>
      </c>
    </row>
    <row r="9" spans="1:7" s="590" customFormat="1" ht="13.5" customHeight="1">
      <c r="A9" s="1802" t="s">
        <v>1927</v>
      </c>
      <c r="B9" s="600" t="s">
        <v>829</v>
      </c>
      <c r="C9" s="601">
        <f>ROUND(D9*E9/10000,0)</f>
        <v>0</v>
      </c>
      <c r="D9" s="1906">
        <f>'数据-汇总表'!E5</f>
        <v>0</v>
      </c>
      <c r="E9" s="601">
        <f>'数据-取费表'!B27</f>
        <v>190</v>
      </c>
      <c r="F9" s="597"/>
      <c r="G9" s="602"/>
    </row>
    <row r="10" spans="1:7" s="590" customFormat="1" ht="13.5" customHeight="1">
      <c r="A10" s="1802" t="s">
        <v>1928</v>
      </c>
      <c r="B10" s="600" t="s">
        <v>830</v>
      </c>
      <c r="C10" s="601">
        <f>ROUND(D10*E10/10000,0)</f>
        <v>42</v>
      </c>
      <c r="D10" s="1906">
        <f>'数据-汇总表'!E6</f>
        <v>2099.0100000000002</v>
      </c>
      <c r="E10" s="601">
        <f>'数据-取费表'!B28</f>
        <v>200</v>
      </c>
      <c r="F10" s="597"/>
      <c r="G10" s="602"/>
    </row>
    <row r="11" spans="1:7" s="590" customFormat="1" ht="13.5" hidden="1" customHeight="1">
      <c r="A11" s="603" t="s">
        <v>42</v>
      </c>
      <c r="B11" s="591" t="s">
        <v>831</v>
      </c>
      <c r="C11" s="587"/>
      <c r="D11" s="1908"/>
      <c r="E11" s="594"/>
      <c r="F11" s="594"/>
      <c r="G11" s="595"/>
    </row>
    <row r="12" spans="1:7" s="590" customFormat="1" ht="13.5" hidden="1" customHeight="1">
      <c r="A12" s="603" t="s">
        <v>43</v>
      </c>
      <c r="B12" s="591" t="s">
        <v>832</v>
      </c>
      <c r="C12" s="587">
        <v>0</v>
      </c>
      <c r="D12" s="1908"/>
      <c r="E12" s="604"/>
      <c r="F12" s="597">
        <v>3.0499999999999999E-2</v>
      </c>
      <c r="G12" s="595"/>
    </row>
    <row r="13" spans="1:7" s="590" customFormat="1" ht="13.5" hidden="1" customHeight="1">
      <c r="A13" s="603" t="s">
        <v>44</v>
      </c>
      <c r="B13" s="591" t="s">
        <v>833</v>
      </c>
      <c r="C13" s="587"/>
      <c r="D13" s="1908"/>
      <c r="E13" s="594"/>
      <c r="F13" s="594"/>
      <c r="G13" s="595"/>
    </row>
    <row r="14" spans="1:7" s="590" customFormat="1" ht="13.5" hidden="1" customHeight="1">
      <c r="A14" s="603" t="s">
        <v>45</v>
      </c>
      <c r="B14" s="591" t="s">
        <v>828</v>
      </c>
      <c r="C14" s="587"/>
      <c r="D14" s="1908"/>
      <c r="E14" s="594"/>
      <c r="F14" s="594"/>
      <c r="G14" s="595" t="s">
        <v>834</v>
      </c>
    </row>
    <row r="15" spans="1:7" s="590" customFormat="1" ht="13.5" hidden="1" customHeight="1">
      <c r="A15" s="603" t="s">
        <v>46</v>
      </c>
      <c r="B15" s="591" t="s">
        <v>835</v>
      </c>
      <c r="C15" s="596"/>
      <c r="D15" s="1908"/>
      <c r="E15" s="594"/>
      <c r="F15" s="594"/>
      <c r="G15" s="595" t="s">
        <v>836</v>
      </c>
    </row>
    <row r="16" spans="1:7"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2506</v>
      </c>
      <c r="B19" s="586" t="s">
        <v>847</v>
      </c>
      <c r="C19" s="587">
        <f>IF(G19="已包含在土地取得成本中","0",ROUND(D19*E19/10000,0))</f>
        <v>42</v>
      </c>
      <c r="D19" s="1910">
        <f>'数据-汇总表'!E3</f>
        <v>2099.0100000000002</v>
      </c>
      <c r="E19" s="587">
        <f>'数据-取费表'!B31</f>
        <v>200</v>
      </c>
      <c r="F19" s="607"/>
      <c r="G19" s="84" t="s">
        <v>2528</v>
      </c>
    </row>
    <row r="20" spans="1:7" s="590" customFormat="1" ht="13.5" customHeight="1">
      <c r="A20" s="1800" t="s">
        <v>2508</v>
      </c>
      <c r="B20" s="586" t="s">
        <v>840</v>
      </c>
      <c r="C20" s="608">
        <f>ROUND((C5+C19)*F20,0)</f>
        <v>401</v>
      </c>
      <c r="D20" s="608"/>
      <c r="E20" s="608"/>
      <c r="F20" s="609">
        <f>'数据-取费表'!B37</f>
        <v>0.02</v>
      </c>
      <c r="G20" s="2617" t="s">
        <v>2519</v>
      </c>
    </row>
    <row r="21" spans="1:7" s="590" customFormat="1" ht="13.5" customHeight="1">
      <c r="A21" s="1800" t="s">
        <v>2510</v>
      </c>
      <c r="B21" s="586" t="s">
        <v>841</v>
      </c>
      <c r="C21" s="611">
        <f>F21</f>
        <v>0.02</v>
      </c>
      <c r="D21" s="612" t="s">
        <v>862</v>
      </c>
      <c r="E21" s="608"/>
      <c r="F21" s="609">
        <f>'数据-取费表'!B38</f>
        <v>0.02</v>
      </c>
      <c r="G21" s="610" t="s">
        <v>842</v>
      </c>
    </row>
    <row r="22" spans="1:7" s="590" customFormat="1" ht="13.5" customHeight="1">
      <c r="A22" s="1800" t="s">
        <v>1913</v>
      </c>
      <c r="B22" s="586" t="s">
        <v>843</v>
      </c>
      <c r="C22" s="2696">
        <f ca="1">ROUND(SUM(C23:C25),0)</f>
        <v>1968</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1921</v>
      </c>
      <c r="B23" s="591" t="s">
        <v>2512</v>
      </c>
      <c r="C23" s="2697">
        <f ca="1">ROUND(IF('数据-取费表'!B22&lt;=1,C5*F22*'数据-取费表'!B23,C5*(POWER((1+F22),'数据-取费表'!B23)-1)),0)</f>
        <v>1945</v>
      </c>
      <c r="D23" s="614"/>
      <c r="E23" s="614"/>
      <c r="F23" s="615"/>
      <c r="G23" s="616" t="s">
        <v>844</v>
      </c>
    </row>
    <row r="24" spans="1:7" s="590" customFormat="1" ht="13.5" customHeight="1">
      <c r="A24" s="1803" t="s">
        <v>1919</v>
      </c>
      <c r="B24" s="591" t="s">
        <v>2507</v>
      </c>
      <c r="C24" s="2697">
        <f ca="1">ROUND(IF('数据-取费表'!B22&lt;=1,C19*F22*('数据-取费表'!B19/2+'数据-取费表'!B21),C19*(POWER((1+F22),('数据-取费表'!B19/2+'数据-取费表'!B21))-1)),0)</f>
        <v>4</v>
      </c>
      <c r="D24" s="614"/>
      <c r="E24" s="614"/>
      <c r="F24" s="615"/>
      <c r="G24" s="616" t="s">
        <v>845</v>
      </c>
    </row>
    <row r="25" spans="1:7" s="590" customFormat="1" ht="24">
      <c r="A25" s="1803" t="s">
        <v>1920</v>
      </c>
      <c r="B25" s="591" t="s">
        <v>2509</v>
      </c>
      <c r="C25" s="2697">
        <f ca="1">ROUND(IF('数据-取费表'!B22&lt;=1,C20*F22*'数据-取费表'!B23/2,C20*(POWER((1+F22),'数据-取费表'!B23/2)-1)),0)</f>
        <v>19</v>
      </c>
      <c r="D25" s="614"/>
      <c r="E25" s="617"/>
      <c r="F25" s="615"/>
      <c r="G25" s="618" t="s">
        <v>846</v>
      </c>
    </row>
    <row r="26" spans="1:7" s="590" customFormat="1">
      <c r="A26" s="1803" t="s">
        <v>1922</v>
      </c>
      <c r="B26" s="591" t="s">
        <v>2511</v>
      </c>
      <c r="C26" s="614">
        <f ca="1">ROUND(IF('数据-取费表'!B22&lt;=1,F21*F22*'数据-取费表'!B23/2,F21*(POWER((1+F22),'数据-取费表'!B23/2)-1)),4)</f>
        <v>1E-3</v>
      </c>
      <c r="D26" s="614"/>
      <c r="E26" s="617"/>
      <c r="F26" s="615"/>
      <c r="G26" s="619"/>
    </row>
    <row r="27" spans="1:7" s="590" customFormat="1" ht="24.75">
      <c r="A27" s="1800" t="s">
        <v>1914</v>
      </c>
      <c r="B27" s="620" t="s">
        <v>848</v>
      </c>
      <c r="C27" s="621">
        <f>C28</f>
        <v>4089</v>
      </c>
      <c r="D27" s="611">
        <f>C29</f>
        <v>4.0000000000000001E-3</v>
      </c>
      <c r="E27" s="612" t="s">
        <v>862</v>
      </c>
      <c r="F27" s="622">
        <f>'数据-取费表'!Q16</f>
        <v>0.2</v>
      </c>
      <c r="G27" s="623" t="s">
        <v>2520</v>
      </c>
    </row>
    <row r="28" spans="1:7" s="590" customFormat="1" ht="13.5" customHeight="1">
      <c r="A28" s="1803" t="s">
        <v>1921</v>
      </c>
      <c r="B28" s="624" t="s">
        <v>2513</v>
      </c>
      <c r="C28" s="625">
        <f>ROUND((C5+C19+C20)*F27*'数据-取费表'!B21/'数据-取费表'!B20,0)</f>
        <v>4089</v>
      </c>
      <c r="D28" s="611"/>
      <c r="E28" s="612"/>
      <c r="F28" s="622"/>
      <c r="G28" s="623"/>
    </row>
    <row r="29" spans="1:7" s="590" customFormat="1" ht="13.5" customHeight="1">
      <c r="A29" s="1803" t="s">
        <v>1919</v>
      </c>
      <c r="B29" s="624" t="s">
        <v>2514</v>
      </c>
      <c r="C29" s="614">
        <f>ROUND(C21*F27*'数据-取费表'!B21/'数据-取费表'!B20,4)</f>
        <v>4.0000000000000001E-3</v>
      </c>
      <c r="D29" s="611"/>
      <c r="E29" s="612"/>
      <c r="F29" s="622"/>
      <c r="G29" s="623"/>
    </row>
    <row r="30" spans="1:7" s="590" customFormat="1" ht="13.5" customHeight="1">
      <c r="A30" s="1800" t="s">
        <v>1915</v>
      </c>
      <c r="B30" s="586" t="s">
        <v>348</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28752</v>
      </c>
      <c r="D31" s="606"/>
      <c r="E31" s="587"/>
      <c r="F31" s="626"/>
      <c r="G31" s="610" t="s">
        <v>2521</v>
      </c>
    </row>
    <row r="32" spans="1:7" s="584" customFormat="1" ht="15.75">
      <c r="A32" s="628" t="s">
        <v>850</v>
      </c>
      <c r="B32" s="629"/>
      <c r="C32" s="629"/>
      <c r="D32" s="629"/>
      <c r="E32" s="629"/>
      <c r="F32" s="629"/>
      <c r="G32" s="630"/>
    </row>
    <row r="33" spans="1:7" s="590" customFormat="1" ht="13.5" customHeight="1">
      <c r="A33" s="631" t="s">
        <v>1909</v>
      </c>
      <c r="B33" s="586" t="s">
        <v>851</v>
      </c>
      <c r="C33" s="632">
        <f>SUM(C34:C38)</f>
        <v>713</v>
      </c>
      <c r="D33" s="608"/>
      <c r="E33" s="588"/>
      <c r="F33" s="617"/>
      <c r="G33" s="610"/>
    </row>
    <row r="34" spans="1:7" s="634" customFormat="1" ht="13.5" customHeight="1">
      <c r="A34" s="1803" t="s">
        <v>1921</v>
      </c>
      <c r="B34" s="591" t="s">
        <v>349</v>
      </c>
      <c r="C34" s="596">
        <f>IF(F34=100%,'数据-取费表'!M16-SUMIF('数据-取费表'!C:C,"公共配套",'数据-取费表'!M:M),'数据-取费表'!O16-SUMIF('数据-取费表'!C:C,"公共配套",'数据-取费表'!O:O))</f>
        <v>630</v>
      </c>
      <c r="D34" s="593"/>
      <c r="E34" s="596"/>
      <c r="F34" s="633">
        <f>IF('数据-取费表'!B24=0,1,'数据-取费表'!N16)</f>
        <v>1</v>
      </c>
      <c r="G34" s="595" t="s">
        <v>852</v>
      </c>
    </row>
    <row r="35" spans="1:7" ht="13.5" customHeight="1">
      <c r="A35" s="1803" t="s">
        <v>1923</v>
      </c>
      <c r="B35" s="591" t="s">
        <v>350</v>
      </c>
      <c r="C35" s="596">
        <f>ROUND(C34*F35,0)</f>
        <v>32</v>
      </c>
      <c r="D35" s="596"/>
      <c r="E35" s="596"/>
      <c r="F35" s="635">
        <f>'数据-取费表'!B33</f>
        <v>0.05</v>
      </c>
      <c r="G35" s="595" t="s">
        <v>853</v>
      </c>
    </row>
    <row r="36" spans="1:7" ht="24">
      <c r="A36" s="1803" t="s">
        <v>1924</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3" t="s">
        <v>1925</v>
      </c>
      <c r="B37" s="591" t="s">
        <v>854</v>
      </c>
      <c r="C37" s="625">
        <f>ROUND(E37*D37*F34/10000,0)</f>
        <v>42</v>
      </c>
      <c r="D37" s="593">
        <f>'数据-汇总表'!E3</f>
        <v>2099.0100000000002</v>
      </c>
      <c r="E37" s="625">
        <f>'数据-取费表'!B35</f>
        <v>200</v>
      </c>
      <c r="F37" s="635"/>
      <c r="G37" s="637" t="s">
        <v>855</v>
      </c>
    </row>
    <row r="38" spans="1:7" ht="13.5" customHeight="1">
      <c r="A38" s="1803" t="s">
        <v>1926</v>
      </c>
      <c r="B38" s="591" t="s">
        <v>353</v>
      </c>
      <c r="C38" s="596">
        <f>ROUND(C34*F38,0)</f>
        <v>9</v>
      </c>
      <c r="D38" s="596"/>
      <c r="E38" s="596"/>
      <c r="F38" s="635">
        <f>'数据-取费表'!B36</f>
        <v>1.4999999999999999E-2</v>
      </c>
      <c r="G38" s="595" t="s">
        <v>853</v>
      </c>
    </row>
    <row r="39" spans="1:7" s="590" customFormat="1" ht="13.5" customHeight="1">
      <c r="A39" s="1800" t="s">
        <v>1910</v>
      </c>
      <c r="B39" s="586" t="s">
        <v>840</v>
      </c>
      <c r="C39" s="608">
        <f>ROUND(C33*F20,0)</f>
        <v>14</v>
      </c>
      <c r="D39" s="608"/>
      <c r="E39" s="608"/>
      <c r="F39" s="609"/>
      <c r="G39" s="2617" t="s">
        <v>2522</v>
      </c>
    </row>
    <row r="40" spans="1:7" s="590" customFormat="1" ht="13.5" customHeight="1">
      <c r="A40" s="1800" t="s">
        <v>1911</v>
      </c>
      <c r="B40" s="586" t="s">
        <v>841</v>
      </c>
      <c r="C40" s="638">
        <f>F21</f>
        <v>0.02</v>
      </c>
      <c r="D40" s="612" t="s">
        <v>865</v>
      </c>
      <c r="E40" s="608"/>
      <c r="F40" s="609"/>
      <c r="G40" s="610" t="s">
        <v>856</v>
      </c>
    </row>
    <row r="41" spans="1:7" s="590" customFormat="1" ht="13.5" customHeight="1">
      <c r="A41" s="1800" t="s">
        <v>1912</v>
      </c>
      <c r="B41" s="586" t="s">
        <v>843</v>
      </c>
      <c r="C41" s="608">
        <f ca="1">ROUND(SUM(C42:C43),0)</f>
        <v>35</v>
      </c>
      <c r="D41" s="611">
        <f ca="1">C44</f>
        <v>1E-3</v>
      </c>
      <c r="E41" s="612" t="s">
        <v>865</v>
      </c>
      <c r="F41" s="613"/>
      <c r="G41" s="2617" t="str">
        <f>IF('数据-取费表'!B22&lt;=1,"单利计息","复利计息")</f>
        <v>复利计息</v>
      </c>
    </row>
    <row r="42" spans="1:7" ht="13.5" customHeight="1">
      <c r="A42" s="1803" t="s">
        <v>1921</v>
      </c>
      <c r="B42" s="591" t="s">
        <v>2512</v>
      </c>
      <c r="C42" s="614">
        <f ca="1">ROUND(IF('数据-取费表'!B22&lt;=1,C33*F22*'数据-取费表'!B21/2,C33*(POWER((1+F22),'数据-取费表'!B21/2)-1)),0)</f>
        <v>34</v>
      </c>
      <c r="D42" s="614"/>
      <c r="E42" s="614"/>
      <c r="F42" s="615"/>
      <c r="G42" s="3585" t="s">
        <v>857</v>
      </c>
    </row>
    <row r="43" spans="1:7" ht="13.5" customHeight="1">
      <c r="A43" s="1803" t="s">
        <v>1919</v>
      </c>
      <c r="B43" s="591" t="s">
        <v>2515</v>
      </c>
      <c r="C43" s="614">
        <f ca="1">ROUND(IF('数据-取费表'!B22&lt;=1,C39*F22*'数据-取费表'!B21/2,C39*(POWER((1+F22),'数据-取费表'!B21/2)-1)),0)</f>
        <v>1</v>
      </c>
      <c r="D43" s="614"/>
      <c r="E43" s="614"/>
      <c r="F43" s="615"/>
      <c r="G43" s="3586"/>
    </row>
    <row r="44" spans="1:7" ht="13.5" customHeight="1">
      <c r="A44" s="1803" t="s">
        <v>1920</v>
      </c>
      <c r="B44" s="591" t="s">
        <v>2517</v>
      </c>
      <c r="C44" s="614">
        <f ca="1">ROUND(IF('数据-取费表'!B22&lt;=1,C40*F22*'数据-取费表'!B21/2,C40*(POWER((1+F22),'数据-取费表'!B21/2)-1)),4)</f>
        <v>1E-3</v>
      </c>
      <c r="D44" s="614"/>
      <c r="E44" s="614"/>
      <c r="F44" s="615"/>
      <c r="G44" s="3587"/>
    </row>
    <row r="45" spans="1:7" s="590" customFormat="1" ht="13.5" customHeight="1">
      <c r="A45" s="1800" t="s">
        <v>1913</v>
      </c>
      <c r="B45" s="620" t="s">
        <v>848</v>
      </c>
      <c r="C45" s="621">
        <f>C46</f>
        <v>145</v>
      </c>
      <c r="D45" s="611">
        <f>C47</f>
        <v>4.0000000000000001E-3</v>
      </c>
      <c r="E45" s="612" t="s">
        <v>865</v>
      </c>
      <c r="F45" s="622"/>
      <c r="G45" s="623" t="s">
        <v>2523</v>
      </c>
    </row>
    <row r="46" spans="1:7" s="590" customFormat="1" ht="13.5" customHeight="1">
      <c r="A46" s="1803" t="s">
        <v>1921</v>
      </c>
      <c r="B46" s="624" t="s">
        <v>2516</v>
      </c>
      <c r="C46" s="625">
        <f>ROUND((C33+C39)*F27,0)</f>
        <v>145</v>
      </c>
      <c r="D46" s="639"/>
      <c r="E46" s="612"/>
      <c r="F46" s="622"/>
      <c r="G46" s="623"/>
    </row>
    <row r="47" spans="1:7" s="590" customFormat="1" ht="13.5" customHeight="1">
      <c r="A47" s="1803" t="s">
        <v>1919</v>
      </c>
      <c r="B47" s="624" t="s">
        <v>2518</v>
      </c>
      <c r="C47" s="614">
        <f>ROUND(C40*F27,4)</f>
        <v>4.0000000000000001E-3</v>
      </c>
      <c r="D47" s="639"/>
      <c r="E47" s="612"/>
      <c r="F47" s="622"/>
      <c r="G47" s="623"/>
    </row>
    <row r="48" spans="1:7" s="590" customFormat="1" ht="13.5" customHeight="1">
      <c r="A48" s="1800" t="s">
        <v>1914</v>
      </c>
      <c r="B48" s="586" t="s">
        <v>858</v>
      </c>
      <c r="C48" s="638">
        <f>F30</f>
        <v>5.6000000000000001E-2</v>
      </c>
      <c r="D48" s="612" t="s">
        <v>866</v>
      </c>
      <c r="E48" s="608"/>
      <c r="F48" s="613"/>
      <c r="G48" s="610" t="s">
        <v>859</v>
      </c>
    </row>
    <row r="49" spans="1:7" ht="16.5" customHeight="1">
      <c r="A49" s="1800" t="s">
        <v>1915</v>
      </c>
      <c r="B49" s="586" t="s">
        <v>867</v>
      </c>
      <c r="C49" s="608">
        <f ca="1">ROUND((C33+C39+C41+C45)/(1-C40-D41-D45-C48/(1+'数据-取费表'!B42)),0)</f>
        <v>984</v>
      </c>
      <c r="D49" s="608"/>
      <c r="E49" s="608"/>
      <c r="F49" s="640"/>
      <c r="G49" s="610" t="s">
        <v>2524</v>
      </c>
    </row>
    <row r="50" spans="1:7" s="634" customFormat="1" ht="24">
      <c r="A50" s="1800" t="s">
        <v>1916</v>
      </c>
      <c r="B50" s="586" t="s">
        <v>860</v>
      </c>
      <c r="C50" s="608"/>
      <c r="D50" s="608"/>
      <c r="E50" s="608"/>
      <c r="F50" s="640">
        <f>IF('数据-取费表'!B24=0,'数据-取费表'!N16,1)</f>
        <v>0.65</v>
      </c>
      <c r="G50" s="623" t="s">
        <v>861</v>
      </c>
    </row>
    <row r="51" spans="1:7" ht="16.5" customHeight="1">
      <c r="A51" s="1800" t="s">
        <v>1917</v>
      </c>
      <c r="B51" s="586" t="s">
        <v>868</v>
      </c>
      <c r="C51" s="608">
        <f ca="1">ROUND(C49*F50,0)</f>
        <v>640</v>
      </c>
      <c r="D51" s="608"/>
      <c r="E51" s="608"/>
      <c r="F51" s="640"/>
      <c r="G51" s="610" t="s">
        <v>354</v>
      </c>
    </row>
    <row r="52" spans="1:7" s="584" customFormat="1" ht="16.5" thickBot="1">
      <c r="A52" s="641" t="s">
        <v>355</v>
      </c>
      <c r="B52" s="642"/>
      <c r="C52" s="643">
        <f ca="1">C31+C51</f>
        <v>29392</v>
      </c>
      <c r="D52" s="642"/>
      <c r="E52" s="642"/>
      <c r="F52" s="642"/>
      <c r="G52" s="644"/>
    </row>
    <row r="55" spans="1:7" ht="15">
      <c r="B55" s="646" t="s">
        <v>356</v>
      </c>
      <c r="C55" s="647"/>
    </row>
    <row r="56" spans="1:7">
      <c r="B56" s="649" t="s">
        <v>357</v>
      </c>
      <c r="C56" s="650">
        <f ca="1">ROUND(C51/C52,3)</f>
        <v>2.1999999999999999E-2</v>
      </c>
    </row>
    <row r="57" spans="1:7">
      <c r="B57" s="649" t="s">
        <v>358</v>
      </c>
      <c r="C57" s="651">
        <f ca="1">1-C56</f>
        <v>0.97799999999999998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67" t="s">
        <v>1168</v>
      </c>
      <c r="B1" s="3767"/>
      <c r="C1" s="3767"/>
      <c r="D1" s="3767"/>
      <c r="E1" s="3767"/>
      <c r="F1" s="3767"/>
      <c r="H1" s="1518" t="s">
        <v>1169</v>
      </c>
      <c r="I1" s="1519" t="s">
        <v>1170</v>
      </c>
      <c r="J1" s="1519" t="s">
        <v>1171</v>
      </c>
      <c r="K1" s="1519" t="s">
        <v>1172</v>
      </c>
      <c r="L1" s="1519" t="s">
        <v>1173</v>
      </c>
      <c r="M1" s="1519" t="s">
        <v>1174</v>
      </c>
      <c r="N1" s="1519" t="s">
        <v>1175</v>
      </c>
      <c r="O1" s="1519" t="s">
        <v>1176</v>
      </c>
      <c r="P1" s="1519" t="s">
        <v>1177</v>
      </c>
      <c r="Q1" s="1519" t="s">
        <v>1178</v>
      </c>
      <c r="R1" s="1519" t="s">
        <v>1179</v>
      </c>
      <c r="S1" s="1520" t="s">
        <v>1180</v>
      </c>
    </row>
    <row r="2" spans="1:19" ht="14.25" thickBot="1">
      <c r="A2" s="3768" t="s">
        <v>1181</v>
      </c>
      <c r="B2" s="3768"/>
      <c r="C2" s="3768"/>
      <c r="D2" s="3768"/>
      <c r="E2" s="3768"/>
      <c r="F2" s="3768"/>
      <c r="H2" s="1521" t="s">
        <v>1182</v>
      </c>
      <c r="I2" s="1522" t="s">
        <v>1183</v>
      </c>
      <c r="J2" s="1522" t="s">
        <v>1184</v>
      </c>
      <c r="K2" s="1522" t="s">
        <v>1185</v>
      </c>
      <c r="L2" s="1522" t="s">
        <v>1186</v>
      </c>
      <c r="M2" s="1522" t="s">
        <v>1187</v>
      </c>
      <c r="N2" s="1522" t="s">
        <v>1188</v>
      </c>
      <c r="O2" s="1522" t="s">
        <v>1189</v>
      </c>
      <c r="P2" s="1522" t="s">
        <v>1190</v>
      </c>
      <c r="Q2" s="1522" t="s">
        <v>1191</v>
      </c>
      <c r="R2" s="1522" t="s">
        <v>1192</v>
      </c>
      <c r="S2" s="1522" t="s">
        <v>1193</v>
      </c>
    </row>
    <row r="3" spans="1:19" s="1517" customFormat="1" ht="19.5" customHeight="1">
      <c r="A3" s="3769" t="s">
        <v>1194</v>
      </c>
      <c r="B3" s="1523"/>
      <c r="C3" s="1524" t="s">
        <v>1195</v>
      </c>
      <c r="D3" s="1524" t="s">
        <v>1196</v>
      </c>
      <c r="E3" s="1524" t="s">
        <v>1843</v>
      </c>
      <c r="F3" s="1524" t="s">
        <v>1198</v>
      </c>
      <c r="G3" s="1525"/>
      <c r="H3" s="1521" t="s">
        <v>1199</v>
      </c>
      <c r="I3" s="1522" t="s">
        <v>1200</v>
      </c>
      <c r="J3" s="1522" t="s">
        <v>1201</v>
      </c>
      <c r="K3" s="1522" t="s">
        <v>1202</v>
      </c>
      <c r="L3" s="1522" t="s">
        <v>1203</v>
      </c>
      <c r="M3" s="1522" t="s">
        <v>1204</v>
      </c>
      <c r="N3" s="1522" t="s">
        <v>1205</v>
      </c>
      <c r="O3" s="1522" t="s">
        <v>1206</v>
      </c>
      <c r="P3" s="1522" t="s">
        <v>1207</v>
      </c>
      <c r="Q3" s="1522" t="s">
        <v>1208</v>
      </c>
      <c r="R3" s="1522" t="s">
        <v>1209</v>
      </c>
      <c r="S3" s="1522" t="s">
        <v>1210</v>
      </c>
    </row>
    <row r="4" spans="1:19" s="1517" customFormat="1" ht="19.5" customHeight="1" thickBot="1">
      <c r="A4" s="3770"/>
      <c r="B4" s="1526" t="s">
        <v>1211</v>
      </c>
      <c r="C4" s="1526" t="s">
        <v>1212</v>
      </c>
      <c r="D4" s="1526" t="s">
        <v>1212</v>
      </c>
      <c r="E4" s="1526" t="s">
        <v>1212</v>
      </c>
      <c r="F4" s="1527" t="s">
        <v>1212</v>
      </c>
      <c r="G4" s="1525"/>
      <c r="H4" s="1521" t="s">
        <v>1213</v>
      </c>
      <c r="I4" s="1522" t="s">
        <v>1136</v>
      </c>
      <c r="J4" s="1522" t="s">
        <v>1214</v>
      </c>
      <c r="K4" s="1522" t="s">
        <v>1215</v>
      </c>
      <c r="L4" s="1522" t="s">
        <v>1216</v>
      </c>
      <c r="M4" s="1522" t="s">
        <v>1217</v>
      </c>
      <c r="N4" s="1522" t="s">
        <v>1218</v>
      </c>
      <c r="O4" s="1522" t="s">
        <v>1219</v>
      </c>
      <c r="P4" s="1522" t="s">
        <v>1220</v>
      </c>
      <c r="Q4" s="1522" t="s">
        <v>1221</v>
      </c>
      <c r="R4" s="1522" t="s">
        <v>1222</v>
      </c>
      <c r="S4" s="1522" t="s">
        <v>1223</v>
      </c>
    </row>
    <row r="5" spans="1:19" ht="14.25" customHeight="1" thickBot="1">
      <c r="A5" s="1528" t="s">
        <v>1949</v>
      </c>
      <c r="B5" s="1529" t="s">
        <v>1950</v>
      </c>
      <c r="C5" s="1529">
        <v>29530</v>
      </c>
      <c r="D5" s="1529">
        <v>28130</v>
      </c>
      <c r="E5" s="1529">
        <v>27930</v>
      </c>
      <c r="F5" s="1530">
        <v>11300</v>
      </c>
      <c r="G5" s="1525"/>
      <c r="H5" s="1521" t="s">
        <v>1225</v>
      </c>
      <c r="I5" s="1522" t="s">
        <v>1226</v>
      </c>
      <c r="J5" s="1522" t="s">
        <v>1227</v>
      </c>
      <c r="K5" s="1522" t="s">
        <v>1228</v>
      </c>
      <c r="L5" s="1522" t="s">
        <v>1229</v>
      </c>
      <c r="M5" s="1522" t="s">
        <v>1230</v>
      </c>
      <c r="N5" s="1522" t="s">
        <v>1231</v>
      </c>
      <c r="O5" s="1522" t="s">
        <v>1232</v>
      </c>
      <c r="P5" s="1522" t="s">
        <v>1233</v>
      </c>
      <c r="Q5" s="1522" t="s">
        <v>1234</v>
      </c>
      <c r="R5" s="1522" t="s">
        <v>1235</v>
      </c>
      <c r="S5" s="1522" t="s">
        <v>1236</v>
      </c>
    </row>
    <row r="6" spans="1:19" ht="14.25" customHeight="1" thickBot="1">
      <c r="A6" s="1528" t="s">
        <v>1224</v>
      </c>
      <c r="B6" s="1522" t="s">
        <v>1199</v>
      </c>
      <c r="C6" s="1522">
        <v>30290</v>
      </c>
      <c r="D6" s="1522">
        <v>29210</v>
      </c>
      <c r="E6" s="1522">
        <v>28860</v>
      </c>
      <c r="F6" s="1531">
        <v>12600</v>
      </c>
      <c r="G6" s="1525"/>
      <c r="H6" s="1521" t="s">
        <v>1237</v>
      </c>
      <c r="I6" s="1522" t="s">
        <v>1238</v>
      </c>
      <c r="J6" s="1522" t="s">
        <v>1239</v>
      </c>
      <c r="K6" s="1522" t="s">
        <v>1240</v>
      </c>
      <c r="L6" s="1522" t="s">
        <v>1241</v>
      </c>
      <c r="M6" s="1522" t="s">
        <v>1242</v>
      </c>
      <c r="N6" s="1522" t="s">
        <v>1243</v>
      </c>
      <c r="O6" s="1522" t="s">
        <v>1244</v>
      </c>
      <c r="P6" s="1522" t="s">
        <v>1245</v>
      </c>
      <c r="Q6" s="1522" t="s">
        <v>1246</v>
      </c>
      <c r="R6" s="1522" t="s">
        <v>1247</v>
      </c>
      <c r="S6" s="1522" t="s">
        <v>1248</v>
      </c>
    </row>
    <row r="7" spans="1:19" ht="14.25" customHeight="1" thickBot="1">
      <c r="A7" s="1528" t="s">
        <v>1224</v>
      </c>
      <c r="B7" s="1532" t="s">
        <v>1213</v>
      </c>
      <c r="C7" s="1522">
        <v>29350</v>
      </c>
      <c r="D7" s="1522">
        <v>28410</v>
      </c>
      <c r="E7" s="1522">
        <v>27990</v>
      </c>
      <c r="F7" s="1531">
        <v>12300</v>
      </c>
      <c r="G7" s="1525"/>
      <c r="I7" s="1522" t="s">
        <v>1249</v>
      </c>
      <c r="J7" s="1522" t="s">
        <v>1250</v>
      </c>
      <c r="K7" s="1522" t="s">
        <v>1251</v>
      </c>
      <c r="L7" s="1522" t="s">
        <v>1252</v>
      </c>
      <c r="M7" s="1522" t="s">
        <v>1253</v>
      </c>
      <c r="N7" s="1522" t="s">
        <v>1254</v>
      </c>
      <c r="O7" s="1522" t="s">
        <v>1255</v>
      </c>
      <c r="P7" s="1522" t="s">
        <v>1256</v>
      </c>
      <c r="Q7" s="1522" t="s">
        <v>1257</v>
      </c>
      <c r="R7" s="1522" t="s">
        <v>1258</v>
      </c>
      <c r="S7" s="1532" t="s">
        <v>1259</v>
      </c>
    </row>
    <row r="8" spans="1:19" ht="14.25" customHeight="1" thickBot="1">
      <c r="A8" s="1528" t="s">
        <v>1224</v>
      </c>
      <c r="B8" s="1522" t="s">
        <v>1225</v>
      </c>
      <c r="C8" s="1522">
        <v>30890</v>
      </c>
      <c r="D8" s="1522">
        <v>29780</v>
      </c>
      <c r="E8" s="1522">
        <v>29270</v>
      </c>
      <c r="F8" s="1531">
        <v>11600</v>
      </c>
      <c r="G8" s="1525"/>
      <c r="I8" s="1522" t="s">
        <v>1260</v>
      </c>
      <c r="J8" s="1522" t="s">
        <v>1261</v>
      </c>
      <c r="K8" s="1522" t="s">
        <v>1262</v>
      </c>
      <c r="L8" s="1522" t="s">
        <v>1263</v>
      </c>
      <c r="M8" s="1522" t="s">
        <v>1264</v>
      </c>
      <c r="N8" s="1522" t="s">
        <v>1265</v>
      </c>
      <c r="O8" s="1522" t="s">
        <v>1266</v>
      </c>
      <c r="P8" s="1522" t="s">
        <v>1267</v>
      </c>
      <c r="Q8" s="1522" t="s">
        <v>1268</v>
      </c>
      <c r="R8" s="1522" t="s">
        <v>1269</v>
      </c>
      <c r="S8" s="1522" t="s">
        <v>1270</v>
      </c>
    </row>
    <row r="9" spans="1:19" ht="14.25" customHeight="1" thickBot="1">
      <c r="A9" s="1528" t="s">
        <v>1224</v>
      </c>
      <c r="B9" s="1533" t="s">
        <v>1237</v>
      </c>
      <c r="C9" s="1534">
        <v>28140</v>
      </c>
      <c r="D9" s="1534"/>
      <c r="E9" s="1534"/>
      <c r="F9" s="1535"/>
      <c r="G9" s="1525"/>
      <c r="I9" s="1522" t="s">
        <v>1271</v>
      </c>
      <c r="J9" s="1522" t="s">
        <v>1272</v>
      </c>
      <c r="K9" s="1522" t="s">
        <v>1273</v>
      </c>
      <c r="L9" s="1522" t="s">
        <v>1274</v>
      </c>
      <c r="M9" s="1522" t="s">
        <v>1275</v>
      </c>
      <c r="N9" s="1522" t="s">
        <v>1276</v>
      </c>
      <c r="O9" s="1522" t="s">
        <v>1277</v>
      </c>
      <c r="P9" s="1522" t="s">
        <v>1278</v>
      </c>
      <c r="Q9" s="1522" t="s">
        <v>1279</v>
      </c>
      <c r="R9" s="1522" t="s">
        <v>1280</v>
      </c>
    </row>
    <row r="10" spans="1:19" ht="14.25" customHeight="1" thickBot="1">
      <c r="A10" s="1528" t="s">
        <v>1281</v>
      </c>
      <c r="B10" s="1529" t="s">
        <v>1282</v>
      </c>
      <c r="C10" s="1529">
        <v>27450</v>
      </c>
      <c r="D10" s="1529">
        <v>26180</v>
      </c>
      <c r="E10" s="1529">
        <v>25980</v>
      </c>
      <c r="F10" s="1530">
        <v>8910</v>
      </c>
      <c r="G10" s="1525"/>
      <c r="I10" s="1522" t="s">
        <v>1283</v>
      </c>
      <c r="J10" s="1522" t="s">
        <v>1284</v>
      </c>
      <c r="K10" s="1522" t="s">
        <v>1285</v>
      </c>
      <c r="L10" s="1522" t="s">
        <v>1286</v>
      </c>
      <c r="M10" s="1522" t="s">
        <v>1287</v>
      </c>
      <c r="N10" s="1522" t="s">
        <v>1288</v>
      </c>
      <c r="O10" s="1522" t="s">
        <v>1289</v>
      </c>
      <c r="P10" s="1522" t="s">
        <v>1290</v>
      </c>
      <c r="Q10" s="1522" t="s">
        <v>1291</v>
      </c>
      <c r="R10" s="1522" t="s">
        <v>1292</v>
      </c>
    </row>
    <row r="11" spans="1:19" ht="14.25" customHeight="1" thickBot="1">
      <c r="A11" s="1528" t="s">
        <v>1281</v>
      </c>
      <c r="B11" s="1532" t="s">
        <v>1200</v>
      </c>
      <c r="C11" s="1522">
        <v>22950</v>
      </c>
      <c r="D11" s="1522">
        <v>22630</v>
      </c>
      <c r="E11" s="1522">
        <v>22030</v>
      </c>
      <c r="F11" s="1536">
        <v>8330</v>
      </c>
      <c r="G11" s="1525"/>
      <c r="I11" s="1522" t="s">
        <v>1293</v>
      </c>
      <c r="J11" s="1522" t="s">
        <v>1294</v>
      </c>
      <c r="K11" s="1522" t="s">
        <v>1295</v>
      </c>
      <c r="L11" s="1522" t="s">
        <v>1296</v>
      </c>
      <c r="M11" s="1522" t="s">
        <v>1297</v>
      </c>
      <c r="N11" s="1522" t="s">
        <v>1298</v>
      </c>
      <c r="O11" s="1522" t="s">
        <v>1299</v>
      </c>
      <c r="P11" s="1522" t="s">
        <v>1300</v>
      </c>
      <c r="Q11" s="1522" t="s">
        <v>1301</v>
      </c>
      <c r="R11" s="1522" t="s">
        <v>1302</v>
      </c>
    </row>
    <row r="12" spans="1:19" ht="14.25" customHeight="1" thickBot="1">
      <c r="A12" s="1528" t="s">
        <v>1281</v>
      </c>
      <c r="B12" s="1532" t="s">
        <v>1136</v>
      </c>
      <c r="C12" s="1522">
        <v>24940</v>
      </c>
      <c r="D12" s="1522">
        <v>23180</v>
      </c>
      <c r="E12" s="1522">
        <v>22910</v>
      </c>
      <c r="F12" s="1536">
        <v>7180</v>
      </c>
      <c r="G12" s="1525"/>
      <c r="I12" s="1522" t="s">
        <v>1303</v>
      </c>
      <c r="J12" s="1522" t="s">
        <v>1304</v>
      </c>
      <c r="K12" s="1522" t="s">
        <v>1305</v>
      </c>
      <c r="L12" s="1522" t="s">
        <v>1306</v>
      </c>
      <c r="M12" s="1522" t="s">
        <v>1307</v>
      </c>
      <c r="N12" s="1522" t="s">
        <v>1308</v>
      </c>
      <c r="O12" s="1522" t="s">
        <v>1309</v>
      </c>
      <c r="P12" s="1522" t="s">
        <v>1310</v>
      </c>
      <c r="Q12" s="1522" t="s">
        <v>1311</v>
      </c>
      <c r="R12" s="1522" t="s">
        <v>1312</v>
      </c>
    </row>
    <row r="13" spans="1:19" ht="14.25" customHeight="1" thickBot="1">
      <c r="A13" s="1528" t="s">
        <v>1281</v>
      </c>
      <c r="B13" s="1532" t="s">
        <v>1226</v>
      </c>
      <c r="C13" s="1522">
        <v>24140</v>
      </c>
      <c r="D13" s="1522">
        <v>22270</v>
      </c>
      <c r="E13" s="1522">
        <v>21950</v>
      </c>
      <c r="F13" s="1536">
        <v>7600</v>
      </c>
      <c r="G13" s="1525"/>
      <c r="I13" s="1522" t="s">
        <v>1313</v>
      </c>
      <c r="J13" s="1522" t="s">
        <v>1314</v>
      </c>
      <c r="K13" s="1522" t="s">
        <v>1315</v>
      </c>
      <c r="L13" s="1522" t="s">
        <v>1316</v>
      </c>
      <c r="M13" s="1522" t="s">
        <v>1317</v>
      </c>
      <c r="N13" s="1522" t="s">
        <v>1318</v>
      </c>
      <c r="O13" s="1522" t="s">
        <v>1319</v>
      </c>
      <c r="P13" s="1522" t="s">
        <v>1320</v>
      </c>
      <c r="Q13" s="1522" t="s">
        <v>1321</v>
      </c>
      <c r="R13" s="1522" t="s">
        <v>1322</v>
      </c>
    </row>
    <row r="14" spans="1:19" ht="14.25" customHeight="1" thickBot="1">
      <c r="A14" s="1528" t="s">
        <v>1281</v>
      </c>
      <c r="B14" s="1532" t="s">
        <v>1238</v>
      </c>
      <c r="C14" s="1522">
        <v>25600</v>
      </c>
      <c r="D14" s="1522">
        <v>22260</v>
      </c>
      <c r="E14" s="1522">
        <v>22110</v>
      </c>
      <c r="F14" s="1536">
        <v>7630</v>
      </c>
      <c r="G14" s="1525"/>
      <c r="I14" s="1522" t="s">
        <v>1323</v>
      </c>
      <c r="J14" s="1522" t="s">
        <v>1324</v>
      </c>
      <c r="K14" s="1522" t="s">
        <v>1325</v>
      </c>
      <c r="L14" s="1522" t="s">
        <v>1326</v>
      </c>
      <c r="M14" s="1522" t="s">
        <v>1327</v>
      </c>
      <c r="N14" s="1522" t="s">
        <v>1328</v>
      </c>
      <c r="O14" s="1522" t="s">
        <v>1329</v>
      </c>
      <c r="P14" s="1522" t="s">
        <v>1330</v>
      </c>
      <c r="Q14" s="1522" t="s">
        <v>1331</v>
      </c>
      <c r="R14" s="1522" t="s">
        <v>1332</v>
      </c>
    </row>
    <row r="15" spans="1:19" ht="14.25" customHeight="1" thickBot="1">
      <c r="A15" s="1528" t="s">
        <v>1281</v>
      </c>
      <c r="B15" s="1532" t="s">
        <v>1249</v>
      </c>
      <c r="C15" s="1522">
        <v>24760</v>
      </c>
      <c r="D15" s="1522">
        <v>24440</v>
      </c>
      <c r="E15" s="1522">
        <v>24130</v>
      </c>
      <c r="F15" s="1536">
        <v>9480</v>
      </c>
      <c r="G15" s="1525"/>
      <c r="I15" s="1522" t="s">
        <v>1334</v>
      </c>
      <c r="J15" s="1522" t="s">
        <v>1335</v>
      </c>
      <c r="K15" s="1522" t="s">
        <v>1336</v>
      </c>
      <c r="L15" s="1522" t="s">
        <v>1337</v>
      </c>
      <c r="M15" s="1522" t="s">
        <v>1338</v>
      </c>
      <c r="N15" s="1522" t="s">
        <v>1339</v>
      </c>
      <c r="O15" s="1522" t="s">
        <v>1340</v>
      </c>
      <c r="P15" s="1522" t="s">
        <v>1341</v>
      </c>
      <c r="Q15" s="1522" t="s">
        <v>1342</v>
      </c>
      <c r="R15" s="1522" t="s">
        <v>1343</v>
      </c>
    </row>
    <row r="16" spans="1:19" ht="14.25" customHeight="1" thickBot="1">
      <c r="A16" s="1528" t="s">
        <v>1281</v>
      </c>
      <c r="B16" s="1532" t="s">
        <v>1260</v>
      </c>
      <c r="C16" s="1522">
        <v>22220</v>
      </c>
      <c r="D16" s="1522">
        <v>22310</v>
      </c>
      <c r="E16" s="1522">
        <v>22000</v>
      </c>
      <c r="F16" s="1536">
        <v>8900</v>
      </c>
      <c r="G16" s="1525"/>
      <c r="I16" s="1522" t="s">
        <v>1345</v>
      </c>
      <c r="J16" s="1522" t="s">
        <v>1346</v>
      </c>
      <c r="K16" s="1522" t="s">
        <v>1347</v>
      </c>
      <c r="L16" s="1522" t="s">
        <v>1348</v>
      </c>
      <c r="M16" s="1522" t="s">
        <v>1349</v>
      </c>
      <c r="N16" s="1522" t="s">
        <v>1350</v>
      </c>
      <c r="O16" s="1522" t="s">
        <v>1351</v>
      </c>
      <c r="P16" s="1522" t="s">
        <v>1352</v>
      </c>
      <c r="Q16" s="1522" t="s">
        <v>1353</v>
      </c>
      <c r="R16" s="1522" t="s">
        <v>1354</v>
      </c>
    </row>
    <row r="17" spans="1:18" ht="14.25" customHeight="1" thickBot="1">
      <c r="A17" s="1528" t="s">
        <v>1281</v>
      </c>
      <c r="B17" s="1532" t="s">
        <v>1271</v>
      </c>
      <c r="C17" s="1522">
        <v>24700</v>
      </c>
      <c r="D17" s="1522">
        <v>25150</v>
      </c>
      <c r="E17" s="1522">
        <v>24700</v>
      </c>
      <c r="F17" s="1537"/>
      <c r="G17" s="1525"/>
      <c r="I17" s="1522" t="s">
        <v>1355</v>
      </c>
      <c r="J17" s="1522" t="s">
        <v>1356</v>
      </c>
      <c r="K17" s="1522" t="s">
        <v>1357</v>
      </c>
      <c r="L17" s="1522" t="s">
        <v>1358</v>
      </c>
      <c r="M17" s="1522" t="s">
        <v>1359</v>
      </c>
      <c r="N17" s="1522" t="s">
        <v>1360</v>
      </c>
      <c r="O17" s="1522" t="s">
        <v>1361</v>
      </c>
      <c r="P17" s="1522" t="s">
        <v>1362</v>
      </c>
      <c r="Q17" s="1522" t="s">
        <v>1363</v>
      </c>
      <c r="R17" s="1522" t="s">
        <v>1364</v>
      </c>
    </row>
    <row r="18" spans="1:18" ht="14.25" customHeight="1" thickBot="1">
      <c r="A18" s="1528" t="s">
        <v>1281</v>
      </c>
      <c r="B18" s="1532" t="s">
        <v>1283</v>
      </c>
      <c r="C18" s="1522">
        <v>22350</v>
      </c>
      <c r="D18" s="1522">
        <v>24340</v>
      </c>
      <c r="E18" s="1522">
        <v>24100</v>
      </c>
      <c r="F18" s="1537"/>
      <c r="G18" s="1525"/>
      <c r="I18" s="1522" t="s">
        <v>1365</v>
      </c>
      <c r="J18" s="1522" t="s">
        <v>1366</v>
      </c>
      <c r="K18" s="1522" t="s">
        <v>1367</v>
      </c>
      <c r="L18" s="1522" t="s">
        <v>1368</v>
      </c>
      <c r="M18" s="1522" t="s">
        <v>1369</v>
      </c>
      <c r="N18" s="1522" t="s">
        <v>1370</v>
      </c>
      <c r="O18" s="1522" t="s">
        <v>1371</v>
      </c>
      <c r="P18" s="1522" t="s">
        <v>1372</v>
      </c>
      <c r="Q18" s="1522" t="s">
        <v>1373</v>
      </c>
      <c r="R18" s="1522" t="s">
        <v>1374</v>
      </c>
    </row>
    <row r="19" spans="1:18" ht="14.25" customHeight="1" thickBot="1">
      <c r="A19" s="1528" t="s">
        <v>1281</v>
      </c>
      <c r="B19" s="1532" t="s">
        <v>1293</v>
      </c>
      <c r="C19" s="1522">
        <v>23430</v>
      </c>
      <c r="D19" s="1522">
        <v>21580</v>
      </c>
      <c r="E19" s="1522">
        <v>21350</v>
      </c>
      <c r="F19" s="1537"/>
      <c r="G19" s="1525"/>
      <c r="I19" s="1522" t="s">
        <v>1375</v>
      </c>
      <c r="J19" s="1522" t="s">
        <v>1376</v>
      </c>
      <c r="K19" s="1522" t="s">
        <v>1377</v>
      </c>
      <c r="L19" s="1522" t="s">
        <v>1378</v>
      </c>
      <c r="M19" s="1522" t="s">
        <v>1379</v>
      </c>
      <c r="N19" s="1522" t="s">
        <v>1380</v>
      </c>
      <c r="O19" s="1522" t="s">
        <v>1381</v>
      </c>
      <c r="P19" s="1522" t="s">
        <v>1382</v>
      </c>
      <c r="Q19" s="1522" t="s">
        <v>1383</v>
      </c>
      <c r="R19" s="1522" t="s">
        <v>1384</v>
      </c>
    </row>
    <row r="20" spans="1:18" ht="14.25" customHeight="1" thickBot="1">
      <c r="A20" s="1528" t="s">
        <v>1281</v>
      </c>
      <c r="B20" s="1532" t="s">
        <v>1303</v>
      </c>
      <c r="C20" s="1522">
        <v>27660</v>
      </c>
      <c r="D20" s="1522">
        <v>24240</v>
      </c>
      <c r="E20" s="1522">
        <v>24020</v>
      </c>
      <c r="F20" s="1537"/>
      <c r="I20" s="1522" t="s">
        <v>1385</v>
      </c>
      <c r="J20" s="1522" t="s">
        <v>1386</v>
      </c>
      <c r="K20" s="1522" t="s">
        <v>1387</v>
      </c>
      <c r="L20" s="1522" t="s">
        <v>1388</v>
      </c>
      <c r="M20" s="1522" t="s">
        <v>1389</v>
      </c>
      <c r="N20" s="1522" t="s">
        <v>1390</v>
      </c>
      <c r="O20" s="1522" t="s">
        <v>1391</v>
      </c>
      <c r="P20" s="1522" t="s">
        <v>1392</v>
      </c>
      <c r="Q20" s="1522" t="s">
        <v>1393</v>
      </c>
      <c r="R20" s="1522" t="s">
        <v>1394</v>
      </c>
    </row>
    <row r="21" spans="1:18" ht="14.25" customHeight="1" thickBot="1">
      <c r="A21" s="1528" t="s">
        <v>1281</v>
      </c>
      <c r="B21" s="1532" t="s">
        <v>1313</v>
      </c>
      <c r="C21" s="1522">
        <v>24720</v>
      </c>
      <c r="D21" s="1522">
        <v>21670</v>
      </c>
      <c r="E21" s="1522">
        <v>21510</v>
      </c>
      <c r="F21" s="1537"/>
      <c r="J21" s="1522" t="s">
        <v>1395</v>
      </c>
      <c r="K21" s="1522" t="s">
        <v>1396</v>
      </c>
      <c r="L21" s="1522" t="s">
        <v>1397</v>
      </c>
      <c r="M21" s="1522" t="s">
        <v>1398</v>
      </c>
      <c r="N21" s="1522" t="s">
        <v>1399</v>
      </c>
      <c r="O21" s="1522" t="s">
        <v>1400</v>
      </c>
      <c r="P21" s="1522" t="s">
        <v>1401</v>
      </c>
      <c r="Q21" s="1522" t="s">
        <v>1402</v>
      </c>
      <c r="R21" s="1522" t="s">
        <v>1403</v>
      </c>
    </row>
    <row r="22" spans="1:18" ht="14.25" customHeight="1" thickBot="1">
      <c r="A22" s="1528" t="s">
        <v>1281</v>
      </c>
      <c r="B22" s="1532" t="s">
        <v>1404</v>
      </c>
      <c r="C22" s="1522">
        <v>26530</v>
      </c>
      <c r="D22" s="1522">
        <v>22980</v>
      </c>
      <c r="E22" s="1522">
        <v>22650</v>
      </c>
      <c r="F22" s="1537"/>
      <c r="K22" s="1522" t="s">
        <v>1405</v>
      </c>
      <c r="L22" s="1522" t="s">
        <v>1406</v>
      </c>
      <c r="M22" s="1522" t="s">
        <v>1407</v>
      </c>
      <c r="N22" s="1522" t="s">
        <v>1408</v>
      </c>
      <c r="O22" s="1522" t="s">
        <v>1409</v>
      </c>
      <c r="P22" s="1522" t="s">
        <v>1410</v>
      </c>
      <c r="Q22" s="1522" t="s">
        <v>1411</v>
      </c>
      <c r="R22" s="1532" t="s">
        <v>1412</v>
      </c>
    </row>
    <row r="23" spans="1:18" ht="14.25" customHeight="1" thickBot="1">
      <c r="A23" s="1528" t="s">
        <v>1281</v>
      </c>
      <c r="B23" s="1532" t="s">
        <v>1334</v>
      </c>
      <c r="C23" s="1522">
        <v>24700</v>
      </c>
      <c r="D23" s="1522">
        <v>27290</v>
      </c>
      <c r="E23" s="1522">
        <v>26710</v>
      </c>
      <c r="F23" s="1537"/>
      <c r="K23" s="1522" t="s">
        <v>1413</v>
      </c>
      <c r="L23" s="1522" t="s">
        <v>1414</v>
      </c>
      <c r="M23" s="1522" t="s">
        <v>1415</v>
      </c>
      <c r="N23" s="1522" t="s">
        <v>1416</v>
      </c>
      <c r="O23" s="1522" t="s">
        <v>1417</v>
      </c>
      <c r="P23" s="1522" t="s">
        <v>1418</v>
      </c>
      <c r="Q23" s="1522" t="s">
        <v>1419</v>
      </c>
    </row>
    <row r="24" spans="1:18" ht="14.25" customHeight="1" thickBot="1">
      <c r="A24" s="1528" t="s">
        <v>1281</v>
      </c>
      <c r="B24" s="1532" t="s">
        <v>1345</v>
      </c>
      <c r="C24" s="1522">
        <v>23070</v>
      </c>
      <c r="D24" s="1522">
        <v>24130</v>
      </c>
      <c r="E24" s="1522">
        <v>23860</v>
      </c>
      <c r="F24" s="1537"/>
      <c r="K24" s="1522" t="s">
        <v>1420</v>
      </c>
      <c r="L24" s="1522" t="s">
        <v>1421</v>
      </c>
      <c r="M24" s="1522" t="s">
        <v>1422</v>
      </c>
      <c r="N24" s="1522" t="s">
        <v>1423</v>
      </c>
      <c r="O24" s="1522" t="s">
        <v>1424</v>
      </c>
      <c r="P24" s="1522" t="s">
        <v>1425</v>
      </c>
      <c r="Q24" s="1522" t="s">
        <v>1426</v>
      </c>
    </row>
    <row r="25" spans="1:18" ht="14.25" customHeight="1" thickBot="1">
      <c r="A25" s="1528" t="s">
        <v>1281</v>
      </c>
      <c r="B25" s="1532" t="s">
        <v>1355</v>
      </c>
      <c r="C25" s="1522">
        <v>27550</v>
      </c>
      <c r="D25" s="1522">
        <v>25850</v>
      </c>
      <c r="E25" s="1522">
        <v>25340</v>
      </c>
      <c r="F25" s="1537"/>
      <c r="K25" s="1522" t="s">
        <v>1427</v>
      </c>
      <c r="L25" s="1522" t="s">
        <v>1428</v>
      </c>
      <c r="M25" s="1522" t="s">
        <v>1429</v>
      </c>
      <c r="N25" s="1522" t="s">
        <v>1430</v>
      </c>
      <c r="O25" s="1522" t="s">
        <v>1431</v>
      </c>
      <c r="P25" s="1522" t="s">
        <v>1432</v>
      </c>
      <c r="Q25" s="1522" t="s">
        <v>1433</v>
      </c>
    </row>
    <row r="26" spans="1:18" ht="14.25" customHeight="1" thickBot="1">
      <c r="A26" s="1528" t="s">
        <v>1281</v>
      </c>
      <c r="B26" s="1532" t="s">
        <v>1365</v>
      </c>
      <c r="C26" s="1522"/>
      <c r="D26" s="1522">
        <v>23900</v>
      </c>
      <c r="E26" s="1522">
        <v>23590</v>
      </c>
      <c r="F26" s="1537"/>
      <c r="K26" s="1522" t="s">
        <v>1434</v>
      </c>
      <c r="L26" s="1522" t="s">
        <v>1435</v>
      </c>
      <c r="M26" s="1522" t="s">
        <v>1436</v>
      </c>
      <c r="N26" s="1522" t="s">
        <v>1437</v>
      </c>
      <c r="O26" s="1522" t="s">
        <v>1438</v>
      </c>
      <c r="P26" s="1522" t="s">
        <v>1439</v>
      </c>
      <c r="Q26" s="1522" t="s">
        <v>1440</v>
      </c>
    </row>
    <row r="27" spans="1:18" ht="14.25" customHeight="1" thickBot="1">
      <c r="A27" s="1528" t="s">
        <v>1281</v>
      </c>
      <c r="B27" s="1532" t="s">
        <v>1375</v>
      </c>
      <c r="C27" s="1522"/>
      <c r="D27" s="1522">
        <v>22850</v>
      </c>
      <c r="E27" s="1522">
        <v>21920</v>
      </c>
      <c r="F27" s="1537"/>
      <c r="K27" s="1522" t="s">
        <v>1441</v>
      </c>
      <c r="L27" s="1522" t="s">
        <v>1442</v>
      </c>
      <c r="M27" s="1522" t="s">
        <v>1443</v>
      </c>
      <c r="N27" s="1522" t="s">
        <v>1444</v>
      </c>
      <c r="O27" s="1522" t="s">
        <v>1445</v>
      </c>
      <c r="P27" s="1522" t="s">
        <v>1446</v>
      </c>
      <c r="Q27" s="1522" t="s">
        <v>1447</v>
      </c>
    </row>
    <row r="28" spans="1:18" ht="14.25" customHeight="1" thickBot="1">
      <c r="A28" s="1538" t="s">
        <v>1281</v>
      </c>
      <c r="B28" s="1533" t="s">
        <v>1385</v>
      </c>
      <c r="C28" s="1534"/>
      <c r="D28" s="1534">
        <v>26610</v>
      </c>
      <c r="E28" s="1534">
        <v>26370</v>
      </c>
      <c r="F28" s="1535"/>
      <c r="K28" s="1522" t="s">
        <v>1448</v>
      </c>
      <c r="L28" s="1522" t="s">
        <v>1449</v>
      </c>
      <c r="M28" s="1522" t="s">
        <v>1450</v>
      </c>
      <c r="N28" s="1522" t="s">
        <v>1451</v>
      </c>
      <c r="O28" s="1522" t="s">
        <v>1452</v>
      </c>
      <c r="P28" s="1522" t="s">
        <v>1453</v>
      </c>
    </row>
    <row r="29" spans="1:18" ht="14.25" customHeight="1" thickBot="1">
      <c r="A29" s="1528" t="s">
        <v>1454</v>
      </c>
      <c r="B29" s="1529" t="s">
        <v>1455</v>
      </c>
      <c r="C29" s="1529">
        <v>22090</v>
      </c>
      <c r="D29" s="1529">
        <v>21860</v>
      </c>
      <c r="E29" s="1529">
        <v>19380</v>
      </c>
      <c r="F29" s="1530">
        <v>6610</v>
      </c>
      <c r="L29" s="1522" t="s">
        <v>1456</v>
      </c>
      <c r="M29" s="1522" t="s">
        <v>1457</v>
      </c>
      <c r="N29" s="1522" t="s">
        <v>1458</v>
      </c>
      <c r="O29" s="1522" t="s">
        <v>1459</v>
      </c>
      <c r="P29" s="1522" t="s">
        <v>1460</v>
      </c>
    </row>
    <row r="30" spans="1:18" ht="14.25" customHeight="1" thickBot="1">
      <c r="A30" s="1528" t="s">
        <v>1454</v>
      </c>
      <c r="B30" s="1532" t="s">
        <v>1201</v>
      </c>
      <c r="C30" s="1522">
        <v>21380</v>
      </c>
      <c r="D30" s="1522">
        <v>19930</v>
      </c>
      <c r="E30" s="1522">
        <v>19860</v>
      </c>
      <c r="F30" s="1536">
        <v>6010</v>
      </c>
      <c r="L30" s="1522" t="s">
        <v>1461</v>
      </c>
      <c r="M30" s="1522" t="s">
        <v>1462</v>
      </c>
      <c r="N30" s="1522" t="s">
        <v>1463</v>
      </c>
      <c r="O30" s="1522" t="s">
        <v>2497</v>
      </c>
      <c r="P30" s="1522" t="s">
        <v>1464</v>
      </c>
    </row>
    <row r="31" spans="1:18" ht="14.25" customHeight="1" thickBot="1">
      <c r="A31" s="1528" t="s">
        <v>1454</v>
      </c>
      <c r="B31" s="1532" t="s">
        <v>1214</v>
      </c>
      <c r="C31" s="1522">
        <v>21670</v>
      </c>
      <c r="D31" s="1522">
        <v>20660</v>
      </c>
      <c r="E31" s="1522">
        <v>20290</v>
      </c>
      <c r="F31" s="1536">
        <v>5840</v>
      </c>
      <c r="L31" s="1522" t="s">
        <v>1465</v>
      </c>
      <c r="M31" s="1522" t="s">
        <v>1466</v>
      </c>
      <c r="N31" s="1522" t="s">
        <v>1467</v>
      </c>
      <c r="O31" s="1522" t="s">
        <v>1468</v>
      </c>
      <c r="P31" s="1522" t="s">
        <v>1469</v>
      </c>
    </row>
    <row r="32" spans="1:18" ht="14.25" customHeight="1" thickBot="1">
      <c r="A32" s="1528" t="s">
        <v>1454</v>
      </c>
      <c r="B32" s="1532" t="s">
        <v>1227</v>
      </c>
      <c r="C32" s="1522">
        <v>22280</v>
      </c>
      <c r="D32" s="1522">
        <v>21800</v>
      </c>
      <c r="E32" s="1522">
        <v>17650</v>
      </c>
      <c r="F32" s="1536">
        <v>4690</v>
      </c>
      <c r="L32" s="1522" t="s">
        <v>1470</v>
      </c>
      <c r="M32" s="1522" t="s">
        <v>1471</v>
      </c>
      <c r="N32" s="1522" t="s">
        <v>1472</v>
      </c>
      <c r="O32" s="1522" t="s">
        <v>1473</v>
      </c>
      <c r="P32" s="1522" t="s">
        <v>1474</v>
      </c>
    </row>
    <row r="33" spans="1:16" ht="14.25" customHeight="1" thickBot="1">
      <c r="A33" s="1528" t="s">
        <v>1454</v>
      </c>
      <c r="B33" s="1532" t="s">
        <v>1239</v>
      </c>
      <c r="C33" s="1522">
        <v>22130</v>
      </c>
      <c r="D33" s="1522">
        <v>20460</v>
      </c>
      <c r="E33" s="1522">
        <v>18500</v>
      </c>
      <c r="F33" s="1536">
        <v>5340</v>
      </c>
      <c r="L33" s="1522" t="s">
        <v>1475</v>
      </c>
      <c r="M33" s="1522" t="s">
        <v>1476</v>
      </c>
      <c r="N33" s="1522" t="s">
        <v>1477</v>
      </c>
      <c r="O33" s="1522" t="s">
        <v>1478</v>
      </c>
      <c r="P33" s="1522" t="s">
        <v>1479</v>
      </c>
    </row>
    <row r="34" spans="1:16" ht="14.25" customHeight="1" thickBot="1">
      <c r="A34" s="1528" t="s">
        <v>1454</v>
      </c>
      <c r="B34" s="1532" t="s">
        <v>1250</v>
      </c>
      <c r="C34" s="1522">
        <v>22070</v>
      </c>
      <c r="D34" s="1522">
        <v>20110</v>
      </c>
      <c r="E34" s="1522">
        <v>18830</v>
      </c>
      <c r="F34" s="1536">
        <v>5190</v>
      </c>
      <c r="L34" s="1522" t="s">
        <v>1480</v>
      </c>
      <c r="M34" s="1522" t="s">
        <v>1481</v>
      </c>
      <c r="N34" s="1522" t="s">
        <v>1482</v>
      </c>
      <c r="O34" s="1522" t="s">
        <v>1483</v>
      </c>
      <c r="P34" s="1522" t="s">
        <v>1484</v>
      </c>
    </row>
    <row r="35" spans="1:16" ht="14.25" customHeight="1" thickBot="1">
      <c r="A35" s="1528" t="s">
        <v>1454</v>
      </c>
      <c r="B35" s="1532" t="s">
        <v>1261</v>
      </c>
      <c r="C35" s="1522">
        <v>22240</v>
      </c>
      <c r="D35" s="1522">
        <v>19550</v>
      </c>
      <c r="E35" s="1522">
        <v>19220</v>
      </c>
      <c r="F35" s="1536">
        <v>5800</v>
      </c>
      <c r="L35" s="1522" t="s">
        <v>1485</v>
      </c>
      <c r="M35" s="1522" t="s">
        <v>1486</v>
      </c>
      <c r="N35" s="1522" t="s">
        <v>1487</v>
      </c>
      <c r="O35" s="1522" t="s">
        <v>1488</v>
      </c>
      <c r="P35" s="1522" t="s">
        <v>1489</v>
      </c>
    </row>
    <row r="36" spans="1:16" ht="14.25" customHeight="1" thickBot="1">
      <c r="A36" s="1528" t="s">
        <v>1454</v>
      </c>
      <c r="B36" s="1532" t="s">
        <v>1272</v>
      </c>
      <c r="C36" s="1522">
        <v>19750</v>
      </c>
      <c r="D36" s="1522">
        <v>19790</v>
      </c>
      <c r="E36" s="1522">
        <v>18510</v>
      </c>
      <c r="F36" s="1536">
        <v>6520</v>
      </c>
      <c r="M36" s="1522" t="s">
        <v>1490</v>
      </c>
      <c r="N36" s="1522" t="s">
        <v>1491</v>
      </c>
      <c r="O36" s="1522" t="s">
        <v>1492</v>
      </c>
      <c r="P36" s="1522" t="s">
        <v>1493</v>
      </c>
    </row>
    <row r="37" spans="1:16" ht="14.25" customHeight="1" thickBot="1">
      <c r="A37" s="1528" t="s">
        <v>1454</v>
      </c>
      <c r="B37" s="1532" t="s">
        <v>1284</v>
      </c>
      <c r="C37" s="1522">
        <v>22380</v>
      </c>
      <c r="D37" s="1522">
        <v>18530</v>
      </c>
      <c r="E37" s="1522">
        <v>17930</v>
      </c>
      <c r="F37" s="1536">
        <v>6270</v>
      </c>
      <c r="M37" s="1522" t="s">
        <v>1494</v>
      </c>
      <c r="N37" s="1522" t="s">
        <v>1495</v>
      </c>
      <c r="O37" s="1522" t="s">
        <v>1496</v>
      </c>
      <c r="P37" s="1522" t="s">
        <v>1497</v>
      </c>
    </row>
    <row r="38" spans="1:16" ht="14.25" customHeight="1" thickBot="1">
      <c r="A38" s="1528" t="s">
        <v>1454</v>
      </c>
      <c r="B38" s="1532" t="s">
        <v>1294</v>
      </c>
      <c r="C38" s="1522">
        <v>20200</v>
      </c>
      <c r="D38" s="1522">
        <v>20070</v>
      </c>
      <c r="E38" s="1522">
        <v>19950</v>
      </c>
      <c r="F38" s="1536"/>
      <c r="M38" s="1522" t="s">
        <v>1498</v>
      </c>
      <c r="N38" s="1522" t="s">
        <v>1499</v>
      </c>
      <c r="O38" s="1522" t="s">
        <v>1500</v>
      </c>
      <c r="P38" s="1522" t="s">
        <v>1501</v>
      </c>
    </row>
    <row r="39" spans="1:16" ht="14.25" customHeight="1" thickBot="1">
      <c r="A39" s="1528" t="s">
        <v>1454</v>
      </c>
      <c r="B39" s="1532" t="s">
        <v>1304</v>
      </c>
      <c r="C39" s="1522">
        <v>19300</v>
      </c>
      <c r="D39" s="1522">
        <v>20360</v>
      </c>
      <c r="E39" s="1522">
        <v>20230</v>
      </c>
      <c r="F39" s="1536"/>
      <c r="M39" s="1522" t="s">
        <v>1502</v>
      </c>
      <c r="N39" s="1522" t="s">
        <v>1503</v>
      </c>
      <c r="O39" s="1522" t="s">
        <v>1504</v>
      </c>
      <c r="P39" s="1522" t="s">
        <v>1505</v>
      </c>
    </row>
    <row r="40" spans="1:16" ht="14.25" customHeight="1" thickBot="1">
      <c r="A40" s="1528" t="s">
        <v>1454</v>
      </c>
      <c r="B40" s="1532" t="s">
        <v>1314</v>
      </c>
      <c r="C40" s="1522">
        <v>20210</v>
      </c>
      <c r="D40" s="1522">
        <v>19060</v>
      </c>
      <c r="E40" s="1522">
        <v>18890</v>
      </c>
      <c r="F40" s="1536"/>
      <c r="M40" s="1522" t="s">
        <v>1506</v>
      </c>
      <c r="N40" s="1522" t="s">
        <v>1507</v>
      </c>
      <c r="O40" s="1522" t="s">
        <v>1508</v>
      </c>
      <c r="P40" s="1522" t="s">
        <v>1509</v>
      </c>
    </row>
    <row r="41" spans="1:16" ht="14.25" customHeight="1" thickBot="1">
      <c r="A41" s="1528" t="s">
        <v>1454</v>
      </c>
      <c r="B41" s="1532" t="s">
        <v>1324</v>
      </c>
      <c r="C41" s="1522">
        <v>20560</v>
      </c>
      <c r="D41" s="1522">
        <v>21040</v>
      </c>
      <c r="E41" s="1522">
        <v>20740</v>
      </c>
      <c r="F41" s="1536"/>
      <c r="M41" s="1532" t="s">
        <v>1510</v>
      </c>
      <c r="N41" s="1532" t="s">
        <v>1511</v>
      </c>
      <c r="P41" s="1532" t="s">
        <v>1512</v>
      </c>
    </row>
    <row r="42" spans="1:16" ht="14.25" customHeight="1" thickBot="1">
      <c r="A42" s="1528" t="s">
        <v>1454</v>
      </c>
      <c r="B42" s="1532" t="s">
        <v>1335</v>
      </c>
      <c r="C42" s="1522">
        <v>19280</v>
      </c>
      <c r="D42" s="1522">
        <v>22940</v>
      </c>
      <c r="E42" s="1522">
        <v>22500</v>
      </c>
      <c r="F42" s="1536"/>
      <c r="M42" s="1522" t="s">
        <v>1513</v>
      </c>
      <c r="N42" s="1522" t="s">
        <v>1514</v>
      </c>
      <c r="P42" s="1522" t="s">
        <v>1515</v>
      </c>
    </row>
    <row r="43" spans="1:16" ht="14.25" customHeight="1" thickBot="1">
      <c r="A43" s="1528" t="s">
        <v>1454</v>
      </c>
      <c r="B43" s="1532" t="s">
        <v>1346</v>
      </c>
      <c r="C43" s="1522">
        <v>21520</v>
      </c>
      <c r="D43" s="1522">
        <v>19230</v>
      </c>
      <c r="E43" s="1522">
        <v>18540</v>
      </c>
      <c r="F43" s="1536"/>
      <c r="M43" s="1522" t="s">
        <v>1516</v>
      </c>
      <c r="N43" s="1522" t="s">
        <v>1517</v>
      </c>
      <c r="P43" s="1522" t="s">
        <v>1518</v>
      </c>
    </row>
    <row r="44" spans="1:16" ht="14.25" customHeight="1" thickBot="1">
      <c r="A44" s="1528" t="s">
        <v>1454</v>
      </c>
      <c r="B44" s="1532" t="s">
        <v>1356</v>
      </c>
      <c r="C44" s="1522">
        <v>23260</v>
      </c>
      <c r="D44" s="1522">
        <v>21180</v>
      </c>
      <c r="E44" s="1522">
        <v>20730</v>
      </c>
      <c r="F44" s="1536"/>
      <c r="M44" s="1522" t="s">
        <v>1519</v>
      </c>
      <c r="N44" s="1522" t="s">
        <v>1520</v>
      </c>
      <c r="P44" s="1522" t="s">
        <v>1521</v>
      </c>
    </row>
    <row r="45" spans="1:16" ht="14.25" customHeight="1" thickBot="1">
      <c r="A45" s="1528" t="s">
        <v>1454</v>
      </c>
      <c r="B45" s="1532" t="s">
        <v>1366</v>
      </c>
      <c r="C45" s="1522">
        <v>19610</v>
      </c>
      <c r="D45" s="1522">
        <v>18090</v>
      </c>
      <c r="E45" s="1522">
        <v>17970</v>
      </c>
      <c r="F45" s="1536"/>
      <c r="M45" s="1522" t="s">
        <v>1522</v>
      </c>
      <c r="N45" s="1522" t="s">
        <v>1523</v>
      </c>
      <c r="P45" s="1522" t="s">
        <v>1524</v>
      </c>
    </row>
    <row r="46" spans="1:16" ht="14.25" customHeight="1" thickBot="1">
      <c r="A46" s="1528" t="s">
        <v>1454</v>
      </c>
      <c r="B46" s="1532" t="s">
        <v>1376</v>
      </c>
      <c r="C46" s="1522">
        <v>21660</v>
      </c>
      <c r="D46" s="1522">
        <v>19190</v>
      </c>
      <c r="E46" s="1522">
        <v>19790</v>
      </c>
      <c r="F46" s="1536"/>
      <c r="M46" s="1522" t="s">
        <v>1525</v>
      </c>
      <c r="N46" s="1522" t="s">
        <v>1526</v>
      </c>
      <c r="P46" s="1522" t="s">
        <v>1527</v>
      </c>
    </row>
    <row r="47" spans="1:16" ht="14.25" customHeight="1" thickBot="1">
      <c r="A47" s="1528" t="s">
        <v>1454</v>
      </c>
      <c r="B47" s="1532" t="s">
        <v>1386</v>
      </c>
      <c r="C47" s="1522">
        <v>18220</v>
      </c>
      <c r="D47" s="1522"/>
      <c r="E47" s="1522">
        <v>17220</v>
      </c>
      <c r="F47" s="1536"/>
      <c r="M47" s="1522" t="s">
        <v>1528</v>
      </c>
      <c r="N47" s="1522" t="s">
        <v>1529</v>
      </c>
    </row>
    <row r="48" spans="1:16" ht="14.25" customHeight="1" thickBot="1">
      <c r="A48" s="1528" t="s">
        <v>1454</v>
      </c>
      <c r="B48" s="1533" t="s">
        <v>1395</v>
      </c>
      <c r="C48" s="1534">
        <v>19430</v>
      </c>
      <c r="D48" s="1534"/>
      <c r="E48" s="1534">
        <v>17830</v>
      </c>
      <c r="F48" s="1539"/>
      <c r="M48" s="1522" t="s">
        <v>1530</v>
      </c>
      <c r="N48" s="1522" t="s">
        <v>1531</v>
      </c>
    </row>
    <row r="49" spans="1:14" ht="14.25" customHeight="1" thickBot="1">
      <c r="A49" s="1528" t="s">
        <v>1135</v>
      </c>
      <c r="B49" s="1529" t="s">
        <v>1532</v>
      </c>
      <c r="C49" s="1529">
        <v>17090</v>
      </c>
      <c r="D49" s="1529">
        <v>16950</v>
      </c>
      <c r="E49" s="1529">
        <v>16310</v>
      </c>
      <c r="F49" s="1530">
        <v>4540</v>
      </c>
      <c r="M49" s="1522" t="s">
        <v>1533</v>
      </c>
      <c r="N49" s="1522" t="s">
        <v>1534</v>
      </c>
    </row>
    <row r="50" spans="1:14" ht="14.25" customHeight="1" thickBot="1">
      <c r="A50" s="1528" t="s">
        <v>1135</v>
      </c>
      <c r="B50" s="1522" t="s">
        <v>1202</v>
      </c>
      <c r="C50" s="1522">
        <v>19040</v>
      </c>
      <c r="D50" s="1522">
        <v>16960</v>
      </c>
      <c r="E50" s="1522">
        <v>14800</v>
      </c>
      <c r="F50" s="1536">
        <v>3940</v>
      </c>
    </row>
    <row r="51" spans="1:14" ht="14.25" customHeight="1" thickBot="1">
      <c r="A51" s="1528" t="s">
        <v>1135</v>
      </c>
      <c r="B51" s="1522" t="s">
        <v>1215</v>
      </c>
      <c r="C51" s="1522">
        <v>17040</v>
      </c>
      <c r="D51" s="1522">
        <v>16930</v>
      </c>
      <c r="E51" s="1522">
        <v>15030</v>
      </c>
      <c r="F51" s="1536">
        <v>4120</v>
      </c>
    </row>
    <row r="52" spans="1:14" ht="14.25" customHeight="1" thickBot="1">
      <c r="A52" s="1528" t="s">
        <v>1135</v>
      </c>
      <c r="B52" s="1522" t="s">
        <v>1228</v>
      </c>
      <c r="C52" s="1522">
        <v>17110</v>
      </c>
      <c r="D52" s="1522">
        <v>17750</v>
      </c>
      <c r="E52" s="1522">
        <v>17310</v>
      </c>
      <c r="F52" s="1536">
        <v>3220</v>
      </c>
    </row>
    <row r="53" spans="1:14" ht="14.25" customHeight="1" thickBot="1">
      <c r="A53" s="1528" t="s">
        <v>1135</v>
      </c>
      <c r="B53" s="1522" t="s">
        <v>1240</v>
      </c>
      <c r="C53" s="1522">
        <v>17810</v>
      </c>
      <c r="D53" s="1522">
        <v>17260</v>
      </c>
      <c r="E53" s="1522">
        <v>17090</v>
      </c>
      <c r="F53" s="1536">
        <v>3520</v>
      </c>
    </row>
    <row r="54" spans="1:14" ht="14.25" customHeight="1" thickBot="1">
      <c r="A54" s="1528" t="s">
        <v>1135</v>
      </c>
      <c r="B54" s="1522" t="s">
        <v>1251</v>
      </c>
      <c r="C54" s="1522">
        <v>17410</v>
      </c>
      <c r="D54" s="1522">
        <v>16780</v>
      </c>
      <c r="E54" s="1522">
        <v>16370</v>
      </c>
      <c r="F54" s="1536">
        <v>3410</v>
      </c>
    </row>
    <row r="55" spans="1:14" ht="14.25" customHeight="1" thickBot="1">
      <c r="A55" s="1528" t="s">
        <v>1135</v>
      </c>
      <c r="B55" s="1522" t="s">
        <v>1262</v>
      </c>
      <c r="C55" s="1522">
        <v>16930</v>
      </c>
      <c r="D55" s="1522">
        <v>14720</v>
      </c>
      <c r="E55" s="1522">
        <v>15000</v>
      </c>
      <c r="F55" s="1536">
        <v>3710</v>
      </c>
    </row>
    <row r="56" spans="1:14" ht="14.25" customHeight="1" thickBot="1">
      <c r="A56" s="1528" t="s">
        <v>1135</v>
      </c>
      <c r="B56" s="1522" t="s">
        <v>1273</v>
      </c>
      <c r="C56" s="1522">
        <v>14930</v>
      </c>
      <c r="D56" s="1522">
        <v>15850</v>
      </c>
      <c r="E56" s="1522">
        <v>14320</v>
      </c>
      <c r="F56" s="1536">
        <v>3960</v>
      </c>
    </row>
    <row r="57" spans="1:14" ht="14.25" customHeight="1" thickBot="1">
      <c r="A57" s="1528" t="s">
        <v>1135</v>
      </c>
      <c r="B57" s="1522" t="s">
        <v>1285</v>
      </c>
      <c r="C57" s="1522">
        <v>16160</v>
      </c>
      <c r="D57" s="1522">
        <v>16190</v>
      </c>
      <c r="E57" s="1522">
        <v>15650</v>
      </c>
      <c r="F57" s="1536">
        <v>4200</v>
      </c>
    </row>
    <row r="58" spans="1:14" ht="14.25" customHeight="1" thickBot="1">
      <c r="A58" s="1528" t="s">
        <v>1135</v>
      </c>
      <c r="B58" s="1522" t="s">
        <v>1295</v>
      </c>
      <c r="C58" s="1522">
        <v>16360</v>
      </c>
      <c r="D58" s="1522">
        <v>14050</v>
      </c>
      <c r="E58" s="1522">
        <v>16070</v>
      </c>
      <c r="F58" s="1536">
        <v>3990</v>
      </c>
    </row>
    <row r="59" spans="1:14" ht="14.25" customHeight="1" thickBot="1">
      <c r="A59" s="1528" t="s">
        <v>1135</v>
      </c>
      <c r="B59" s="1522" t="s">
        <v>1305</v>
      </c>
      <c r="C59" s="1522">
        <v>14160</v>
      </c>
      <c r="D59" s="1522">
        <v>16620</v>
      </c>
      <c r="E59" s="1522">
        <v>13940</v>
      </c>
      <c r="F59" s="1536">
        <v>4260</v>
      </c>
    </row>
    <row r="60" spans="1:14" ht="14.25" customHeight="1" thickBot="1">
      <c r="A60" s="1528" t="s">
        <v>1135</v>
      </c>
      <c r="B60" s="1522" t="s">
        <v>1315</v>
      </c>
      <c r="C60" s="1522">
        <v>16750</v>
      </c>
      <c r="D60" s="1522">
        <v>13910</v>
      </c>
      <c r="E60" s="1522">
        <v>16550</v>
      </c>
      <c r="F60" s="1536">
        <v>4550</v>
      </c>
    </row>
    <row r="61" spans="1:14" ht="14.25" customHeight="1" thickBot="1">
      <c r="A61" s="1528" t="s">
        <v>1135</v>
      </c>
      <c r="B61" s="1522" t="s">
        <v>1325</v>
      </c>
      <c r="C61" s="1522">
        <v>14000</v>
      </c>
      <c r="D61" s="1522">
        <v>14550</v>
      </c>
      <c r="E61" s="1522">
        <v>13860</v>
      </c>
      <c r="F61" s="1540"/>
    </row>
    <row r="62" spans="1:14" ht="14.25" customHeight="1" thickBot="1">
      <c r="A62" s="1528" t="s">
        <v>1135</v>
      </c>
      <c r="B62" s="1522" t="s">
        <v>1336</v>
      </c>
      <c r="C62" s="1522">
        <v>14660</v>
      </c>
      <c r="D62" s="1522">
        <v>17450</v>
      </c>
      <c r="E62" s="1522">
        <v>14470</v>
      </c>
      <c r="F62" s="1540"/>
    </row>
    <row r="63" spans="1:14" ht="14.25" customHeight="1" thickBot="1">
      <c r="A63" s="1528" t="s">
        <v>1135</v>
      </c>
      <c r="B63" s="1522" t="s">
        <v>1347</v>
      </c>
      <c r="C63" s="1522">
        <v>17610</v>
      </c>
      <c r="D63" s="1522">
        <v>16500</v>
      </c>
      <c r="E63" s="1522">
        <v>17330</v>
      </c>
      <c r="F63" s="1540"/>
    </row>
    <row r="64" spans="1:14" ht="14.25" customHeight="1" thickBot="1">
      <c r="A64" s="1528" t="s">
        <v>1135</v>
      </c>
      <c r="B64" s="1522" t="s">
        <v>1357</v>
      </c>
      <c r="C64" s="1522">
        <v>16590</v>
      </c>
      <c r="D64" s="1522">
        <v>15130</v>
      </c>
      <c r="E64" s="1522">
        <v>16420</v>
      </c>
      <c r="F64" s="1540"/>
    </row>
    <row r="65" spans="1:6" s="1516" customFormat="1" ht="14.25" customHeight="1" thickBot="1">
      <c r="A65" s="1528" t="s">
        <v>1135</v>
      </c>
      <c r="B65" s="1522" t="s">
        <v>1367</v>
      </c>
      <c r="C65" s="1522">
        <v>15220</v>
      </c>
      <c r="D65" s="1522">
        <v>14660</v>
      </c>
      <c r="E65" s="1522">
        <v>15060</v>
      </c>
      <c r="F65" s="1536"/>
    </row>
    <row r="66" spans="1:6" s="1516" customFormat="1" ht="14.25" customHeight="1" thickBot="1">
      <c r="A66" s="1528" t="s">
        <v>1135</v>
      </c>
      <c r="B66" s="1522" t="s">
        <v>1377</v>
      </c>
      <c r="C66" s="1522">
        <v>14720</v>
      </c>
      <c r="D66" s="1522">
        <v>15970</v>
      </c>
      <c r="E66" s="1522">
        <v>14610</v>
      </c>
      <c r="F66" s="1536"/>
    </row>
    <row r="67" spans="1:6" s="1516" customFormat="1" ht="14.25" customHeight="1" thickBot="1">
      <c r="A67" s="1528" t="s">
        <v>1135</v>
      </c>
      <c r="B67" s="1522" t="s">
        <v>1387</v>
      </c>
      <c r="C67" s="1522">
        <v>16080</v>
      </c>
      <c r="D67" s="1522">
        <v>14840</v>
      </c>
      <c r="E67" s="1522">
        <v>15630</v>
      </c>
      <c r="F67" s="1536"/>
    </row>
    <row r="68" spans="1:6" s="1516" customFormat="1" ht="14.25" customHeight="1" thickBot="1">
      <c r="A68" s="1528" t="s">
        <v>1135</v>
      </c>
      <c r="B68" s="1522" t="s">
        <v>1396</v>
      </c>
      <c r="C68" s="1522">
        <v>14940</v>
      </c>
      <c r="D68" s="1522">
        <v>18000</v>
      </c>
      <c r="E68" s="1522">
        <v>14040</v>
      </c>
      <c r="F68" s="1536"/>
    </row>
    <row r="69" spans="1:6" s="1516" customFormat="1" ht="14.25" customHeight="1" thickBot="1">
      <c r="A69" s="1528" t="s">
        <v>1135</v>
      </c>
      <c r="B69" s="1522" t="s">
        <v>1405</v>
      </c>
      <c r="C69" s="1522">
        <v>18810</v>
      </c>
      <c r="D69" s="1522">
        <v>15100</v>
      </c>
      <c r="E69" s="1522">
        <v>14710</v>
      </c>
      <c r="F69" s="1536"/>
    </row>
    <row r="70" spans="1:6" s="1516" customFormat="1" ht="14.25" customHeight="1" thickBot="1">
      <c r="A70" s="1528" t="s">
        <v>1135</v>
      </c>
      <c r="B70" s="1522" t="s">
        <v>1413</v>
      </c>
      <c r="C70" s="1522">
        <v>18270</v>
      </c>
      <c r="D70" s="1522"/>
      <c r="E70" s="1522"/>
      <c r="F70" s="1536"/>
    </row>
    <row r="71" spans="1:6" s="1516" customFormat="1" ht="14.25" customHeight="1" thickBot="1">
      <c r="A71" s="1528" t="s">
        <v>1135</v>
      </c>
      <c r="B71" s="1522" t="s">
        <v>1420</v>
      </c>
      <c r="C71" s="1522">
        <v>15230</v>
      </c>
      <c r="D71" s="1522"/>
      <c r="E71" s="1522"/>
      <c r="F71" s="1536"/>
    </row>
    <row r="72" spans="1:6" s="1516" customFormat="1" ht="14.25" customHeight="1" thickBot="1">
      <c r="A72" s="1528" t="s">
        <v>1135</v>
      </c>
      <c r="B72" s="1522" t="s">
        <v>1427</v>
      </c>
      <c r="C72" s="1522"/>
      <c r="D72" s="1522"/>
      <c r="E72" s="1522"/>
      <c r="F72" s="1536">
        <v>4120</v>
      </c>
    </row>
    <row r="73" spans="1:6" s="1516" customFormat="1" ht="14.25" customHeight="1" thickBot="1">
      <c r="A73" s="1528" t="s">
        <v>1135</v>
      </c>
      <c r="B73" s="1522" t="s">
        <v>1434</v>
      </c>
      <c r="C73" s="1522"/>
      <c r="D73" s="1522"/>
      <c r="E73" s="1522"/>
      <c r="F73" s="1536">
        <v>3930</v>
      </c>
    </row>
    <row r="74" spans="1:6" s="1516" customFormat="1" ht="14.25" customHeight="1" thickBot="1">
      <c r="A74" s="1528" t="s">
        <v>1135</v>
      </c>
      <c r="B74" s="1522" t="s">
        <v>1441</v>
      </c>
      <c r="C74" s="1522"/>
      <c r="D74" s="1522"/>
      <c r="E74" s="1522"/>
      <c r="F74" s="1536">
        <v>4060</v>
      </c>
    </row>
    <row r="75" spans="1:6" s="1516" customFormat="1" ht="14.25" customHeight="1" thickBot="1">
      <c r="A75" s="1528" t="s">
        <v>1135</v>
      </c>
      <c r="B75" s="1534" t="s">
        <v>1448</v>
      </c>
      <c r="C75" s="1534"/>
      <c r="D75" s="1534"/>
      <c r="E75" s="1534"/>
      <c r="F75" s="1539">
        <v>3750</v>
      </c>
    </row>
    <row r="76" spans="1:6" s="1516" customFormat="1" ht="14.25" customHeight="1" thickBot="1">
      <c r="A76" s="1528" t="s">
        <v>1535</v>
      </c>
      <c r="B76" s="1529" t="s">
        <v>1536</v>
      </c>
      <c r="C76" s="1529">
        <v>14690</v>
      </c>
      <c r="D76" s="1529">
        <v>14640</v>
      </c>
      <c r="E76" s="1529">
        <v>14590</v>
      </c>
      <c r="F76" s="1530">
        <v>3060</v>
      </c>
    </row>
    <row r="77" spans="1:6" s="1516" customFormat="1" ht="14.25" customHeight="1" thickBot="1">
      <c r="A77" s="1528" t="s">
        <v>1535</v>
      </c>
      <c r="B77" s="1522" t="s">
        <v>1203</v>
      </c>
      <c r="C77" s="1522">
        <v>12550</v>
      </c>
      <c r="D77" s="1522">
        <v>12480</v>
      </c>
      <c r="E77" s="1522">
        <v>12450</v>
      </c>
      <c r="F77" s="1536">
        <v>2590</v>
      </c>
    </row>
    <row r="78" spans="1:6" s="1516" customFormat="1" ht="14.25" customHeight="1" thickBot="1">
      <c r="A78" s="1528" t="s">
        <v>1535</v>
      </c>
      <c r="B78" s="1522" t="s">
        <v>1216</v>
      </c>
      <c r="C78" s="1522">
        <v>14360</v>
      </c>
      <c r="D78" s="1522">
        <v>14320</v>
      </c>
      <c r="E78" s="1522">
        <v>12510</v>
      </c>
      <c r="F78" s="1536">
        <v>2700</v>
      </c>
    </row>
    <row r="79" spans="1:6" s="1516" customFormat="1" ht="14.25" customHeight="1" thickBot="1">
      <c r="A79" s="1528" t="s">
        <v>1535</v>
      </c>
      <c r="B79" s="1522" t="s">
        <v>1229</v>
      </c>
      <c r="C79" s="1522">
        <v>12590</v>
      </c>
      <c r="D79" s="1522">
        <v>12540</v>
      </c>
      <c r="E79" s="1522">
        <v>12350</v>
      </c>
      <c r="F79" s="1536">
        <v>2740</v>
      </c>
    </row>
    <row r="80" spans="1:6" s="1516" customFormat="1" ht="14.25" customHeight="1" thickBot="1">
      <c r="A80" s="1528" t="s">
        <v>1535</v>
      </c>
      <c r="B80" s="1522" t="s">
        <v>1241</v>
      </c>
      <c r="C80" s="1522">
        <v>12450</v>
      </c>
      <c r="D80" s="1522">
        <v>12370</v>
      </c>
      <c r="E80" s="1522">
        <v>10790</v>
      </c>
      <c r="F80" s="1536">
        <v>2290</v>
      </c>
    </row>
    <row r="81" spans="1:6" s="1516" customFormat="1" ht="14.25" customHeight="1" thickBot="1">
      <c r="A81" s="1528" t="s">
        <v>1535</v>
      </c>
      <c r="B81" s="1522" t="s">
        <v>1252</v>
      </c>
      <c r="C81" s="1522">
        <v>14210</v>
      </c>
      <c r="D81" s="1522">
        <v>14150</v>
      </c>
      <c r="E81" s="1522">
        <v>12730</v>
      </c>
      <c r="F81" s="1536">
        <v>2240</v>
      </c>
    </row>
    <row r="82" spans="1:6" s="1516" customFormat="1" ht="14.25" customHeight="1" thickBot="1">
      <c r="A82" s="1528" t="s">
        <v>1535</v>
      </c>
      <c r="B82" s="1522" t="s">
        <v>1263</v>
      </c>
      <c r="C82" s="1522">
        <v>10860</v>
      </c>
      <c r="D82" s="1522">
        <v>10820</v>
      </c>
      <c r="E82" s="1522">
        <v>14720</v>
      </c>
      <c r="F82" s="1536">
        <v>2490</v>
      </c>
    </row>
    <row r="83" spans="1:6" s="1516" customFormat="1" ht="14.25" customHeight="1" thickBot="1">
      <c r="A83" s="1528" t="s">
        <v>1535</v>
      </c>
      <c r="B83" s="1522" t="s">
        <v>1274</v>
      </c>
      <c r="C83" s="1522">
        <v>12810</v>
      </c>
      <c r="D83" s="1522">
        <v>12760</v>
      </c>
      <c r="E83" s="1522">
        <v>14830</v>
      </c>
      <c r="F83" s="1536">
        <v>2450</v>
      </c>
    </row>
    <row r="84" spans="1:6" s="1516" customFormat="1" ht="14.25" customHeight="1" thickBot="1">
      <c r="A84" s="1528" t="s">
        <v>1535</v>
      </c>
      <c r="B84" s="1522" t="s">
        <v>1286</v>
      </c>
      <c r="C84" s="1522">
        <v>14950</v>
      </c>
      <c r="D84" s="1522">
        <v>14810</v>
      </c>
      <c r="E84" s="1522">
        <v>12590</v>
      </c>
      <c r="F84" s="1536">
        <v>2540</v>
      </c>
    </row>
    <row r="85" spans="1:6" s="1516" customFormat="1" ht="14.25" customHeight="1" thickBot="1">
      <c r="A85" s="1528" t="s">
        <v>1535</v>
      </c>
      <c r="B85" s="1522" t="s">
        <v>1296</v>
      </c>
      <c r="C85" s="1522">
        <v>14960</v>
      </c>
      <c r="D85" s="1522">
        <v>14890</v>
      </c>
      <c r="E85" s="1522">
        <v>12840</v>
      </c>
      <c r="F85" s="1536">
        <v>2840</v>
      </c>
    </row>
    <row r="86" spans="1:6" s="1516" customFormat="1" ht="14.25" customHeight="1" thickBot="1">
      <c r="A86" s="1528" t="s">
        <v>1535</v>
      </c>
      <c r="B86" s="1522" t="s">
        <v>1306</v>
      </c>
      <c r="C86" s="1522">
        <v>12730</v>
      </c>
      <c r="D86" s="1522">
        <v>12660</v>
      </c>
      <c r="E86" s="1522">
        <v>13310</v>
      </c>
      <c r="F86" s="1536">
        <v>3140</v>
      </c>
    </row>
    <row r="87" spans="1:6" s="1516" customFormat="1" ht="14.25" customHeight="1" thickBot="1">
      <c r="A87" s="1528" t="s">
        <v>1535</v>
      </c>
      <c r="B87" s="1522" t="s">
        <v>1316</v>
      </c>
      <c r="C87" s="1522">
        <v>12940</v>
      </c>
      <c r="D87" s="1522">
        <v>12890</v>
      </c>
      <c r="E87" s="1522">
        <v>11580</v>
      </c>
      <c r="F87" s="1540"/>
    </row>
    <row r="88" spans="1:6" s="1516" customFormat="1" ht="14.25" customHeight="1" thickBot="1">
      <c r="A88" s="1528" t="s">
        <v>1535</v>
      </c>
      <c r="B88" s="1522" t="s">
        <v>1326</v>
      </c>
      <c r="C88" s="1522">
        <v>13430</v>
      </c>
      <c r="D88" s="1522">
        <v>13360</v>
      </c>
      <c r="E88" s="1522">
        <v>12790</v>
      </c>
      <c r="F88" s="1540"/>
    </row>
    <row r="89" spans="1:6" s="1516" customFormat="1" ht="14.25" customHeight="1" thickBot="1">
      <c r="A89" s="1528" t="s">
        <v>1535</v>
      </c>
      <c r="B89" s="1522" t="s">
        <v>1337</v>
      </c>
      <c r="C89" s="1522">
        <v>11680</v>
      </c>
      <c r="D89" s="1522">
        <v>11630</v>
      </c>
      <c r="E89" s="1522">
        <v>11320</v>
      </c>
      <c r="F89" s="1540"/>
    </row>
    <row r="90" spans="1:6" s="1516" customFormat="1" ht="14.25" customHeight="1" thickBot="1">
      <c r="A90" s="1528" t="s">
        <v>1535</v>
      </c>
      <c r="B90" s="1522" t="s">
        <v>1348</v>
      </c>
      <c r="C90" s="1522">
        <v>12890</v>
      </c>
      <c r="D90" s="1522">
        <v>12820</v>
      </c>
      <c r="E90" s="1522">
        <v>12710</v>
      </c>
      <c r="F90" s="1540"/>
    </row>
    <row r="91" spans="1:6" s="1516" customFormat="1" ht="14.25" customHeight="1" thickBot="1">
      <c r="A91" s="1528" t="s">
        <v>1535</v>
      </c>
      <c r="B91" s="1522" t="s">
        <v>1358</v>
      </c>
      <c r="C91" s="1522">
        <v>11410</v>
      </c>
      <c r="D91" s="1522">
        <v>11360</v>
      </c>
      <c r="E91" s="1522">
        <v>12670</v>
      </c>
      <c r="F91" s="1540"/>
    </row>
    <row r="92" spans="1:6" s="1516" customFormat="1" ht="14.25" customHeight="1" thickBot="1">
      <c r="A92" s="1528" t="s">
        <v>1535</v>
      </c>
      <c r="B92" s="1522" t="s">
        <v>1368</v>
      </c>
      <c r="C92" s="1522">
        <v>12770</v>
      </c>
      <c r="D92" s="1522">
        <v>12740</v>
      </c>
      <c r="E92" s="1522">
        <v>11970</v>
      </c>
      <c r="F92" s="1540"/>
    </row>
    <row r="93" spans="1:6" s="1516" customFormat="1" ht="14.25" customHeight="1" thickBot="1">
      <c r="A93" s="1528" t="s">
        <v>1535</v>
      </c>
      <c r="B93" s="1522" t="s">
        <v>1378</v>
      </c>
      <c r="C93" s="1522">
        <v>12740</v>
      </c>
      <c r="D93" s="1522">
        <v>12700</v>
      </c>
      <c r="E93" s="1522">
        <v>12540</v>
      </c>
      <c r="F93" s="1540"/>
    </row>
    <row r="94" spans="1:6" s="1516" customFormat="1" ht="14.25" customHeight="1" thickBot="1">
      <c r="A94" s="1528" t="s">
        <v>1535</v>
      </c>
      <c r="B94" s="1522" t="s">
        <v>1388</v>
      </c>
      <c r="C94" s="1522">
        <v>12020</v>
      </c>
      <c r="D94" s="1522">
        <v>11990</v>
      </c>
      <c r="E94" s="1522">
        <v>13110</v>
      </c>
      <c r="F94" s="1540"/>
    </row>
    <row r="95" spans="1:6" s="1516" customFormat="1" ht="14.25" customHeight="1" thickBot="1">
      <c r="A95" s="1528" t="s">
        <v>1535</v>
      </c>
      <c r="B95" s="1522" t="s">
        <v>1397</v>
      </c>
      <c r="C95" s="1522">
        <v>12620</v>
      </c>
      <c r="D95" s="1522">
        <v>12580</v>
      </c>
      <c r="E95" s="1522">
        <v>13160</v>
      </c>
      <c r="F95" s="1536"/>
    </row>
    <row r="96" spans="1:6" s="1516" customFormat="1" ht="14.25" customHeight="1" thickBot="1">
      <c r="A96" s="1528" t="s">
        <v>1535</v>
      </c>
      <c r="B96" s="1522" t="s">
        <v>1406</v>
      </c>
      <c r="C96" s="1522">
        <v>13200</v>
      </c>
      <c r="D96" s="1522">
        <v>13150</v>
      </c>
      <c r="E96" s="1522">
        <v>12900</v>
      </c>
      <c r="F96" s="1536"/>
    </row>
    <row r="97" spans="1:6" s="1516" customFormat="1" ht="14.25" customHeight="1" thickBot="1">
      <c r="A97" s="1528" t="s">
        <v>1535</v>
      </c>
      <c r="B97" s="1522" t="s">
        <v>1414</v>
      </c>
      <c r="C97" s="1522">
        <v>13270</v>
      </c>
      <c r="D97" s="1522">
        <v>13210</v>
      </c>
      <c r="E97" s="1522">
        <v>11080</v>
      </c>
      <c r="F97" s="1536"/>
    </row>
    <row r="98" spans="1:6" s="1516" customFormat="1" ht="14.25" customHeight="1" thickBot="1">
      <c r="A98" s="1528" t="s">
        <v>1535</v>
      </c>
      <c r="B98" s="1522" t="s">
        <v>1421</v>
      </c>
      <c r="C98" s="1522">
        <v>13010</v>
      </c>
      <c r="D98" s="1522">
        <v>12930</v>
      </c>
      <c r="E98" s="1522">
        <v>12840</v>
      </c>
      <c r="F98" s="1536"/>
    </row>
    <row r="99" spans="1:6" s="1516" customFormat="1" ht="14.25" customHeight="1" thickBot="1">
      <c r="A99" s="1528" t="s">
        <v>1535</v>
      </c>
      <c r="B99" s="1522" t="s">
        <v>1428</v>
      </c>
      <c r="C99" s="1522">
        <v>11190</v>
      </c>
      <c r="D99" s="1522">
        <v>11130</v>
      </c>
      <c r="E99" s="1522"/>
      <c r="F99" s="1536"/>
    </row>
    <row r="100" spans="1:6" s="1516" customFormat="1" ht="14.25" customHeight="1" thickBot="1">
      <c r="A100" s="1528" t="s">
        <v>1535</v>
      </c>
      <c r="B100" s="1522" t="s">
        <v>1435</v>
      </c>
      <c r="C100" s="1522">
        <v>14280</v>
      </c>
      <c r="D100" s="1522">
        <v>14180</v>
      </c>
      <c r="E100" s="1522"/>
      <c r="F100" s="1536"/>
    </row>
    <row r="101" spans="1:6" s="1516" customFormat="1" ht="14.25" customHeight="1" thickBot="1">
      <c r="A101" s="1528" t="s">
        <v>1535</v>
      </c>
      <c r="B101" s="1522" t="s">
        <v>1442</v>
      </c>
      <c r="C101" s="1522">
        <v>12960</v>
      </c>
      <c r="D101" s="1522">
        <v>12890</v>
      </c>
      <c r="E101" s="1522"/>
      <c r="F101" s="1536"/>
    </row>
    <row r="102" spans="1:6" s="1516" customFormat="1" ht="14.25" customHeight="1" thickBot="1">
      <c r="A102" s="1528" t="s">
        <v>1535</v>
      </c>
      <c r="B102" s="1522" t="s">
        <v>1449</v>
      </c>
      <c r="C102" s="1522"/>
      <c r="D102" s="1522"/>
      <c r="E102" s="1522"/>
      <c r="F102" s="1536">
        <v>3100</v>
      </c>
    </row>
    <row r="103" spans="1:6" s="1516" customFormat="1" ht="14.25" customHeight="1" thickBot="1">
      <c r="A103" s="1528" t="s">
        <v>1535</v>
      </c>
      <c r="B103" s="1522" t="s">
        <v>1456</v>
      </c>
      <c r="C103" s="1522"/>
      <c r="D103" s="1522"/>
      <c r="E103" s="1522"/>
      <c r="F103" s="1536">
        <v>2320</v>
      </c>
    </row>
    <row r="104" spans="1:6" s="1516" customFormat="1" ht="14.25" customHeight="1" thickBot="1">
      <c r="A104" s="1528" t="s">
        <v>1535</v>
      </c>
      <c r="B104" s="1522" t="s">
        <v>1461</v>
      </c>
      <c r="C104" s="1522"/>
      <c r="D104" s="1522"/>
      <c r="E104" s="1522"/>
      <c r="F104" s="1536">
        <v>2320</v>
      </c>
    </row>
    <row r="105" spans="1:6" s="1516" customFormat="1" ht="14.25" customHeight="1" thickBot="1">
      <c r="A105" s="1528" t="s">
        <v>1535</v>
      </c>
      <c r="B105" s="1522" t="s">
        <v>1465</v>
      </c>
      <c r="C105" s="1522"/>
      <c r="D105" s="1522"/>
      <c r="E105" s="1522"/>
      <c r="F105" s="1536">
        <v>2320</v>
      </c>
    </row>
    <row r="106" spans="1:6" s="1516" customFormat="1" ht="14.25" customHeight="1" thickBot="1">
      <c r="A106" s="1528" t="s">
        <v>1535</v>
      </c>
      <c r="B106" s="1522" t="s">
        <v>1470</v>
      </c>
      <c r="C106" s="1522"/>
      <c r="D106" s="1522"/>
      <c r="E106" s="1522"/>
      <c r="F106" s="1536">
        <v>2320</v>
      </c>
    </row>
    <row r="107" spans="1:6" s="1516" customFormat="1" ht="14.25" customHeight="1" thickBot="1">
      <c r="A107" s="1528" t="s">
        <v>1535</v>
      </c>
      <c r="B107" s="1522" t="s">
        <v>1475</v>
      </c>
      <c r="C107" s="1522"/>
      <c r="D107" s="1522"/>
      <c r="E107" s="1522"/>
      <c r="F107" s="1536">
        <v>2280</v>
      </c>
    </row>
    <row r="108" spans="1:6" s="1516" customFormat="1" ht="14.25" customHeight="1" thickBot="1">
      <c r="A108" s="1528" t="s">
        <v>1535</v>
      </c>
      <c r="B108" s="1522" t="s">
        <v>1480</v>
      </c>
      <c r="C108" s="1522"/>
      <c r="D108" s="1522"/>
      <c r="E108" s="1522"/>
      <c r="F108" s="1536">
        <v>2280</v>
      </c>
    </row>
    <row r="109" spans="1:6" s="1516" customFormat="1" ht="14.25" customHeight="1" thickBot="1">
      <c r="A109" s="1528" t="s">
        <v>1535</v>
      </c>
      <c r="B109" s="1534" t="s">
        <v>1485</v>
      </c>
      <c r="C109" s="1534"/>
      <c r="D109" s="1534"/>
      <c r="E109" s="1534"/>
      <c r="F109" s="1539">
        <v>2280</v>
      </c>
    </row>
    <row r="110" spans="1:6" s="1516" customFormat="1" ht="14.25" customHeight="1" thickBot="1">
      <c r="A110" s="1528" t="s">
        <v>203</v>
      </c>
      <c r="B110" s="1529" t="s">
        <v>1537</v>
      </c>
      <c r="C110" s="1529">
        <v>10520</v>
      </c>
      <c r="D110" s="1529">
        <v>10490</v>
      </c>
      <c r="E110" s="1529">
        <v>10760</v>
      </c>
      <c r="F110" s="1530">
        <v>2160</v>
      </c>
    </row>
    <row r="111" spans="1:6" s="1516" customFormat="1" ht="14.25" customHeight="1" thickBot="1">
      <c r="A111" s="1528" t="s">
        <v>203</v>
      </c>
      <c r="B111" s="1522" t="s">
        <v>1204</v>
      </c>
      <c r="C111" s="1522">
        <v>10090</v>
      </c>
      <c r="D111" s="1522">
        <v>10060</v>
      </c>
      <c r="E111" s="1522">
        <v>10300</v>
      </c>
      <c r="F111" s="1536">
        <v>2010</v>
      </c>
    </row>
    <row r="112" spans="1:6" s="1516" customFormat="1" ht="14.25" customHeight="1" thickBot="1">
      <c r="A112" s="1528" t="s">
        <v>203</v>
      </c>
      <c r="B112" s="1522" t="s">
        <v>1217</v>
      </c>
      <c r="C112" s="1522">
        <v>9910</v>
      </c>
      <c r="D112" s="1522">
        <v>9850</v>
      </c>
      <c r="E112" s="1522">
        <v>9960</v>
      </c>
      <c r="F112" s="1536">
        <v>2090</v>
      </c>
    </row>
    <row r="113" spans="1:6" s="1516" customFormat="1" ht="14.25" customHeight="1" thickBot="1">
      <c r="A113" s="1528" t="s">
        <v>203</v>
      </c>
      <c r="B113" s="1522" t="s">
        <v>1230</v>
      </c>
      <c r="C113" s="1522">
        <v>11430</v>
      </c>
      <c r="D113" s="1522">
        <v>11400</v>
      </c>
      <c r="E113" s="1522">
        <v>11710</v>
      </c>
      <c r="F113" s="1536">
        <v>2050</v>
      </c>
    </row>
    <row r="114" spans="1:6" s="1516" customFormat="1" ht="14.25" customHeight="1" thickBot="1">
      <c r="A114" s="1528" t="s">
        <v>203</v>
      </c>
      <c r="B114" s="1522" t="s">
        <v>1242</v>
      </c>
      <c r="C114" s="1522">
        <v>11390</v>
      </c>
      <c r="D114" s="1522">
        <v>11350</v>
      </c>
      <c r="E114" s="1522">
        <v>11640</v>
      </c>
      <c r="F114" s="1536">
        <v>1620</v>
      </c>
    </row>
    <row r="115" spans="1:6" s="1516" customFormat="1" ht="14.25" customHeight="1" thickBot="1">
      <c r="A115" s="1528" t="s">
        <v>203</v>
      </c>
      <c r="B115" s="1522" t="s">
        <v>1253</v>
      </c>
      <c r="C115" s="1522">
        <v>9930</v>
      </c>
      <c r="D115" s="1522">
        <v>9900</v>
      </c>
      <c r="E115" s="1522">
        <v>10160</v>
      </c>
      <c r="F115" s="1536">
        <v>1580</v>
      </c>
    </row>
    <row r="116" spans="1:6" s="1516" customFormat="1" ht="14.25" customHeight="1" thickBot="1">
      <c r="A116" s="1528" t="s">
        <v>203</v>
      </c>
      <c r="B116" s="1522" t="s">
        <v>1264</v>
      </c>
      <c r="C116" s="1522">
        <v>9150</v>
      </c>
      <c r="D116" s="1522">
        <v>9120</v>
      </c>
      <c r="E116" s="1522">
        <v>9380</v>
      </c>
      <c r="F116" s="1536">
        <v>1750</v>
      </c>
    </row>
    <row r="117" spans="1:6" s="1516" customFormat="1" ht="14.25" customHeight="1" thickBot="1">
      <c r="A117" s="1528" t="s">
        <v>203</v>
      </c>
      <c r="B117" s="1522" t="s">
        <v>1275</v>
      </c>
      <c r="C117" s="1522">
        <v>10680</v>
      </c>
      <c r="D117" s="1522">
        <v>10650</v>
      </c>
      <c r="E117" s="1522">
        <v>10970</v>
      </c>
      <c r="F117" s="1536">
        <v>1730</v>
      </c>
    </row>
    <row r="118" spans="1:6" s="1516" customFormat="1" ht="14.25" customHeight="1" thickBot="1">
      <c r="A118" s="1528" t="s">
        <v>203</v>
      </c>
      <c r="B118" s="1522" t="s">
        <v>1287</v>
      </c>
      <c r="C118" s="1522">
        <v>10080</v>
      </c>
      <c r="D118" s="1522">
        <v>10050</v>
      </c>
      <c r="E118" s="1522">
        <v>10350</v>
      </c>
      <c r="F118" s="1536">
        <v>1920</v>
      </c>
    </row>
    <row r="119" spans="1:6" s="1516" customFormat="1" ht="14.25" customHeight="1" thickBot="1">
      <c r="A119" s="1528" t="s">
        <v>203</v>
      </c>
      <c r="B119" s="1522" t="s">
        <v>1297</v>
      </c>
      <c r="C119" s="1522">
        <v>9450</v>
      </c>
      <c r="D119" s="1522">
        <v>9410</v>
      </c>
      <c r="E119" s="1522">
        <v>9680</v>
      </c>
      <c r="F119" s="1536">
        <v>1880</v>
      </c>
    </row>
    <row r="120" spans="1:6" s="1516" customFormat="1" ht="14.25" customHeight="1" thickBot="1">
      <c r="A120" s="1528" t="s">
        <v>203</v>
      </c>
      <c r="B120" s="1522" t="s">
        <v>1307</v>
      </c>
      <c r="C120" s="1522">
        <v>8730</v>
      </c>
      <c r="D120" s="1522">
        <v>8700</v>
      </c>
      <c r="E120" s="1522">
        <v>8950</v>
      </c>
      <c r="F120" s="1536">
        <v>1830</v>
      </c>
    </row>
    <row r="121" spans="1:6" s="1516" customFormat="1" ht="14.25" customHeight="1" thickBot="1">
      <c r="A121" s="1528" t="s">
        <v>203</v>
      </c>
      <c r="B121" s="1522" t="s">
        <v>1317</v>
      </c>
      <c r="C121" s="1522">
        <v>10070</v>
      </c>
      <c r="D121" s="1522">
        <v>10040</v>
      </c>
      <c r="E121" s="1522">
        <v>10270</v>
      </c>
      <c r="F121" s="1536">
        <v>1960</v>
      </c>
    </row>
    <row r="122" spans="1:6" s="1516" customFormat="1" ht="14.25" customHeight="1" thickBot="1">
      <c r="A122" s="1528" t="s">
        <v>203</v>
      </c>
      <c r="B122" s="1522" t="s">
        <v>1327</v>
      </c>
      <c r="C122" s="1522">
        <v>10500</v>
      </c>
      <c r="D122" s="1522">
        <v>10470</v>
      </c>
      <c r="E122" s="1522">
        <v>10780</v>
      </c>
      <c r="F122" s="1536">
        <v>2180</v>
      </c>
    </row>
    <row r="123" spans="1:6" s="1516" customFormat="1" ht="14.25" customHeight="1" thickBot="1">
      <c r="A123" s="1528" t="s">
        <v>203</v>
      </c>
      <c r="B123" s="1522" t="s">
        <v>1338</v>
      </c>
      <c r="C123" s="1522">
        <v>10390</v>
      </c>
      <c r="D123" s="1522">
        <v>10360</v>
      </c>
      <c r="E123" s="1522">
        <v>10660</v>
      </c>
      <c r="F123" s="1536">
        <v>2040</v>
      </c>
    </row>
    <row r="124" spans="1:6" s="1516" customFormat="1" ht="14.25" customHeight="1" thickBot="1">
      <c r="A124" s="1528" t="s">
        <v>203</v>
      </c>
      <c r="B124" s="1522" t="s">
        <v>1349</v>
      </c>
      <c r="C124" s="1522">
        <v>10390</v>
      </c>
      <c r="D124" s="1522">
        <v>10360</v>
      </c>
      <c r="E124" s="1522">
        <v>10680</v>
      </c>
      <c r="F124" s="1540"/>
    </row>
    <row r="125" spans="1:6" s="1516" customFormat="1" ht="14.25" customHeight="1" thickBot="1">
      <c r="A125" s="1528" t="s">
        <v>203</v>
      </c>
      <c r="B125" s="1522" t="s">
        <v>1359</v>
      </c>
      <c r="C125" s="1522">
        <v>10440</v>
      </c>
      <c r="D125" s="1522">
        <v>10410</v>
      </c>
      <c r="E125" s="1522">
        <v>10710</v>
      </c>
      <c r="F125" s="1540"/>
    </row>
    <row r="126" spans="1:6" s="1516" customFormat="1" ht="14.25" customHeight="1" thickBot="1">
      <c r="A126" s="1528" t="s">
        <v>203</v>
      </c>
      <c r="B126" s="1522" t="s">
        <v>1369</v>
      </c>
      <c r="C126" s="1522">
        <v>10780</v>
      </c>
      <c r="D126" s="1522">
        <v>10750</v>
      </c>
      <c r="E126" s="1522">
        <v>11080</v>
      </c>
      <c r="F126" s="1540"/>
    </row>
    <row r="127" spans="1:6" s="1516" customFormat="1" ht="14.25" customHeight="1" thickBot="1">
      <c r="A127" s="1528" t="s">
        <v>203</v>
      </c>
      <c r="B127" s="1522" t="s">
        <v>1379</v>
      </c>
      <c r="C127" s="1522">
        <v>10100</v>
      </c>
      <c r="D127" s="1522">
        <v>10070</v>
      </c>
      <c r="E127" s="1522">
        <v>10350</v>
      </c>
      <c r="F127" s="1540"/>
    </row>
    <row r="128" spans="1:6" s="1516" customFormat="1" ht="14.25" customHeight="1" thickBot="1">
      <c r="A128" s="1528" t="s">
        <v>203</v>
      </c>
      <c r="B128" s="1522" t="s">
        <v>1389</v>
      </c>
      <c r="C128" s="1522">
        <v>9200</v>
      </c>
      <c r="D128" s="1522">
        <v>9160</v>
      </c>
      <c r="E128" s="1522">
        <v>9660</v>
      </c>
      <c r="F128" s="1540"/>
    </row>
    <row r="129" spans="1:6" s="1516" customFormat="1" ht="14.25" customHeight="1" thickBot="1">
      <c r="A129" s="1528" t="s">
        <v>203</v>
      </c>
      <c r="B129" s="1522" t="s">
        <v>1398</v>
      </c>
      <c r="C129" s="1522">
        <v>10340</v>
      </c>
      <c r="D129" s="1522">
        <v>10310</v>
      </c>
      <c r="E129" s="1522">
        <v>10580</v>
      </c>
      <c r="F129" s="1540"/>
    </row>
    <row r="130" spans="1:6" s="1516" customFormat="1" ht="14.25" customHeight="1" thickBot="1">
      <c r="A130" s="1528" t="s">
        <v>203</v>
      </c>
      <c r="B130" s="1522" t="s">
        <v>1407</v>
      </c>
      <c r="C130" s="1522">
        <v>9680</v>
      </c>
      <c r="D130" s="1522">
        <v>9660</v>
      </c>
      <c r="E130" s="1522">
        <v>9950</v>
      </c>
      <c r="F130" s="1540"/>
    </row>
    <row r="131" spans="1:6" s="1516" customFormat="1" ht="14.25" customHeight="1" thickBot="1">
      <c r="A131" s="1528" t="s">
        <v>203</v>
      </c>
      <c r="B131" s="1522" t="s">
        <v>1415</v>
      </c>
      <c r="C131" s="1522">
        <v>9540</v>
      </c>
      <c r="D131" s="1522">
        <v>9510</v>
      </c>
      <c r="E131" s="1522">
        <v>9790</v>
      </c>
      <c r="F131" s="1540"/>
    </row>
    <row r="132" spans="1:6" s="1516" customFormat="1" ht="14.25" customHeight="1" thickBot="1">
      <c r="A132" s="1528" t="s">
        <v>203</v>
      </c>
      <c r="B132" s="1522" t="s">
        <v>1422</v>
      </c>
      <c r="C132" s="1522">
        <v>9320</v>
      </c>
      <c r="D132" s="1522">
        <v>9290</v>
      </c>
      <c r="E132" s="1522">
        <v>9570</v>
      </c>
      <c r="F132" s="1540"/>
    </row>
    <row r="133" spans="1:6" s="1516" customFormat="1" ht="14.25" customHeight="1" thickBot="1">
      <c r="A133" s="1528" t="s">
        <v>203</v>
      </c>
      <c r="B133" s="1522" t="s">
        <v>1429</v>
      </c>
      <c r="C133" s="1522">
        <v>10310</v>
      </c>
      <c r="D133" s="1522">
        <v>10280</v>
      </c>
      <c r="E133" s="1522">
        <v>10530</v>
      </c>
      <c r="F133" s="1540"/>
    </row>
    <row r="134" spans="1:6" s="1516" customFormat="1" ht="14.25" customHeight="1" thickBot="1">
      <c r="A134" s="1528" t="s">
        <v>203</v>
      </c>
      <c r="B134" s="1522" t="s">
        <v>1436</v>
      </c>
      <c r="C134" s="1522">
        <v>10370</v>
      </c>
      <c r="D134" s="1522">
        <v>10310</v>
      </c>
      <c r="E134" s="1522">
        <v>10240</v>
      </c>
      <c r="F134" s="1536">
        <v>2060</v>
      </c>
    </row>
    <row r="135" spans="1:6" s="1516" customFormat="1" ht="14.25" customHeight="1" thickBot="1">
      <c r="A135" s="1528" t="s">
        <v>203</v>
      </c>
      <c r="B135" s="1522" t="s">
        <v>1443</v>
      </c>
      <c r="C135" s="1522">
        <v>9300</v>
      </c>
      <c r="D135" s="1522">
        <v>9270</v>
      </c>
      <c r="E135" s="1522">
        <v>9350</v>
      </c>
      <c r="F135" s="1540"/>
    </row>
    <row r="136" spans="1:6" s="1516" customFormat="1" ht="14.25" customHeight="1" thickBot="1">
      <c r="A136" s="1528" t="s">
        <v>203</v>
      </c>
      <c r="B136" s="1522" t="s">
        <v>1450</v>
      </c>
      <c r="C136" s="1522">
        <v>10160</v>
      </c>
      <c r="D136" s="1522">
        <v>10110</v>
      </c>
      <c r="E136" s="1522">
        <v>10080</v>
      </c>
      <c r="F136" s="1540"/>
    </row>
    <row r="137" spans="1:6" s="1516" customFormat="1" ht="14.25" customHeight="1" thickBot="1">
      <c r="A137" s="1528" t="s">
        <v>203</v>
      </c>
      <c r="B137" s="1522" t="s">
        <v>1457</v>
      </c>
      <c r="C137" s="1522">
        <v>9200</v>
      </c>
      <c r="D137" s="1522">
        <v>9170</v>
      </c>
      <c r="E137" s="1522">
        <v>9450</v>
      </c>
      <c r="F137" s="1540"/>
    </row>
    <row r="138" spans="1:6" s="1516" customFormat="1" ht="14.25" customHeight="1" thickBot="1">
      <c r="A138" s="1528" t="s">
        <v>203</v>
      </c>
      <c r="B138" s="1522" t="s">
        <v>1462</v>
      </c>
      <c r="C138" s="1522">
        <v>9690</v>
      </c>
      <c r="D138" s="1522">
        <v>9660</v>
      </c>
      <c r="E138" s="1522">
        <v>9840</v>
      </c>
      <c r="F138" s="1540"/>
    </row>
    <row r="139" spans="1:6" s="1516" customFormat="1" ht="14.25" customHeight="1" thickBot="1">
      <c r="A139" s="1528" t="s">
        <v>203</v>
      </c>
      <c r="B139" s="1522" t="s">
        <v>1466</v>
      </c>
      <c r="C139" s="1522">
        <v>10290</v>
      </c>
      <c r="D139" s="1522">
        <v>10260</v>
      </c>
      <c r="E139" s="1522">
        <v>10550</v>
      </c>
      <c r="F139" s="1536">
        <v>1700</v>
      </c>
    </row>
    <row r="140" spans="1:6" s="1516" customFormat="1" ht="14.25" customHeight="1" thickBot="1">
      <c r="A140" s="1528" t="s">
        <v>203</v>
      </c>
      <c r="B140" s="1522" t="s">
        <v>1471</v>
      </c>
      <c r="C140" s="1522">
        <v>9740</v>
      </c>
      <c r="D140" s="1522">
        <v>9710</v>
      </c>
      <c r="E140" s="1522">
        <v>10000</v>
      </c>
      <c r="F140" s="1536">
        <v>2000</v>
      </c>
    </row>
    <row r="141" spans="1:6" s="1516" customFormat="1" ht="14.25" customHeight="1" thickBot="1">
      <c r="A141" s="1528" t="s">
        <v>203</v>
      </c>
      <c r="B141" s="1522" t="s">
        <v>1476</v>
      </c>
      <c r="C141" s="1522">
        <v>9810</v>
      </c>
      <c r="D141" s="1522">
        <v>9770</v>
      </c>
      <c r="E141" s="1522">
        <v>10060</v>
      </c>
      <c r="F141" s="1540"/>
    </row>
    <row r="142" spans="1:6" s="1516" customFormat="1" ht="14.25" customHeight="1" thickBot="1">
      <c r="A142" s="1528" t="s">
        <v>203</v>
      </c>
      <c r="B142" s="1522" t="s">
        <v>1481</v>
      </c>
      <c r="C142" s="1522">
        <v>9300</v>
      </c>
      <c r="D142" s="1522">
        <v>9270</v>
      </c>
      <c r="E142" s="1522">
        <v>9530</v>
      </c>
      <c r="F142" s="1540"/>
    </row>
    <row r="143" spans="1:6" s="1516" customFormat="1" ht="14.25" customHeight="1" thickBot="1">
      <c r="A143" s="1528" t="s">
        <v>203</v>
      </c>
      <c r="B143" s="1522" t="s">
        <v>1486</v>
      </c>
      <c r="C143" s="1522">
        <v>10080</v>
      </c>
      <c r="D143" s="1522">
        <v>10050</v>
      </c>
      <c r="E143" s="1522">
        <v>10340</v>
      </c>
      <c r="F143" s="1540"/>
    </row>
    <row r="144" spans="1:6" s="1516" customFormat="1" ht="14.25" customHeight="1" thickBot="1">
      <c r="A144" s="1528" t="s">
        <v>203</v>
      </c>
      <c r="B144" s="1522" t="s">
        <v>1490</v>
      </c>
      <c r="C144" s="1522">
        <v>9820</v>
      </c>
      <c r="D144" s="1522">
        <v>9750</v>
      </c>
      <c r="E144" s="1522">
        <v>9900</v>
      </c>
      <c r="F144" s="1540"/>
    </row>
    <row r="145" spans="1:6" s="1516" customFormat="1" ht="14.25" customHeight="1" thickBot="1">
      <c r="A145" s="1528" t="s">
        <v>203</v>
      </c>
      <c r="B145" s="1522" t="s">
        <v>1494</v>
      </c>
      <c r="C145" s="1522"/>
      <c r="D145" s="1522"/>
      <c r="E145" s="1522"/>
      <c r="F145" s="1536">
        <v>1740</v>
      </c>
    </row>
    <row r="146" spans="1:6" s="1516" customFormat="1" ht="14.25" customHeight="1" thickBot="1">
      <c r="A146" s="1528" t="s">
        <v>203</v>
      </c>
      <c r="B146" s="1522" t="s">
        <v>1498</v>
      </c>
      <c r="C146" s="1522"/>
      <c r="D146" s="1522"/>
      <c r="E146" s="1522"/>
      <c r="F146" s="1536">
        <v>1740</v>
      </c>
    </row>
    <row r="147" spans="1:6" s="1516" customFormat="1" ht="14.25" customHeight="1" thickBot="1">
      <c r="A147" s="1528" t="s">
        <v>203</v>
      </c>
      <c r="B147" s="1522" t="s">
        <v>1502</v>
      </c>
      <c r="C147" s="1522"/>
      <c r="D147" s="1522"/>
      <c r="E147" s="1522"/>
      <c r="F147" s="1536">
        <v>1740</v>
      </c>
    </row>
    <row r="148" spans="1:6" s="1516" customFormat="1" ht="14.25" customHeight="1" thickBot="1">
      <c r="A148" s="1528" t="s">
        <v>203</v>
      </c>
      <c r="B148" s="1522" t="s">
        <v>1506</v>
      </c>
      <c r="C148" s="1522"/>
      <c r="D148" s="1522"/>
      <c r="E148" s="1522"/>
      <c r="F148" s="1536">
        <v>1740</v>
      </c>
    </row>
    <row r="149" spans="1:6" s="1516" customFormat="1" ht="14.25" customHeight="1" thickBot="1">
      <c r="A149" s="1528" t="s">
        <v>203</v>
      </c>
      <c r="B149" s="1522" t="s">
        <v>1510</v>
      </c>
      <c r="C149" s="1522"/>
      <c r="D149" s="1522"/>
      <c r="E149" s="1522"/>
      <c r="F149" s="1536">
        <v>1740</v>
      </c>
    </row>
    <row r="150" spans="1:6" s="1516" customFormat="1" ht="14.25" customHeight="1" thickBot="1">
      <c r="A150" s="1528" t="s">
        <v>203</v>
      </c>
      <c r="B150" s="1522" t="s">
        <v>1513</v>
      </c>
      <c r="C150" s="1522"/>
      <c r="D150" s="1522"/>
      <c r="E150" s="1522"/>
      <c r="F150" s="1536">
        <v>1610</v>
      </c>
    </row>
    <row r="151" spans="1:6" s="1516" customFormat="1" ht="14.25" customHeight="1" thickBot="1">
      <c r="A151" s="1528" t="s">
        <v>203</v>
      </c>
      <c r="B151" s="1522" t="s">
        <v>1516</v>
      </c>
      <c r="C151" s="1522"/>
      <c r="D151" s="1522"/>
      <c r="E151" s="1522"/>
      <c r="F151" s="1536">
        <v>1610</v>
      </c>
    </row>
    <row r="152" spans="1:6" s="1516" customFormat="1" ht="14.25" customHeight="1" thickBot="1">
      <c r="A152" s="1528" t="s">
        <v>203</v>
      </c>
      <c r="B152" s="1522" t="s">
        <v>1519</v>
      </c>
      <c r="C152" s="1522"/>
      <c r="D152" s="1522"/>
      <c r="E152" s="1522"/>
      <c r="F152" s="1536">
        <v>1610</v>
      </c>
    </row>
    <row r="153" spans="1:6" s="1516" customFormat="1" ht="14.25" customHeight="1" thickBot="1">
      <c r="A153" s="1528" t="s">
        <v>203</v>
      </c>
      <c r="B153" s="1522" t="s">
        <v>1522</v>
      </c>
      <c r="C153" s="1522"/>
      <c r="D153" s="1522"/>
      <c r="E153" s="1522"/>
      <c r="F153" s="1536">
        <v>1610</v>
      </c>
    </row>
    <row r="154" spans="1:6" s="1516" customFormat="1" ht="14.25" customHeight="1" thickBot="1">
      <c r="A154" s="1528" t="s">
        <v>203</v>
      </c>
      <c r="B154" s="1522" t="s">
        <v>1525</v>
      </c>
      <c r="C154" s="1522"/>
      <c r="D154" s="1522"/>
      <c r="E154" s="1522"/>
      <c r="F154" s="1536">
        <v>1610</v>
      </c>
    </row>
    <row r="155" spans="1:6" s="1516" customFormat="1" ht="14.25" customHeight="1" thickBot="1">
      <c r="A155" s="1528" t="s">
        <v>203</v>
      </c>
      <c r="B155" s="1522" t="s">
        <v>1528</v>
      </c>
      <c r="C155" s="1522"/>
      <c r="D155" s="1522"/>
      <c r="E155" s="1522"/>
      <c r="F155" s="1536">
        <v>1800</v>
      </c>
    </row>
    <row r="156" spans="1:6" s="1516" customFormat="1" ht="14.25" customHeight="1" thickBot="1">
      <c r="A156" s="1528" t="s">
        <v>203</v>
      </c>
      <c r="B156" s="1522" t="s">
        <v>1530</v>
      </c>
      <c r="C156" s="1522"/>
      <c r="D156" s="1522"/>
      <c r="E156" s="1522"/>
      <c r="F156" s="1536">
        <v>1910</v>
      </c>
    </row>
    <row r="157" spans="1:6" s="1516" customFormat="1" ht="14.25" customHeight="1" thickBot="1">
      <c r="A157" s="1528" t="s">
        <v>203</v>
      </c>
      <c r="B157" s="1534" t="s">
        <v>1533</v>
      </c>
      <c r="C157" s="1534"/>
      <c r="D157" s="1534"/>
      <c r="E157" s="1534"/>
      <c r="F157" s="1539">
        <v>1500</v>
      </c>
    </row>
    <row r="158" spans="1:6" s="1516" customFormat="1" ht="14.25" customHeight="1" thickBot="1">
      <c r="A158" s="1528" t="s">
        <v>1538</v>
      </c>
      <c r="B158" s="1529" t="s">
        <v>1539</v>
      </c>
      <c r="C158" s="1529">
        <v>8170</v>
      </c>
      <c r="D158" s="1529">
        <v>8140</v>
      </c>
      <c r="E158" s="1529">
        <v>8590</v>
      </c>
      <c r="F158" s="1530">
        <v>1450</v>
      </c>
    </row>
    <row r="159" spans="1:6" s="1516" customFormat="1" ht="14.25" customHeight="1" thickBot="1">
      <c r="A159" s="1528" t="s">
        <v>1538</v>
      </c>
      <c r="B159" s="1522" t="s">
        <v>1205</v>
      </c>
      <c r="C159" s="1522">
        <v>7410</v>
      </c>
      <c r="D159" s="1522">
        <v>7370</v>
      </c>
      <c r="E159" s="1522">
        <v>8030</v>
      </c>
      <c r="F159" s="1536">
        <v>1510</v>
      </c>
    </row>
    <row r="160" spans="1:6" s="1516" customFormat="1" ht="14.25" customHeight="1" thickBot="1">
      <c r="A160" s="1528" t="s">
        <v>1538</v>
      </c>
      <c r="B160" s="1522" t="s">
        <v>1218</v>
      </c>
      <c r="C160" s="1522">
        <v>7240</v>
      </c>
      <c r="D160" s="1522">
        <v>7210</v>
      </c>
      <c r="E160" s="1522">
        <v>7860</v>
      </c>
      <c r="F160" s="1536">
        <v>1370</v>
      </c>
    </row>
    <row r="161" spans="1:6" s="1516" customFormat="1" ht="14.25" customHeight="1" thickBot="1">
      <c r="A161" s="1528" t="s">
        <v>1538</v>
      </c>
      <c r="B161" s="1522" t="s">
        <v>1231</v>
      </c>
      <c r="C161" s="1522">
        <v>7720</v>
      </c>
      <c r="D161" s="1522">
        <v>7690</v>
      </c>
      <c r="E161" s="1522">
        <v>8200</v>
      </c>
      <c r="F161" s="1536">
        <v>1190</v>
      </c>
    </row>
    <row r="162" spans="1:6" s="1516" customFormat="1" ht="14.25" customHeight="1" thickBot="1">
      <c r="A162" s="1528" t="s">
        <v>1538</v>
      </c>
      <c r="B162" s="1522" t="s">
        <v>1243</v>
      </c>
      <c r="C162" s="1522">
        <v>6900</v>
      </c>
      <c r="D162" s="1522">
        <v>6870</v>
      </c>
      <c r="E162" s="1522">
        <v>7500</v>
      </c>
      <c r="F162" s="1536">
        <v>1390</v>
      </c>
    </row>
    <row r="163" spans="1:6" s="1516" customFormat="1" ht="14.25" customHeight="1" thickBot="1">
      <c r="A163" s="1528" t="s">
        <v>1538</v>
      </c>
      <c r="B163" s="1522" t="s">
        <v>1254</v>
      </c>
      <c r="C163" s="1522">
        <v>7120</v>
      </c>
      <c r="D163" s="1522">
        <v>7090</v>
      </c>
      <c r="E163" s="1522">
        <v>7690</v>
      </c>
      <c r="F163" s="1536">
        <v>1230</v>
      </c>
    </row>
    <row r="164" spans="1:6" s="1516" customFormat="1" ht="14.25" customHeight="1" thickBot="1">
      <c r="A164" s="1528" t="s">
        <v>1538</v>
      </c>
      <c r="B164" s="1522" t="s">
        <v>1265</v>
      </c>
      <c r="C164" s="1522">
        <v>6560</v>
      </c>
      <c r="D164" s="1522">
        <v>6530</v>
      </c>
      <c r="E164" s="1522">
        <v>7110</v>
      </c>
      <c r="F164" s="1536">
        <v>1340</v>
      </c>
    </row>
    <row r="165" spans="1:6" s="1516" customFormat="1" ht="14.25" customHeight="1" thickBot="1">
      <c r="A165" s="1528" t="s">
        <v>1538</v>
      </c>
      <c r="B165" s="1522" t="s">
        <v>1276</v>
      </c>
      <c r="C165" s="1522">
        <v>7450</v>
      </c>
      <c r="D165" s="1522">
        <v>7430</v>
      </c>
      <c r="E165" s="1522">
        <v>8110</v>
      </c>
      <c r="F165" s="1536">
        <v>1290</v>
      </c>
    </row>
    <row r="166" spans="1:6" s="1516" customFormat="1" ht="14.25" customHeight="1" thickBot="1">
      <c r="A166" s="1528" t="s">
        <v>1538</v>
      </c>
      <c r="B166" s="1522" t="s">
        <v>1288</v>
      </c>
      <c r="C166" s="1522">
        <v>7490</v>
      </c>
      <c r="D166" s="1522">
        <v>7460</v>
      </c>
      <c r="E166" s="1522">
        <v>8150</v>
      </c>
      <c r="F166" s="1536">
        <v>1350</v>
      </c>
    </row>
    <row r="167" spans="1:6" s="1516" customFormat="1" ht="14.25" customHeight="1" thickBot="1">
      <c r="A167" s="1528" t="s">
        <v>1538</v>
      </c>
      <c r="B167" s="1522" t="s">
        <v>1298</v>
      </c>
      <c r="C167" s="1522">
        <v>7540</v>
      </c>
      <c r="D167" s="1522">
        <v>7510</v>
      </c>
      <c r="E167" s="1522">
        <v>8030</v>
      </c>
      <c r="F167" s="1540"/>
    </row>
    <row r="168" spans="1:6" s="1516" customFormat="1" ht="14.25" customHeight="1" thickBot="1">
      <c r="A168" s="1528" t="s">
        <v>1538</v>
      </c>
      <c r="B168" s="1522" t="s">
        <v>1308</v>
      </c>
      <c r="C168" s="1522">
        <v>7210</v>
      </c>
      <c r="D168" s="1522">
        <v>7180</v>
      </c>
      <c r="E168" s="1522">
        <v>7830</v>
      </c>
      <c r="F168" s="1540"/>
    </row>
    <row r="169" spans="1:6" s="1516" customFormat="1" ht="14.25" customHeight="1" thickBot="1">
      <c r="A169" s="1528" t="s">
        <v>1538</v>
      </c>
      <c r="B169" s="1522" t="s">
        <v>1318</v>
      </c>
      <c r="C169" s="1522">
        <v>7040</v>
      </c>
      <c r="D169" s="1522">
        <v>7020</v>
      </c>
      <c r="E169" s="1522">
        <v>7670</v>
      </c>
      <c r="F169" s="1540"/>
    </row>
    <row r="170" spans="1:6" s="1516" customFormat="1" ht="14.25" customHeight="1" thickBot="1">
      <c r="A170" s="1528" t="s">
        <v>1538</v>
      </c>
      <c r="B170" s="1522" t="s">
        <v>1328</v>
      </c>
      <c r="C170" s="1522">
        <v>8040</v>
      </c>
      <c r="D170" s="1522">
        <v>7190</v>
      </c>
      <c r="E170" s="1522">
        <v>7850</v>
      </c>
      <c r="F170" s="1540"/>
    </row>
    <row r="171" spans="1:6" s="1516" customFormat="1" ht="14.25" customHeight="1" thickBot="1">
      <c r="A171" s="1528" t="s">
        <v>1538</v>
      </c>
      <c r="B171" s="1522" t="s">
        <v>1339</v>
      </c>
      <c r="C171" s="1522">
        <v>7860</v>
      </c>
      <c r="D171" s="1522">
        <v>7720</v>
      </c>
      <c r="E171" s="1522">
        <v>8150</v>
      </c>
      <c r="F171" s="1536">
        <v>1110</v>
      </c>
    </row>
    <row r="172" spans="1:6" s="1516" customFormat="1" ht="14.25" customHeight="1" thickBot="1">
      <c r="A172" s="1528" t="s">
        <v>1538</v>
      </c>
      <c r="B172" s="1522" t="s">
        <v>1350</v>
      </c>
      <c r="C172" s="1522">
        <v>7210</v>
      </c>
      <c r="D172" s="1522">
        <v>7170</v>
      </c>
      <c r="E172" s="1522">
        <v>7320</v>
      </c>
      <c r="F172" s="1540"/>
    </row>
    <row r="173" spans="1:6" s="1516" customFormat="1" ht="14.25" customHeight="1" thickBot="1">
      <c r="A173" s="1528" t="s">
        <v>1538</v>
      </c>
      <c r="B173" s="1522" t="s">
        <v>1360</v>
      </c>
      <c r="C173" s="1522">
        <v>6860</v>
      </c>
      <c r="D173" s="1522">
        <v>6810</v>
      </c>
      <c r="E173" s="1522">
        <v>7440</v>
      </c>
      <c r="F173" s="1540"/>
    </row>
    <row r="174" spans="1:6" s="1516" customFormat="1" ht="14.25" customHeight="1" thickBot="1">
      <c r="A174" s="1528" t="s">
        <v>1538</v>
      </c>
      <c r="B174" s="1522" t="s">
        <v>1370</v>
      </c>
      <c r="C174" s="1522">
        <v>7120</v>
      </c>
      <c r="D174" s="1522">
        <v>7090</v>
      </c>
      <c r="E174" s="1522">
        <v>7500</v>
      </c>
      <c r="F174" s="1536">
        <v>1490</v>
      </c>
    </row>
    <row r="175" spans="1:6" s="1516" customFormat="1" ht="14.25" customHeight="1" thickBot="1">
      <c r="A175" s="1528" t="s">
        <v>1538</v>
      </c>
      <c r="B175" s="1522" t="s">
        <v>1380</v>
      </c>
      <c r="C175" s="1522">
        <v>7850</v>
      </c>
      <c r="D175" s="1522">
        <v>7820</v>
      </c>
      <c r="E175" s="1522">
        <v>8120</v>
      </c>
      <c r="F175" s="1536">
        <v>1530</v>
      </c>
    </row>
    <row r="176" spans="1:6" s="1516" customFormat="1" ht="14.25" customHeight="1" thickBot="1">
      <c r="A176" s="1528" t="s">
        <v>1538</v>
      </c>
      <c r="B176" s="1522" t="s">
        <v>1390</v>
      </c>
      <c r="C176" s="1522">
        <v>7620</v>
      </c>
      <c r="D176" s="1522">
        <v>7570</v>
      </c>
      <c r="E176" s="1522">
        <v>7990</v>
      </c>
      <c r="F176" s="1536">
        <v>1480</v>
      </c>
    </row>
    <row r="177" spans="1:6" s="1516" customFormat="1" ht="14.25" customHeight="1" thickBot="1">
      <c r="A177" s="1528" t="s">
        <v>1538</v>
      </c>
      <c r="B177" s="1522" t="s">
        <v>1399</v>
      </c>
      <c r="C177" s="1522">
        <v>8590</v>
      </c>
      <c r="D177" s="1522">
        <v>8570</v>
      </c>
      <c r="E177" s="1522">
        <v>8740</v>
      </c>
      <c r="F177" s="1536">
        <v>1540</v>
      </c>
    </row>
    <row r="178" spans="1:6" s="1516" customFormat="1" ht="14.25" customHeight="1" thickBot="1">
      <c r="A178" s="1528" t="s">
        <v>1538</v>
      </c>
      <c r="B178" s="1522" t="s">
        <v>1408</v>
      </c>
      <c r="C178" s="1522">
        <v>7510</v>
      </c>
      <c r="D178" s="1522">
        <v>7470</v>
      </c>
      <c r="E178" s="1522">
        <v>8090</v>
      </c>
      <c r="F178" s="1536">
        <v>1320</v>
      </c>
    </row>
    <row r="179" spans="1:6" s="1516" customFormat="1" ht="14.25" customHeight="1" thickBot="1">
      <c r="A179" s="1528" t="s">
        <v>1538</v>
      </c>
      <c r="B179" s="1522" t="s">
        <v>1416</v>
      </c>
      <c r="C179" s="1522">
        <v>6380</v>
      </c>
      <c r="D179" s="1522">
        <v>6340</v>
      </c>
      <c r="E179" s="1522">
        <v>6810</v>
      </c>
      <c r="F179" s="1540"/>
    </row>
    <row r="180" spans="1:6" s="1516" customFormat="1" ht="14.25" customHeight="1" thickBot="1">
      <c r="A180" s="1528" t="s">
        <v>1538</v>
      </c>
      <c r="B180" s="1522" t="s">
        <v>1423</v>
      </c>
      <c r="C180" s="1522">
        <v>7830</v>
      </c>
      <c r="D180" s="1522">
        <v>7800</v>
      </c>
      <c r="E180" s="1522">
        <v>7780</v>
      </c>
      <c r="F180" s="1536">
        <v>1440</v>
      </c>
    </row>
    <row r="181" spans="1:6" s="1516" customFormat="1" ht="14.25" customHeight="1" thickBot="1">
      <c r="A181" s="1528" t="s">
        <v>1538</v>
      </c>
      <c r="B181" s="1522" t="s">
        <v>1430</v>
      </c>
      <c r="C181" s="1522">
        <v>7110</v>
      </c>
      <c r="D181" s="1522">
        <v>7080</v>
      </c>
      <c r="E181" s="1522">
        <v>7730</v>
      </c>
      <c r="F181" s="1536">
        <v>1350</v>
      </c>
    </row>
    <row r="182" spans="1:6" s="1516" customFormat="1" ht="14.25" customHeight="1" thickBot="1">
      <c r="A182" s="1528" t="s">
        <v>1538</v>
      </c>
      <c r="B182" s="1522" t="s">
        <v>1437</v>
      </c>
      <c r="C182" s="1522">
        <v>7310</v>
      </c>
      <c r="D182" s="1522">
        <v>7280</v>
      </c>
      <c r="E182" s="1522">
        <v>7950</v>
      </c>
      <c r="F182" s="1536">
        <v>1220</v>
      </c>
    </row>
    <row r="183" spans="1:6" s="1516" customFormat="1" ht="14.25" customHeight="1" thickBot="1">
      <c r="A183" s="1528" t="s">
        <v>1538</v>
      </c>
      <c r="B183" s="1522" t="s">
        <v>1444</v>
      </c>
      <c r="C183" s="1522">
        <v>7470</v>
      </c>
      <c r="D183" s="1522">
        <v>7440</v>
      </c>
      <c r="E183" s="1522">
        <v>7880</v>
      </c>
      <c r="F183" s="1540"/>
    </row>
    <row r="184" spans="1:6" s="1516" customFormat="1" ht="14.25" customHeight="1" thickBot="1">
      <c r="A184" s="1528" t="s">
        <v>1538</v>
      </c>
      <c r="B184" s="1522" t="s">
        <v>1451</v>
      </c>
      <c r="C184" s="1522">
        <v>6960</v>
      </c>
      <c r="D184" s="1522">
        <v>6930</v>
      </c>
      <c r="E184" s="1522">
        <v>7570</v>
      </c>
      <c r="F184" s="1540"/>
    </row>
    <row r="185" spans="1:6" s="1516" customFormat="1" ht="14.25" customHeight="1" thickBot="1">
      <c r="A185" s="1528" t="s">
        <v>1538</v>
      </c>
      <c r="B185" s="1522" t="s">
        <v>1458</v>
      </c>
      <c r="C185" s="1522">
        <v>7260</v>
      </c>
      <c r="D185" s="1522">
        <v>7230</v>
      </c>
      <c r="E185" s="1522">
        <v>7710</v>
      </c>
      <c r="F185" s="1536">
        <v>1360</v>
      </c>
    </row>
    <row r="186" spans="1:6" s="1516" customFormat="1" ht="14.25" customHeight="1" thickBot="1">
      <c r="A186" s="1528" t="s">
        <v>1538</v>
      </c>
      <c r="B186" s="1522" t="s">
        <v>1463</v>
      </c>
      <c r="C186" s="1522"/>
      <c r="D186" s="1522"/>
      <c r="E186" s="1522"/>
      <c r="F186" s="1536">
        <v>1560</v>
      </c>
    </row>
    <row r="187" spans="1:6" s="1516" customFormat="1" ht="14.25" customHeight="1" thickBot="1">
      <c r="A187" s="1528" t="s">
        <v>1538</v>
      </c>
      <c r="B187" s="1522" t="s">
        <v>1467</v>
      </c>
      <c r="C187" s="1522"/>
      <c r="D187" s="1522"/>
      <c r="E187" s="1522"/>
      <c r="F187" s="1536">
        <v>1560</v>
      </c>
    </row>
    <row r="188" spans="1:6" s="1516" customFormat="1" ht="14.25" customHeight="1" thickBot="1">
      <c r="A188" s="1528" t="s">
        <v>1538</v>
      </c>
      <c r="B188" s="1522" t="s">
        <v>1472</v>
      </c>
      <c r="C188" s="1522"/>
      <c r="D188" s="1522"/>
      <c r="E188" s="1522"/>
      <c r="F188" s="1536">
        <v>1560</v>
      </c>
    </row>
    <row r="189" spans="1:6" s="1516" customFormat="1" ht="14.25" customHeight="1" thickBot="1">
      <c r="A189" s="1528" t="s">
        <v>1538</v>
      </c>
      <c r="B189" s="1522" t="s">
        <v>1477</v>
      </c>
      <c r="C189" s="1522"/>
      <c r="D189" s="1522"/>
      <c r="E189" s="1522"/>
      <c r="F189" s="1536">
        <v>1320</v>
      </c>
    </row>
    <row r="190" spans="1:6" s="1516" customFormat="1" ht="14.25" customHeight="1" thickBot="1">
      <c r="A190" s="1528" t="s">
        <v>1538</v>
      </c>
      <c r="B190" s="1522" t="s">
        <v>1482</v>
      </c>
      <c r="C190" s="1522"/>
      <c r="D190" s="1522"/>
      <c r="E190" s="1522"/>
      <c r="F190" s="1536">
        <v>1320</v>
      </c>
    </row>
    <row r="191" spans="1:6" s="1516" customFormat="1" ht="14.25" customHeight="1" thickBot="1">
      <c r="A191" s="1528" t="s">
        <v>1538</v>
      </c>
      <c r="B191" s="1522" t="s">
        <v>1487</v>
      </c>
      <c r="C191" s="1522"/>
      <c r="D191" s="1522"/>
      <c r="E191" s="1522"/>
      <c r="F191" s="1536">
        <v>1320</v>
      </c>
    </row>
    <row r="192" spans="1:6" s="1516" customFormat="1" ht="14.25" customHeight="1" thickBot="1">
      <c r="A192" s="1528" t="s">
        <v>1538</v>
      </c>
      <c r="B192" s="1522" t="s">
        <v>1491</v>
      </c>
      <c r="C192" s="1522"/>
      <c r="D192" s="1522"/>
      <c r="E192" s="1522"/>
      <c r="F192" s="1536">
        <v>1100</v>
      </c>
    </row>
    <row r="193" spans="1:6" s="1516" customFormat="1" ht="14.25" customHeight="1" thickBot="1">
      <c r="A193" s="1528" t="s">
        <v>1538</v>
      </c>
      <c r="B193" s="1522" t="s">
        <v>1495</v>
      </c>
      <c r="C193" s="1522"/>
      <c r="D193" s="1522"/>
      <c r="E193" s="1522"/>
      <c r="F193" s="1536">
        <v>1100</v>
      </c>
    </row>
    <row r="194" spans="1:6" s="1516" customFormat="1" ht="14.25" customHeight="1" thickBot="1">
      <c r="A194" s="1528" t="s">
        <v>1538</v>
      </c>
      <c r="B194" s="1522" t="s">
        <v>1499</v>
      </c>
      <c r="C194" s="1522"/>
      <c r="D194" s="1522"/>
      <c r="E194" s="1522"/>
      <c r="F194" s="1536">
        <v>1080</v>
      </c>
    </row>
    <row r="195" spans="1:6" s="1516" customFormat="1" ht="14.25" customHeight="1" thickBot="1">
      <c r="A195" s="1528" t="s">
        <v>1538</v>
      </c>
      <c r="B195" s="1522" t="s">
        <v>1503</v>
      </c>
      <c r="C195" s="1522"/>
      <c r="D195" s="1522"/>
      <c r="E195" s="1522"/>
      <c r="F195" s="1536">
        <v>1270</v>
      </c>
    </row>
    <row r="196" spans="1:6" s="1516" customFormat="1" ht="14.25" customHeight="1" thickBot="1">
      <c r="A196" s="1528" t="s">
        <v>1538</v>
      </c>
      <c r="B196" s="1522" t="s">
        <v>1507</v>
      </c>
      <c r="C196" s="1522"/>
      <c r="D196" s="1522"/>
      <c r="E196" s="1522"/>
      <c r="F196" s="1536">
        <v>1150</v>
      </c>
    </row>
    <row r="197" spans="1:6" s="1516" customFormat="1" ht="14.25" customHeight="1" thickBot="1">
      <c r="A197" s="1528" t="s">
        <v>1538</v>
      </c>
      <c r="B197" s="1522" t="s">
        <v>1511</v>
      </c>
      <c r="C197" s="1522"/>
      <c r="D197" s="1522"/>
      <c r="E197" s="1522"/>
      <c r="F197" s="1536">
        <v>1330</v>
      </c>
    </row>
    <row r="198" spans="1:6" s="1516" customFormat="1" ht="14.25" customHeight="1" thickBot="1">
      <c r="A198" s="1528" t="s">
        <v>1538</v>
      </c>
      <c r="B198" s="1522" t="s">
        <v>1514</v>
      </c>
      <c r="C198" s="1522"/>
      <c r="D198" s="1522"/>
      <c r="E198" s="1522"/>
      <c r="F198" s="1536">
        <v>1170</v>
      </c>
    </row>
    <row r="199" spans="1:6" s="1516" customFormat="1" ht="14.25" customHeight="1" thickBot="1">
      <c r="A199" s="1528" t="s">
        <v>1538</v>
      </c>
      <c r="B199" s="1522" t="s">
        <v>1517</v>
      </c>
      <c r="C199" s="1522"/>
      <c r="D199" s="1522"/>
      <c r="E199" s="1522"/>
      <c r="F199" s="1536">
        <v>1120</v>
      </c>
    </row>
    <row r="200" spans="1:6" s="1516" customFormat="1" ht="14.25" customHeight="1" thickBot="1">
      <c r="A200" s="1528" t="s">
        <v>1538</v>
      </c>
      <c r="B200" s="1522" t="s">
        <v>1520</v>
      </c>
      <c r="C200" s="1522"/>
      <c r="D200" s="1522"/>
      <c r="E200" s="1522"/>
      <c r="F200" s="1536">
        <v>1120</v>
      </c>
    </row>
    <row r="201" spans="1:6" s="1516" customFormat="1" ht="14.25" customHeight="1" thickBot="1">
      <c r="A201" s="1528" t="s">
        <v>1538</v>
      </c>
      <c r="B201" s="1522" t="s">
        <v>1523</v>
      </c>
      <c r="C201" s="1522"/>
      <c r="D201" s="1522"/>
      <c r="E201" s="1522"/>
      <c r="F201" s="1536">
        <v>1540</v>
      </c>
    </row>
    <row r="202" spans="1:6" s="1516" customFormat="1" ht="14.25" customHeight="1" thickBot="1">
      <c r="A202" s="1528" t="s">
        <v>1538</v>
      </c>
      <c r="B202" s="1522" t="s">
        <v>1526</v>
      </c>
      <c r="C202" s="1522"/>
      <c r="D202" s="1522"/>
      <c r="E202" s="1522"/>
      <c r="F202" s="1536">
        <v>1310</v>
      </c>
    </row>
    <row r="203" spans="1:6" s="1516" customFormat="1" ht="14.25" customHeight="1" thickBot="1">
      <c r="A203" s="1528" t="s">
        <v>1538</v>
      </c>
      <c r="B203" s="1522" t="s">
        <v>1529</v>
      </c>
      <c r="C203" s="1522"/>
      <c r="D203" s="1522"/>
      <c r="E203" s="1522"/>
      <c r="F203" s="1536">
        <v>1310</v>
      </c>
    </row>
    <row r="204" spans="1:6" s="1516" customFormat="1" ht="14.25" customHeight="1" thickBot="1">
      <c r="A204" s="1528" t="s">
        <v>1538</v>
      </c>
      <c r="B204" s="1522" t="s">
        <v>1531</v>
      </c>
      <c r="C204" s="1522"/>
      <c r="D204" s="1522"/>
      <c r="E204" s="1522"/>
      <c r="F204" s="1536">
        <v>1080</v>
      </c>
    </row>
    <row r="205" spans="1:6" s="1516" customFormat="1" ht="14.25" customHeight="1" thickBot="1">
      <c r="A205" s="1528" t="s">
        <v>1538</v>
      </c>
      <c r="B205" s="1522" t="s">
        <v>1534</v>
      </c>
      <c r="C205" s="1522"/>
      <c r="D205" s="1522"/>
      <c r="E205" s="1522"/>
      <c r="F205" s="1536">
        <v>1080</v>
      </c>
    </row>
    <row r="206" spans="1:6" s="1516" customFormat="1" ht="14.25" customHeight="1" thickBot="1">
      <c r="A206" s="1528" t="s">
        <v>1540</v>
      </c>
      <c r="B206" s="1529" t="s">
        <v>1541</v>
      </c>
      <c r="C206" s="1529">
        <v>5450</v>
      </c>
      <c r="D206" s="1529">
        <v>5430</v>
      </c>
      <c r="E206" s="1529">
        <v>5700</v>
      </c>
      <c r="F206" s="1530">
        <v>1020</v>
      </c>
    </row>
    <row r="207" spans="1:6" s="1516" customFormat="1" ht="14.25" customHeight="1" thickBot="1">
      <c r="A207" s="1528" t="s">
        <v>1540</v>
      </c>
      <c r="B207" s="1522" t="s">
        <v>1206</v>
      </c>
      <c r="C207" s="1522">
        <v>5860</v>
      </c>
      <c r="D207" s="1522">
        <v>5820</v>
      </c>
      <c r="E207" s="1522">
        <v>6050</v>
      </c>
      <c r="F207" s="1536">
        <v>1080</v>
      </c>
    </row>
    <row r="208" spans="1:6" s="1516" customFormat="1" ht="14.25" customHeight="1" thickBot="1">
      <c r="A208" s="1528" t="s">
        <v>1540</v>
      </c>
      <c r="B208" s="1522" t="s">
        <v>1219</v>
      </c>
      <c r="C208" s="1522">
        <v>4630</v>
      </c>
      <c r="D208" s="1522">
        <v>4600</v>
      </c>
      <c r="E208" s="1522">
        <v>4840</v>
      </c>
      <c r="F208" s="1536">
        <v>900</v>
      </c>
    </row>
    <row r="209" spans="1:6" s="1516" customFormat="1" ht="14.25" customHeight="1" thickBot="1">
      <c r="A209" s="1528" t="s">
        <v>1540</v>
      </c>
      <c r="B209" s="1522" t="s">
        <v>1232</v>
      </c>
      <c r="C209" s="1522">
        <v>5320</v>
      </c>
      <c r="D209" s="1522">
        <v>5270</v>
      </c>
      <c r="E209" s="1522">
        <v>5540</v>
      </c>
      <c r="F209" s="1536">
        <v>980</v>
      </c>
    </row>
    <row r="210" spans="1:6" s="1516" customFormat="1" ht="14.25" customHeight="1" thickBot="1">
      <c r="A210" s="1528" t="s">
        <v>1540</v>
      </c>
      <c r="B210" s="1522" t="s">
        <v>1244</v>
      </c>
      <c r="C210" s="1522">
        <v>5760</v>
      </c>
      <c r="D210" s="1522">
        <v>5710</v>
      </c>
      <c r="E210" s="1522">
        <v>6010</v>
      </c>
      <c r="F210" s="1536">
        <v>870</v>
      </c>
    </row>
    <row r="211" spans="1:6" s="1516" customFormat="1" ht="14.25" customHeight="1" thickBot="1">
      <c r="A211" s="1528" t="s">
        <v>1540</v>
      </c>
      <c r="B211" s="1522" t="s">
        <v>1255</v>
      </c>
      <c r="C211" s="1522">
        <v>4160</v>
      </c>
      <c r="D211" s="1522">
        <v>4100</v>
      </c>
      <c r="E211" s="1522">
        <v>4270</v>
      </c>
      <c r="F211" s="1536">
        <v>790</v>
      </c>
    </row>
    <row r="212" spans="1:6" s="1516" customFormat="1" ht="14.25" customHeight="1" thickBot="1">
      <c r="A212" s="1528" t="s">
        <v>1540</v>
      </c>
      <c r="B212" s="1522" t="s">
        <v>1266</v>
      </c>
      <c r="C212" s="1522">
        <v>4880</v>
      </c>
      <c r="D212" s="1522">
        <v>4850</v>
      </c>
      <c r="E212" s="1522">
        <v>5110</v>
      </c>
      <c r="F212" s="1536">
        <v>940</v>
      </c>
    </row>
    <row r="213" spans="1:6" s="1516" customFormat="1" ht="14.25" customHeight="1" thickBot="1">
      <c r="A213" s="1528" t="s">
        <v>1540</v>
      </c>
      <c r="B213" s="1522" t="s">
        <v>1277</v>
      </c>
      <c r="C213" s="1522">
        <v>4640</v>
      </c>
      <c r="D213" s="1522">
        <v>4590</v>
      </c>
      <c r="E213" s="1522">
        <v>4700</v>
      </c>
      <c r="F213" s="1536">
        <v>1030</v>
      </c>
    </row>
    <row r="214" spans="1:6" s="1516" customFormat="1" ht="14.25" customHeight="1" thickBot="1">
      <c r="A214" s="1528" t="s">
        <v>1540</v>
      </c>
      <c r="B214" s="1522" t="s">
        <v>1289</v>
      </c>
      <c r="C214" s="1522">
        <v>4540</v>
      </c>
      <c r="D214" s="1522">
        <v>4490</v>
      </c>
      <c r="E214" s="1522">
        <v>4610</v>
      </c>
      <c r="F214" s="1540"/>
    </row>
    <row r="215" spans="1:6" s="1516" customFormat="1" ht="14.25" customHeight="1" thickBot="1">
      <c r="A215" s="1528" t="s">
        <v>1540</v>
      </c>
      <c r="B215" s="1522" t="s">
        <v>1299</v>
      </c>
      <c r="C215" s="1522">
        <v>5280</v>
      </c>
      <c r="D215" s="1522">
        <v>5250</v>
      </c>
      <c r="E215" s="1522">
        <v>5520</v>
      </c>
      <c r="F215" s="1536">
        <v>1000</v>
      </c>
    </row>
    <row r="216" spans="1:6" s="1516" customFormat="1" ht="14.25" customHeight="1" thickBot="1">
      <c r="A216" s="1528" t="s">
        <v>1540</v>
      </c>
      <c r="B216" s="1522" t="s">
        <v>1309</v>
      </c>
      <c r="C216" s="1522">
        <v>5100</v>
      </c>
      <c r="D216" s="1522">
        <v>5050</v>
      </c>
      <c r="E216" s="1522">
        <v>5300</v>
      </c>
      <c r="F216" s="1536">
        <v>950</v>
      </c>
    </row>
    <row r="217" spans="1:6" s="1516" customFormat="1" ht="14.25" customHeight="1" thickBot="1">
      <c r="A217" s="1528" t="s">
        <v>1540</v>
      </c>
      <c r="B217" s="1522" t="s">
        <v>1319</v>
      </c>
      <c r="C217" s="1522">
        <v>5370</v>
      </c>
      <c r="D217" s="1522">
        <v>5320</v>
      </c>
      <c r="E217" s="1522">
        <v>5410</v>
      </c>
      <c r="F217" s="1536">
        <v>950</v>
      </c>
    </row>
    <row r="218" spans="1:6" s="1516" customFormat="1" ht="14.25" customHeight="1" thickBot="1">
      <c r="A218" s="1528" t="s">
        <v>1540</v>
      </c>
      <c r="B218" s="1522" t="s">
        <v>1329</v>
      </c>
      <c r="C218" s="1522">
        <v>5540</v>
      </c>
      <c r="D218" s="1522">
        <v>5480</v>
      </c>
      <c r="E218" s="1522">
        <v>5740</v>
      </c>
      <c r="F218" s="1536">
        <v>1020</v>
      </c>
    </row>
    <row r="219" spans="1:6" s="1516" customFormat="1" ht="14.25" customHeight="1" thickBot="1">
      <c r="A219" s="1528" t="s">
        <v>1540</v>
      </c>
      <c r="B219" s="1522" t="s">
        <v>1340</v>
      </c>
      <c r="C219" s="1522">
        <v>5140</v>
      </c>
      <c r="D219" s="1522">
        <v>5100</v>
      </c>
      <c r="E219" s="1522">
        <v>5350</v>
      </c>
      <c r="F219" s="1536">
        <v>1120</v>
      </c>
    </row>
    <row r="220" spans="1:6" s="1516" customFormat="1" ht="14.25" customHeight="1" thickBot="1">
      <c r="A220" s="1528" t="s">
        <v>1540</v>
      </c>
      <c r="B220" s="1522" t="s">
        <v>1351</v>
      </c>
      <c r="C220" s="1522">
        <v>5040</v>
      </c>
      <c r="D220" s="1522">
        <v>5000</v>
      </c>
      <c r="E220" s="1522">
        <v>5240</v>
      </c>
      <c r="F220" s="1536">
        <v>980</v>
      </c>
    </row>
    <row r="221" spans="1:6" s="1516" customFormat="1" ht="14.25" customHeight="1" thickBot="1">
      <c r="A221" s="1528" t="s">
        <v>1540</v>
      </c>
      <c r="B221" s="1522" t="s">
        <v>1361</v>
      </c>
      <c r="C221" s="1541"/>
      <c r="D221" s="1541"/>
      <c r="E221" s="1541"/>
      <c r="F221" s="1536">
        <v>1070</v>
      </c>
    </row>
    <row r="222" spans="1:6" s="1516" customFormat="1" ht="14.25" customHeight="1" thickBot="1">
      <c r="A222" s="1528" t="s">
        <v>1540</v>
      </c>
      <c r="B222" s="1522" t="s">
        <v>1371</v>
      </c>
      <c r="C222" s="1541"/>
      <c r="D222" s="1541"/>
      <c r="E222" s="1541"/>
      <c r="F222" s="1536">
        <v>870</v>
      </c>
    </row>
    <row r="223" spans="1:6" s="1516" customFormat="1" ht="14.25" customHeight="1" thickBot="1">
      <c r="A223" s="1528" t="s">
        <v>1540</v>
      </c>
      <c r="B223" s="1522" t="s">
        <v>1381</v>
      </c>
      <c r="C223" s="1541"/>
      <c r="D223" s="1541"/>
      <c r="E223" s="1541"/>
      <c r="F223" s="1536">
        <v>940</v>
      </c>
    </row>
    <row r="224" spans="1:6" s="1516" customFormat="1" ht="14.25" customHeight="1" thickBot="1">
      <c r="A224" s="1528" t="s">
        <v>1540</v>
      </c>
      <c r="B224" s="1522" t="s">
        <v>1391</v>
      </c>
      <c r="C224" s="1541"/>
      <c r="D224" s="1541"/>
      <c r="E224" s="1541"/>
      <c r="F224" s="1536">
        <v>990</v>
      </c>
    </row>
    <row r="225" spans="1:6" s="1516" customFormat="1" ht="14.25" customHeight="1" thickBot="1">
      <c r="A225" s="1528" t="s">
        <v>1540</v>
      </c>
      <c r="B225" s="1522" t="s">
        <v>1400</v>
      </c>
      <c r="C225" s="1522">
        <v>5730</v>
      </c>
      <c r="D225" s="1522">
        <v>5680</v>
      </c>
      <c r="E225" s="1522">
        <v>6020</v>
      </c>
      <c r="F225" s="1536">
        <v>1000</v>
      </c>
    </row>
    <row r="226" spans="1:6" s="1516" customFormat="1" ht="14.25" customHeight="1" thickBot="1">
      <c r="A226" s="1528" t="s">
        <v>1540</v>
      </c>
      <c r="B226" s="1522" t="s">
        <v>1409</v>
      </c>
      <c r="C226" s="1522">
        <v>4970</v>
      </c>
      <c r="D226" s="1522">
        <v>4940</v>
      </c>
      <c r="E226" s="1522">
        <v>5180</v>
      </c>
      <c r="F226" s="1536">
        <v>960</v>
      </c>
    </row>
    <row r="227" spans="1:6" s="1516" customFormat="1" ht="14.25" customHeight="1" thickBot="1">
      <c r="A227" s="1528" t="s">
        <v>1540</v>
      </c>
      <c r="B227" s="1522" t="s">
        <v>1417</v>
      </c>
      <c r="C227" s="1522">
        <v>5550</v>
      </c>
      <c r="D227" s="1522">
        <v>5500</v>
      </c>
      <c r="E227" s="1522">
        <v>5780</v>
      </c>
      <c r="F227" s="1536">
        <v>940</v>
      </c>
    </row>
    <row r="228" spans="1:6" s="1516" customFormat="1" ht="14.25" customHeight="1" thickBot="1">
      <c r="A228" s="1528" t="s">
        <v>1540</v>
      </c>
      <c r="B228" s="1522" t="s">
        <v>1424</v>
      </c>
      <c r="C228" s="1522">
        <v>5460</v>
      </c>
      <c r="D228" s="1522">
        <v>5420</v>
      </c>
      <c r="E228" s="1522">
        <v>5690</v>
      </c>
      <c r="F228" s="1536">
        <v>910</v>
      </c>
    </row>
    <row r="229" spans="1:6" s="1516" customFormat="1" ht="14.25" customHeight="1" thickBot="1">
      <c r="A229" s="1528" t="s">
        <v>1540</v>
      </c>
      <c r="B229" s="1522" t="s">
        <v>1431</v>
      </c>
      <c r="C229" s="1522">
        <v>5310</v>
      </c>
      <c r="D229" s="1522">
        <v>5270</v>
      </c>
      <c r="E229" s="1522">
        <v>5510</v>
      </c>
      <c r="F229" s="1540"/>
    </row>
    <row r="230" spans="1:6" s="1516" customFormat="1" ht="14.25" customHeight="1" thickBot="1">
      <c r="A230" s="1528" t="s">
        <v>1540</v>
      </c>
      <c r="B230" s="1522" t="s">
        <v>1438</v>
      </c>
      <c r="C230" s="1522">
        <v>4540</v>
      </c>
      <c r="D230" s="1522">
        <v>4500</v>
      </c>
      <c r="E230" s="1522">
        <v>4730</v>
      </c>
      <c r="F230" s="1540"/>
    </row>
    <row r="231" spans="1:6" s="1516" customFormat="1" ht="14.25" customHeight="1" thickBot="1">
      <c r="A231" s="1528" t="s">
        <v>1540</v>
      </c>
      <c r="B231" s="1522" t="s">
        <v>1445</v>
      </c>
      <c r="C231" s="1522">
        <v>4480</v>
      </c>
      <c r="D231" s="1522">
        <v>4410</v>
      </c>
      <c r="E231" s="1522">
        <v>4640</v>
      </c>
      <c r="F231" s="1540"/>
    </row>
    <row r="232" spans="1:6" s="1516" customFormat="1" ht="14.25" customHeight="1" thickBot="1">
      <c r="A232" s="1528" t="s">
        <v>1540</v>
      </c>
      <c r="B232" s="1522" t="s">
        <v>1452</v>
      </c>
      <c r="C232" s="1522">
        <v>5670</v>
      </c>
      <c r="D232" s="1522">
        <v>5600</v>
      </c>
      <c r="E232" s="1522">
        <v>5890</v>
      </c>
      <c r="F232" s="1536">
        <v>1150</v>
      </c>
    </row>
    <row r="233" spans="1:6" s="1516" customFormat="1" ht="14.25" customHeight="1" thickBot="1">
      <c r="A233" s="1528" t="s">
        <v>1540</v>
      </c>
      <c r="B233" s="1522" t="s">
        <v>1459</v>
      </c>
      <c r="C233" s="1522">
        <v>4590</v>
      </c>
      <c r="D233" s="1522">
        <v>4500</v>
      </c>
      <c r="E233" s="1522">
        <v>4600</v>
      </c>
      <c r="F233" s="1540"/>
    </row>
    <row r="234" spans="1:6" s="1516" customFormat="1" ht="14.25" customHeight="1" thickBot="1">
      <c r="A234" s="1528" t="s">
        <v>1540</v>
      </c>
      <c r="B234" s="1522" t="s">
        <v>2497</v>
      </c>
      <c r="C234" s="1522">
        <v>3990</v>
      </c>
      <c r="D234" s="1522">
        <v>3950</v>
      </c>
      <c r="E234" s="1522">
        <v>4180</v>
      </c>
      <c r="F234" s="1540"/>
    </row>
    <row r="235" spans="1:6" s="1516" customFormat="1" ht="14.25" customHeight="1" thickBot="1">
      <c r="A235" s="1528" t="s">
        <v>1540</v>
      </c>
      <c r="B235" s="1522" t="s">
        <v>1468</v>
      </c>
      <c r="C235" s="1522">
        <v>5590</v>
      </c>
      <c r="D235" s="1522">
        <v>5540</v>
      </c>
      <c r="E235" s="1522">
        <v>5810</v>
      </c>
      <c r="F235" s="1536">
        <v>970</v>
      </c>
    </row>
    <row r="236" spans="1:6" s="1516" customFormat="1" ht="14.25" customHeight="1" thickBot="1">
      <c r="A236" s="1528" t="s">
        <v>1540</v>
      </c>
      <c r="B236" s="1522" t="s">
        <v>1473</v>
      </c>
      <c r="C236" s="1522"/>
      <c r="D236" s="1522"/>
      <c r="E236" s="1522"/>
      <c r="F236" s="1536">
        <v>1020</v>
      </c>
    </row>
    <row r="237" spans="1:6" s="1516" customFormat="1" ht="14.25" customHeight="1" thickBot="1">
      <c r="A237" s="1528" t="s">
        <v>1540</v>
      </c>
      <c r="B237" s="1522" t="s">
        <v>1478</v>
      </c>
      <c r="C237" s="1522"/>
      <c r="D237" s="1522"/>
      <c r="E237" s="1522"/>
      <c r="F237" s="1536">
        <v>960</v>
      </c>
    </row>
    <row r="238" spans="1:6" s="1516" customFormat="1" ht="14.25" customHeight="1" thickBot="1">
      <c r="A238" s="1528" t="s">
        <v>1540</v>
      </c>
      <c r="B238" s="1522" t="s">
        <v>1483</v>
      </c>
      <c r="C238" s="1522"/>
      <c r="D238" s="1522"/>
      <c r="E238" s="1522"/>
      <c r="F238" s="1536">
        <v>960</v>
      </c>
    </row>
    <row r="239" spans="1:6" s="1516" customFormat="1" ht="14.25" customHeight="1" thickBot="1">
      <c r="A239" s="1528" t="s">
        <v>1540</v>
      </c>
      <c r="B239" s="1522" t="s">
        <v>1488</v>
      </c>
      <c r="C239" s="1522"/>
      <c r="D239" s="1522"/>
      <c r="E239" s="1522"/>
      <c r="F239" s="1536">
        <v>960</v>
      </c>
    </row>
    <row r="240" spans="1:6" s="1516" customFormat="1" ht="14.25" customHeight="1" thickBot="1">
      <c r="A240" s="1528" t="s">
        <v>1540</v>
      </c>
      <c r="B240" s="1522" t="s">
        <v>1492</v>
      </c>
      <c r="C240" s="1522"/>
      <c r="D240" s="1522"/>
      <c r="E240" s="1522"/>
      <c r="F240" s="1536">
        <v>990</v>
      </c>
    </row>
    <row r="241" spans="1:6" s="1516" customFormat="1" ht="14.25" customHeight="1" thickBot="1">
      <c r="A241" s="1528" t="s">
        <v>1540</v>
      </c>
      <c r="B241" s="1522" t="s">
        <v>1496</v>
      </c>
      <c r="C241" s="1522"/>
      <c r="D241" s="1522"/>
      <c r="E241" s="1522"/>
      <c r="F241" s="1536">
        <v>1000</v>
      </c>
    </row>
    <row r="242" spans="1:6" s="1516" customFormat="1" ht="14.25" customHeight="1" thickBot="1">
      <c r="A242" s="1528" t="s">
        <v>1540</v>
      </c>
      <c r="B242" s="1522" t="s">
        <v>1500</v>
      </c>
      <c r="C242" s="1522"/>
      <c r="D242" s="1522"/>
      <c r="E242" s="1522"/>
      <c r="F242" s="1536">
        <v>980</v>
      </c>
    </row>
    <row r="243" spans="1:6" s="1516" customFormat="1" ht="14.25" customHeight="1" thickBot="1">
      <c r="A243" s="1528" t="s">
        <v>1540</v>
      </c>
      <c r="B243" s="1522" t="s">
        <v>1504</v>
      </c>
      <c r="C243" s="1522"/>
      <c r="D243" s="1522"/>
      <c r="E243" s="1522"/>
      <c r="F243" s="1536">
        <v>970</v>
      </c>
    </row>
    <row r="244" spans="1:6" s="1516" customFormat="1" ht="14.25" customHeight="1" thickBot="1">
      <c r="A244" s="1528" t="s">
        <v>1540</v>
      </c>
      <c r="B244" s="1534" t="s">
        <v>1508</v>
      </c>
      <c r="C244" s="1534"/>
      <c r="D244" s="1534"/>
      <c r="E244" s="1534"/>
      <c r="F244" s="1539">
        <v>970</v>
      </c>
    </row>
    <row r="245" spans="1:6" s="1516" customFormat="1" ht="14.25" customHeight="1" thickBot="1">
      <c r="A245" s="1528" t="s">
        <v>1542</v>
      </c>
      <c r="B245" s="1529" t="s">
        <v>1543</v>
      </c>
      <c r="C245" s="1529">
        <v>4050</v>
      </c>
      <c r="D245" s="1529">
        <v>4020</v>
      </c>
      <c r="E245" s="1529">
        <v>4160</v>
      </c>
      <c r="F245" s="1530">
        <v>840</v>
      </c>
    </row>
    <row r="246" spans="1:6" s="1516" customFormat="1" ht="14.25" customHeight="1" thickBot="1">
      <c r="A246" s="1528" t="s">
        <v>1542</v>
      </c>
      <c r="B246" s="1522" t="s">
        <v>1207</v>
      </c>
      <c r="C246" s="1522">
        <v>4010</v>
      </c>
      <c r="D246" s="1522">
        <v>3960</v>
      </c>
      <c r="E246" s="1522">
        <v>4130</v>
      </c>
      <c r="F246" s="1536">
        <v>840</v>
      </c>
    </row>
    <row r="247" spans="1:6" s="1516" customFormat="1" ht="14.25" customHeight="1" thickBot="1">
      <c r="A247" s="1528" t="s">
        <v>1542</v>
      </c>
      <c r="B247" s="1522" t="s">
        <v>1544</v>
      </c>
      <c r="C247" s="1522">
        <v>3170</v>
      </c>
      <c r="D247" s="1522">
        <v>3140</v>
      </c>
      <c r="E247" s="1522">
        <v>3270</v>
      </c>
      <c r="F247" s="1536">
        <v>640</v>
      </c>
    </row>
    <row r="248" spans="1:6" s="1516" customFormat="1" ht="14.25" customHeight="1" thickBot="1">
      <c r="A248" s="1528" t="s">
        <v>1542</v>
      </c>
      <c r="B248" s="1522" t="s">
        <v>1545</v>
      </c>
      <c r="C248" s="1522">
        <v>3140</v>
      </c>
      <c r="D248" s="1522">
        <v>3120</v>
      </c>
      <c r="E248" s="1522">
        <v>3240</v>
      </c>
      <c r="F248" s="1536">
        <v>620</v>
      </c>
    </row>
    <row r="249" spans="1:6" s="1516" customFormat="1" ht="14.25" customHeight="1" thickBot="1">
      <c r="A249" s="1528" t="s">
        <v>1542</v>
      </c>
      <c r="B249" s="1522" t="s">
        <v>1245</v>
      </c>
      <c r="C249" s="1522">
        <v>3200</v>
      </c>
      <c r="D249" s="1522">
        <v>3100</v>
      </c>
      <c r="E249" s="1522">
        <v>3230</v>
      </c>
      <c r="F249" s="1536">
        <v>750</v>
      </c>
    </row>
    <row r="250" spans="1:6" s="1516" customFormat="1" ht="14.25" customHeight="1" thickBot="1">
      <c r="A250" s="1528" t="s">
        <v>1542</v>
      </c>
      <c r="B250" s="1522" t="s">
        <v>1256</v>
      </c>
      <c r="C250" s="1522">
        <v>4060</v>
      </c>
      <c r="D250" s="1522">
        <v>4000</v>
      </c>
      <c r="E250" s="1522">
        <v>4140</v>
      </c>
      <c r="F250" s="1536">
        <v>790</v>
      </c>
    </row>
    <row r="251" spans="1:6" s="1516" customFormat="1" ht="14.25" customHeight="1" thickBot="1">
      <c r="A251" s="1528" t="s">
        <v>1542</v>
      </c>
      <c r="B251" s="1522" t="s">
        <v>1267</v>
      </c>
      <c r="C251" s="1522">
        <v>3990</v>
      </c>
      <c r="D251" s="1522">
        <v>3970</v>
      </c>
      <c r="E251" s="1522">
        <v>4110</v>
      </c>
      <c r="F251" s="1536">
        <v>730</v>
      </c>
    </row>
    <row r="252" spans="1:6" s="1516" customFormat="1" ht="14.25" customHeight="1" thickBot="1">
      <c r="A252" s="1528" t="s">
        <v>1542</v>
      </c>
      <c r="B252" s="1522" t="s">
        <v>1278</v>
      </c>
      <c r="C252" s="1522">
        <v>3560</v>
      </c>
      <c r="D252" s="1522">
        <v>3530</v>
      </c>
      <c r="E252" s="1522">
        <v>3650</v>
      </c>
      <c r="F252" s="1536">
        <v>750</v>
      </c>
    </row>
    <row r="253" spans="1:6" s="1516" customFormat="1" ht="14.25" customHeight="1" thickBot="1">
      <c r="A253" s="1528" t="s">
        <v>1542</v>
      </c>
      <c r="B253" s="1522" t="s">
        <v>1290</v>
      </c>
      <c r="C253" s="1522">
        <v>3780</v>
      </c>
      <c r="D253" s="1522">
        <v>3750</v>
      </c>
      <c r="E253" s="1522">
        <v>3870</v>
      </c>
      <c r="F253" s="1536">
        <v>770</v>
      </c>
    </row>
    <row r="254" spans="1:6" s="1516" customFormat="1" ht="14.25" customHeight="1" thickBot="1">
      <c r="A254" s="1528" t="s">
        <v>1542</v>
      </c>
      <c r="B254" s="1522" t="s">
        <v>1300</v>
      </c>
      <c r="C254" s="1541"/>
      <c r="D254" s="1541"/>
      <c r="E254" s="1541"/>
      <c r="F254" s="1536">
        <v>740</v>
      </c>
    </row>
    <row r="255" spans="1:6" s="1516" customFormat="1" ht="14.25" customHeight="1" thickBot="1">
      <c r="A255" s="1528" t="s">
        <v>1542</v>
      </c>
      <c r="B255" s="1522" t="s">
        <v>1310</v>
      </c>
      <c r="C255" s="1541"/>
      <c r="D255" s="1541"/>
      <c r="E255" s="1541"/>
      <c r="F255" s="1536">
        <v>760</v>
      </c>
    </row>
    <row r="256" spans="1:6" s="1516" customFormat="1" ht="14.25" customHeight="1" thickBot="1">
      <c r="A256" s="1528" t="s">
        <v>1542</v>
      </c>
      <c r="B256" s="1522" t="s">
        <v>1320</v>
      </c>
      <c r="C256" s="1522">
        <v>3760</v>
      </c>
      <c r="D256" s="1522">
        <v>3730</v>
      </c>
      <c r="E256" s="1522">
        <v>3870</v>
      </c>
      <c r="F256" s="1536">
        <v>830</v>
      </c>
    </row>
    <row r="257" spans="1:6" s="1516" customFormat="1" ht="14.25" customHeight="1" thickBot="1">
      <c r="A257" s="1528" t="s">
        <v>1542</v>
      </c>
      <c r="B257" s="1522" t="s">
        <v>1330</v>
      </c>
      <c r="C257" s="1522">
        <v>3570</v>
      </c>
      <c r="D257" s="1522">
        <v>3540</v>
      </c>
      <c r="E257" s="1522">
        <v>3650</v>
      </c>
      <c r="F257" s="1536">
        <v>790</v>
      </c>
    </row>
    <row r="258" spans="1:6" s="1516" customFormat="1" ht="14.25" customHeight="1" thickBot="1">
      <c r="A258" s="1528" t="s">
        <v>1542</v>
      </c>
      <c r="B258" s="1522" t="s">
        <v>1341</v>
      </c>
      <c r="C258" s="1522">
        <v>3410</v>
      </c>
      <c r="D258" s="1522">
        <v>3380</v>
      </c>
      <c r="E258" s="1522">
        <v>3500</v>
      </c>
      <c r="F258" s="1536">
        <v>830</v>
      </c>
    </row>
    <row r="259" spans="1:6" s="1516" customFormat="1" ht="14.25" customHeight="1" thickBot="1">
      <c r="A259" s="1528" t="s">
        <v>1542</v>
      </c>
      <c r="B259" s="1522" t="s">
        <v>1352</v>
      </c>
      <c r="C259" s="1522">
        <v>3870</v>
      </c>
      <c r="D259" s="1522">
        <v>3840</v>
      </c>
      <c r="E259" s="1522">
        <v>3970</v>
      </c>
      <c r="F259" s="1536">
        <v>830</v>
      </c>
    </row>
    <row r="260" spans="1:6" s="1516" customFormat="1" ht="14.25" customHeight="1" thickBot="1">
      <c r="A260" s="1528" t="s">
        <v>1542</v>
      </c>
      <c r="B260" s="1522" t="s">
        <v>1362</v>
      </c>
      <c r="C260" s="1522">
        <v>3700</v>
      </c>
      <c r="D260" s="1522">
        <v>3660</v>
      </c>
      <c r="E260" s="1522">
        <v>3810</v>
      </c>
      <c r="F260" s="1536">
        <v>790</v>
      </c>
    </row>
    <row r="261" spans="1:6" s="1516" customFormat="1" ht="14.25" customHeight="1" thickBot="1">
      <c r="A261" s="1528" t="s">
        <v>1542</v>
      </c>
      <c r="B261" s="1522" t="s">
        <v>1372</v>
      </c>
      <c r="C261" s="1522">
        <v>3470</v>
      </c>
      <c r="D261" s="1522">
        <v>3430</v>
      </c>
      <c r="E261" s="1522">
        <v>3640</v>
      </c>
      <c r="F261" s="1536">
        <v>760</v>
      </c>
    </row>
    <row r="262" spans="1:6" s="1516" customFormat="1" ht="14.25" customHeight="1" thickBot="1">
      <c r="A262" s="1528" t="s">
        <v>1542</v>
      </c>
      <c r="B262" s="1522" t="s">
        <v>1382</v>
      </c>
      <c r="C262" s="1522">
        <v>3510</v>
      </c>
      <c r="D262" s="1522">
        <v>3470</v>
      </c>
      <c r="E262" s="1522">
        <v>3680</v>
      </c>
      <c r="F262" s="1540"/>
    </row>
    <row r="263" spans="1:6" s="1516" customFormat="1" ht="14.25" customHeight="1" thickBot="1">
      <c r="A263" s="1528" t="s">
        <v>1542</v>
      </c>
      <c r="B263" s="1522" t="s">
        <v>1392</v>
      </c>
      <c r="C263" s="1522">
        <v>3960</v>
      </c>
      <c r="D263" s="1522">
        <v>3930</v>
      </c>
      <c r="E263" s="1522">
        <v>4070</v>
      </c>
      <c r="F263" s="1536">
        <v>830</v>
      </c>
    </row>
    <row r="264" spans="1:6" s="1516" customFormat="1" ht="14.25" customHeight="1" thickBot="1">
      <c r="A264" s="1528" t="s">
        <v>1542</v>
      </c>
      <c r="B264" s="1522" t="s">
        <v>1401</v>
      </c>
      <c r="C264" s="1522">
        <v>4010</v>
      </c>
      <c r="D264" s="1522">
        <v>3980</v>
      </c>
      <c r="E264" s="1522">
        <v>4150</v>
      </c>
      <c r="F264" s="1536">
        <v>760</v>
      </c>
    </row>
    <row r="265" spans="1:6" s="1516" customFormat="1" ht="14.25" customHeight="1" thickBot="1">
      <c r="A265" s="1528" t="s">
        <v>1542</v>
      </c>
      <c r="B265" s="1522" t="s">
        <v>1410</v>
      </c>
      <c r="C265" s="1522">
        <v>3910</v>
      </c>
      <c r="D265" s="1522">
        <v>3890</v>
      </c>
      <c r="E265" s="1522">
        <v>4040</v>
      </c>
      <c r="F265" s="1536">
        <v>780</v>
      </c>
    </row>
    <row r="266" spans="1:6" s="1516" customFormat="1" ht="14.25" customHeight="1" thickBot="1">
      <c r="A266" s="1528" t="s">
        <v>1542</v>
      </c>
      <c r="B266" s="1522" t="s">
        <v>1418</v>
      </c>
      <c r="C266" s="1522">
        <v>3930</v>
      </c>
      <c r="D266" s="1522">
        <v>3900</v>
      </c>
      <c r="E266" s="1522">
        <v>4080</v>
      </c>
      <c r="F266" s="1536">
        <v>770</v>
      </c>
    </row>
    <row r="267" spans="1:6" s="1516" customFormat="1" ht="14.25" customHeight="1" thickBot="1">
      <c r="A267" s="1528" t="s">
        <v>1542</v>
      </c>
      <c r="B267" s="1522" t="s">
        <v>1425</v>
      </c>
      <c r="C267" s="1522">
        <v>3800</v>
      </c>
      <c r="D267" s="1522">
        <v>3780</v>
      </c>
      <c r="E267" s="1522">
        <v>3930</v>
      </c>
      <c r="F267" s="1540"/>
    </row>
    <row r="268" spans="1:6" s="1516" customFormat="1" ht="14.25" customHeight="1" thickBot="1">
      <c r="A268" s="1528" t="s">
        <v>1542</v>
      </c>
      <c r="B268" s="1522" t="s">
        <v>1432</v>
      </c>
      <c r="C268" s="1522">
        <v>3460</v>
      </c>
      <c r="D268" s="1522">
        <v>3430</v>
      </c>
      <c r="E268" s="1522">
        <v>3560</v>
      </c>
      <c r="F268" s="1536">
        <v>840</v>
      </c>
    </row>
    <row r="269" spans="1:6" s="1516" customFormat="1" ht="14.25" customHeight="1" thickBot="1">
      <c r="A269" s="1528" t="s">
        <v>1542</v>
      </c>
      <c r="B269" s="1522" t="s">
        <v>1439</v>
      </c>
      <c r="C269" s="1522">
        <v>3210</v>
      </c>
      <c r="D269" s="1522">
        <v>3190</v>
      </c>
      <c r="E269" s="1522">
        <v>3310</v>
      </c>
      <c r="F269" s="1536">
        <v>730</v>
      </c>
    </row>
    <row r="270" spans="1:6" s="1516" customFormat="1" ht="14.25" customHeight="1" thickBot="1">
      <c r="A270" s="1528" t="s">
        <v>1542</v>
      </c>
      <c r="B270" s="1522" t="s">
        <v>1446</v>
      </c>
      <c r="C270" s="1522">
        <v>3240</v>
      </c>
      <c r="D270" s="1522">
        <v>3210</v>
      </c>
      <c r="E270" s="1522">
        <v>3390</v>
      </c>
      <c r="F270" s="1536">
        <v>820</v>
      </c>
    </row>
    <row r="271" spans="1:6" s="1516" customFormat="1" ht="14.25" customHeight="1" thickBot="1">
      <c r="A271" s="1528" t="s">
        <v>1542</v>
      </c>
      <c r="B271" s="1522" t="s">
        <v>1453</v>
      </c>
      <c r="C271" s="1522">
        <v>3300</v>
      </c>
      <c r="D271" s="1522">
        <v>3270</v>
      </c>
      <c r="E271" s="1522">
        <v>3380</v>
      </c>
      <c r="F271" s="1536">
        <v>750</v>
      </c>
    </row>
    <row r="272" spans="1:6" s="1516" customFormat="1" ht="14.25" customHeight="1" thickBot="1">
      <c r="A272" s="1528" t="s">
        <v>1542</v>
      </c>
      <c r="B272" s="1522" t="s">
        <v>1460</v>
      </c>
      <c r="C272" s="1541"/>
      <c r="D272" s="1541"/>
      <c r="E272" s="1541"/>
      <c r="F272" s="1536">
        <v>740</v>
      </c>
    </row>
    <row r="273" spans="1:6" s="1516" customFormat="1" ht="14.25" customHeight="1" thickBot="1">
      <c r="A273" s="1528" t="s">
        <v>1542</v>
      </c>
      <c r="B273" s="1522" t="s">
        <v>1464</v>
      </c>
      <c r="C273" s="1522">
        <v>3130</v>
      </c>
      <c r="D273" s="1522">
        <v>3100</v>
      </c>
      <c r="E273" s="1522">
        <v>3230</v>
      </c>
      <c r="F273" s="1536">
        <v>700</v>
      </c>
    </row>
    <row r="274" spans="1:6" s="1516" customFormat="1" ht="14.25" customHeight="1" thickBot="1">
      <c r="A274" s="1528" t="s">
        <v>1542</v>
      </c>
      <c r="B274" s="1522" t="s">
        <v>1469</v>
      </c>
      <c r="C274" s="1522">
        <v>3460</v>
      </c>
      <c r="D274" s="1522">
        <v>3430</v>
      </c>
      <c r="E274" s="1522">
        <v>3560</v>
      </c>
      <c r="F274" s="1536">
        <v>690</v>
      </c>
    </row>
    <row r="275" spans="1:6" s="1516" customFormat="1" ht="14.25" customHeight="1" thickBot="1">
      <c r="A275" s="1528" t="s">
        <v>1542</v>
      </c>
      <c r="B275" s="1522" t="s">
        <v>1474</v>
      </c>
      <c r="C275" s="1522">
        <v>4040</v>
      </c>
      <c r="D275" s="1522">
        <v>4020</v>
      </c>
      <c r="E275" s="1522">
        <v>4160</v>
      </c>
      <c r="F275" s="1536">
        <v>820</v>
      </c>
    </row>
    <row r="276" spans="1:6" s="1516" customFormat="1" ht="14.25" customHeight="1" thickBot="1">
      <c r="A276" s="1528" t="s">
        <v>1542</v>
      </c>
      <c r="B276" s="1522" t="s">
        <v>1479</v>
      </c>
      <c r="C276" s="1522">
        <v>3270</v>
      </c>
      <c r="D276" s="1522">
        <v>3240</v>
      </c>
      <c r="E276" s="1522">
        <v>3350</v>
      </c>
      <c r="F276" s="1536">
        <v>680</v>
      </c>
    </row>
    <row r="277" spans="1:6" s="1516" customFormat="1" ht="14.25" customHeight="1" thickBot="1">
      <c r="A277" s="1528" t="s">
        <v>1542</v>
      </c>
      <c r="B277" s="1522" t="s">
        <v>1484</v>
      </c>
      <c r="C277" s="1522">
        <v>2930</v>
      </c>
      <c r="D277" s="1522">
        <v>2900</v>
      </c>
      <c r="E277" s="1522">
        <v>3000</v>
      </c>
      <c r="F277" s="1536">
        <v>640</v>
      </c>
    </row>
    <row r="278" spans="1:6" s="1516" customFormat="1" ht="14.25" customHeight="1" thickBot="1">
      <c r="A278" s="1528" t="s">
        <v>1542</v>
      </c>
      <c r="B278" s="1522" t="s">
        <v>1489</v>
      </c>
      <c r="C278" s="1522">
        <v>4080</v>
      </c>
      <c r="D278" s="1522">
        <v>4030</v>
      </c>
      <c r="E278" s="1522">
        <v>4140</v>
      </c>
      <c r="F278" s="1536">
        <v>850</v>
      </c>
    </row>
    <row r="279" spans="1:6" s="1516" customFormat="1" ht="14.25" customHeight="1" thickBot="1">
      <c r="A279" s="1528" t="s">
        <v>1542</v>
      </c>
      <c r="B279" s="1522" t="s">
        <v>1493</v>
      </c>
      <c r="C279" s="1522"/>
      <c r="D279" s="1522"/>
      <c r="E279" s="1522"/>
      <c r="F279" s="1536">
        <v>760</v>
      </c>
    </row>
    <row r="280" spans="1:6" s="1516" customFormat="1" ht="14.25" customHeight="1" thickBot="1">
      <c r="A280" s="1528" t="s">
        <v>1542</v>
      </c>
      <c r="B280" s="1522" t="s">
        <v>1497</v>
      </c>
      <c r="C280" s="1522"/>
      <c r="D280" s="1522"/>
      <c r="E280" s="1522"/>
      <c r="F280" s="1536">
        <v>760</v>
      </c>
    </row>
    <row r="281" spans="1:6" s="1516" customFormat="1" ht="14.25" customHeight="1" thickBot="1">
      <c r="A281" s="1528" t="s">
        <v>1542</v>
      </c>
      <c r="B281" s="1522" t="s">
        <v>1501</v>
      </c>
      <c r="C281" s="1522"/>
      <c r="D281" s="1522"/>
      <c r="E281" s="1522"/>
      <c r="F281" s="1536">
        <v>780</v>
      </c>
    </row>
    <row r="282" spans="1:6" s="1516" customFormat="1" ht="14.25" customHeight="1" thickBot="1">
      <c r="A282" s="1528" t="s">
        <v>1542</v>
      </c>
      <c r="B282" s="1522" t="s">
        <v>1505</v>
      </c>
      <c r="C282" s="1522"/>
      <c r="D282" s="1522"/>
      <c r="E282" s="1522"/>
      <c r="F282" s="1536">
        <v>730</v>
      </c>
    </row>
    <row r="283" spans="1:6" s="1516" customFormat="1" ht="14.25" customHeight="1" thickBot="1">
      <c r="A283" s="1528" t="s">
        <v>1542</v>
      </c>
      <c r="B283" s="1522" t="s">
        <v>1509</v>
      </c>
      <c r="C283" s="1522"/>
      <c r="D283" s="1522"/>
      <c r="E283" s="1522"/>
      <c r="F283" s="1536">
        <v>770</v>
      </c>
    </row>
    <row r="284" spans="1:6" s="1516" customFormat="1" ht="14.25" customHeight="1" thickBot="1">
      <c r="A284" s="1528" t="s">
        <v>1542</v>
      </c>
      <c r="B284" s="1522" t="s">
        <v>1512</v>
      </c>
      <c r="C284" s="1522"/>
      <c r="D284" s="1522"/>
      <c r="E284" s="1522"/>
      <c r="F284" s="1536">
        <v>640</v>
      </c>
    </row>
    <row r="285" spans="1:6" s="1516" customFormat="1" ht="14.25" customHeight="1" thickBot="1">
      <c r="A285" s="1528" t="s">
        <v>1542</v>
      </c>
      <c r="B285" s="1522" t="s">
        <v>1515</v>
      </c>
      <c r="C285" s="1522"/>
      <c r="D285" s="1522"/>
      <c r="E285" s="1522"/>
      <c r="F285" s="1536">
        <v>640</v>
      </c>
    </row>
    <row r="286" spans="1:6" s="1516" customFormat="1" ht="14.25" customHeight="1" thickBot="1">
      <c r="A286" s="1528" t="s">
        <v>1542</v>
      </c>
      <c r="B286" s="1522" t="s">
        <v>1518</v>
      </c>
      <c r="C286" s="1522"/>
      <c r="D286" s="1522"/>
      <c r="E286" s="1522"/>
      <c r="F286" s="1536">
        <v>850</v>
      </c>
    </row>
    <row r="287" spans="1:6" s="1516" customFormat="1" ht="14.25" customHeight="1" thickBot="1">
      <c r="A287" s="1528" t="s">
        <v>1542</v>
      </c>
      <c r="B287" s="1522" t="s">
        <v>1521</v>
      </c>
      <c r="C287" s="1522"/>
      <c r="D287" s="1522"/>
      <c r="E287" s="1522"/>
      <c r="F287" s="1536">
        <v>760</v>
      </c>
    </row>
    <row r="288" spans="1:6" s="1516" customFormat="1" ht="14.25" customHeight="1" thickBot="1">
      <c r="A288" s="1528" t="s">
        <v>1542</v>
      </c>
      <c r="B288" s="1522" t="s">
        <v>1524</v>
      </c>
      <c r="C288" s="1522"/>
      <c r="D288" s="1522"/>
      <c r="E288" s="1522"/>
      <c r="F288" s="1536">
        <v>830</v>
      </c>
    </row>
    <row r="289" spans="1:6" s="1516" customFormat="1" ht="14.25" customHeight="1" thickBot="1">
      <c r="A289" s="1528" t="s">
        <v>1542</v>
      </c>
      <c r="B289" s="1534" t="s">
        <v>1527</v>
      </c>
      <c r="C289" s="1534"/>
      <c r="D289" s="1534"/>
      <c r="E289" s="1534"/>
      <c r="F289" s="1539">
        <v>680</v>
      </c>
    </row>
    <row r="290" spans="1:6" s="1516" customFormat="1" ht="14.25" customHeight="1" thickBot="1">
      <c r="A290" s="1528" t="s">
        <v>1546</v>
      </c>
      <c r="B290" s="1529" t="s">
        <v>1547</v>
      </c>
      <c r="C290" s="1529">
        <v>2770</v>
      </c>
      <c r="D290" s="1529">
        <v>2740</v>
      </c>
      <c r="E290" s="1529">
        <v>2720</v>
      </c>
      <c r="F290" s="1542"/>
    </row>
    <row r="291" spans="1:6" s="1516" customFormat="1" ht="14.25" customHeight="1" thickBot="1">
      <c r="A291" s="1528" t="s">
        <v>1546</v>
      </c>
      <c r="B291" s="1522" t="s">
        <v>1208</v>
      </c>
      <c r="C291" s="1522">
        <v>2670</v>
      </c>
      <c r="D291" s="1522">
        <v>2640</v>
      </c>
      <c r="E291" s="1522">
        <v>2620</v>
      </c>
      <c r="F291" s="1540"/>
    </row>
    <row r="292" spans="1:6" s="1516" customFormat="1" ht="14.25" customHeight="1" thickBot="1">
      <c r="A292" s="1528" t="s">
        <v>1546</v>
      </c>
      <c r="B292" s="1522" t="s">
        <v>1548</v>
      </c>
      <c r="C292" s="1522">
        <v>2180</v>
      </c>
      <c r="D292" s="1522">
        <v>2140</v>
      </c>
      <c r="E292" s="1522">
        <v>2120</v>
      </c>
      <c r="F292" s="1536">
        <v>490</v>
      </c>
    </row>
    <row r="293" spans="1:6" s="1516" customFormat="1" ht="14.25" customHeight="1" thickBot="1">
      <c r="A293" s="1528" t="s">
        <v>1546</v>
      </c>
      <c r="B293" s="1522" t="s">
        <v>1549</v>
      </c>
      <c r="C293" s="1522"/>
      <c r="D293" s="1522"/>
      <c r="E293" s="1522"/>
      <c r="F293" s="1536">
        <v>470</v>
      </c>
    </row>
    <row r="294" spans="1:6" s="1516" customFormat="1" ht="14.25" customHeight="1" thickBot="1">
      <c r="A294" s="1528" t="s">
        <v>1546</v>
      </c>
      <c r="B294" s="1522" t="s">
        <v>1550</v>
      </c>
      <c r="C294" s="1522">
        <v>2730</v>
      </c>
      <c r="D294" s="1522">
        <v>2700</v>
      </c>
      <c r="E294" s="1522">
        <v>2680</v>
      </c>
      <c r="F294" s="1536">
        <v>490</v>
      </c>
    </row>
    <row r="295" spans="1:6" s="1516" customFormat="1" ht="14.25" customHeight="1" thickBot="1">
      <c r="A295" s="1528" t="s">
        <v>1546</v>
      </c>
      <c r="B295" s="1522" t="s">
        <v>1246</v>
      </c>
      <c r="C295" s="1522">
        <v>2380</v>
      </c>
      <c r="D295" s="1522">
        <v>2350</v>
      </c>
      <c r="E295" s="1522">
        <v>2330</v>
      </c>
      <c r="F295" s="1536">
        <v>530</v>
      </c>
    </row>
    <row r="296" spans="1:6" s="1516" customFormat="1" ht="14.25" customHeight="1" thickBot="1">
      <c r="A296" s="1528" t="s">
        <v>1546</v>
      </c>
      <c r="B296" s="1522" t="s">
        <v>1257</v>
      </c>
      <c r="C296" s="1522">
        <v>2650</v>
      </c>
      <c r="D296" s="1522">
        <v>2620</v>
      </c>
      <c r="E296" s="1522">
        <v>2590</v>
      </c>
      <c r="F296" s="1536">
        <v>590</v>
      </c>
    </row>
    <row r="297" spans="1:6" s="1516" customFormat="1" ht="14.25" customHeight="1" thickBot="1">
      <c r="A297" s="1528" t="s">
        <v>1546</v>
      </c>
      <c r="B297" s="1522" t="s">
        <v>1268</v>
      </c>
      <c r="C297" s="1522">
        <v>2700</v>
      </c>
      <c r="D297" s="1522">
        <v>2670</v>
      </c>
      <c r="E297" s="1522">
        <v>2650</v>
      </c>
      <c r="F297" s="1536">
        <v>630</v>
      </c>
    </row>
    <row r="298" spans="1:6" s="1516" customFormat="1" ht="14.25" customHeight="1" thickBot="1">
      <c r="A298" s="1528" t="s">
        <v>1546</v>
      </c>
      <c r="B298" s="1522" t="s">
        <v>1279</v>
      </c>
      <c r="C298" s="1522">
        <v>2650</v>
      </c>
      <c r="D298" s="1522">
        <v>2620</v>
      </c>
      <c r="E298" s="1522">
        <v>2590</v>
      </c>
      <c r="F298" s="1536">
        <v>640</v>
      </c>
    </row>
    <row r="299" spans="1:6" s="1516" customFormat="1" ht="14.25" customHeight="1" thickBot="1">
      <c r="A299" s="1528" t="s">
        <v>1546</v>
      </c>
      <c r="B299" s="1522" t="s">
        <v>1291</v>
      </c>
      <c r="C299" s="1522">
        <v>2500</v>
      </c>
      <c r="D299" s="1522">
        <v>2480</v>
      </c>
      <c r="E299" s="1522">
        <v>2460</v>
      </c>
      <c r="F299" s="1540"/>
    </row>
    <row r="300" spans="1:6" s="1516" customFormat="1" ht="14.25" customHeight="1" thickBot="1">
      <c r="A300" s="1528" t="s">
        <v>1546</v>
      </c>
      <c r="B300" s="1522" t="s">
        <v>1301</v>
      </c>
      <c r="C300" s="1522">
        <v>2760</v>
      </c>
      <c r="D300" s="1522">
        <v>2730</v>
      </c>
      <c r="E300" s="1522">
        <v>2700</v>
      </c>
      <c r="F300" s="1536">
        <v>630</v>
      </c>
    </row>
    <row r="301" spans="1:6" s="1516" customFormat="1" ht="14.25" customHeight="1" thickBot="1">
      <c r="A301" s="1528" t="s">
        <v>1546</v>
      </c>
      <c r="B301" s="1522" t="s">
        <v>1311</v>
      </c>
      <c r="C301" s="1522">
        <v>2510</v>
      </c>
      <c r="D301" s="1522">
        <v>2480</v>
      </c>
      <c r="E301" s="1522">
        <v>2460</v>
      </c>
      <c r="F301" s="1540"/>
    </row>
    <row r="302" spans="1:6" s="1516" customFormat="1" ht="14.25" customHeight="1" thickBot="1">
      <c r="A302" s="1528" t="s">
        <v>1546</v>
      </c>
      <c r="B302" s="1522" t="s">
        <v>1321</v>
      </c>
      <c r="C302" s="1522">
        <v>2480</v>
      </c>
      <c r="D302" s="1522">
        <v>2450</v>
      </c>
      <c r="E302" s="1522">
        <v>2420</v>
      </c>
      <c r="F302" s="1536">
        <v>600</v>
      </c>
    </row>
    <row r="303" spans="1:6" s="1516" customFormat="1" ht="14.25" customHeight="1" thickBot="1">
      <c r="A303" s="1528" t="s">
        <v>1546</v>
      </c>
      <c r="B303" s="1522" t="s">
        <v>1331</v>
      </c>
      <c r="C303" s="1522">
        <v>2270</v>
      </c>
      <c r="D303" s="1522">
        <v>2240</v>
      </c>
      <c r="E303" s="1522">
        <v>2210</v>
      </c>
      <c r="F303" s="1536">
        <v>540</v>
      </c>
    </row>
    <row r="304" spans="1:6" s="1516" customFormat="1" ht="14.25" customHeight="1" thickBot="1">
      <c r="A304" s="1528" t="s">
        <v>1546</v>
      </c>
      <c r="B304" s="1522" t="s">
        <v>1342</v>
      </c>
      <c r="C304" s="1522">
        <v>2310</v>
      </c>
      <c r="D304" s="1522">
        <v>2290</v>
      </c>
      <c r="E304" s="1522">
        <v>2270</v>
      </c>
      <c r="F304" s="1540"/>
    </row>
    <row r="305" spans="1:6" s="1516" customFormat="1" ht="14.25" customHeight="1" thickBot="1">
      <c r="A305" s="1528" t="s">
        <v>1546</v>
      </c>
      <c r="B305" s="1522" t="s">
        <v>1353</v>
      </c>
      <c r="C305" s="1522">
        <v>2490</v>
      </c>
      <c r="D305" s="1522">
        <v>2470</v>
      </c>
      <c r="E305" s="1522">
        <v>2440</v>
      </c>
      <c r="F305" s="1536">
        <v>560</v>
      </c>
    </row>
    <row r="306" spans="1:6" s="1516" customFormat="1" ht="14.25" customHeight="1" thickBot="1">
      <c r="A306" s="1528" t="s">
        <v>1546</v>
      </c>
      <c r="B306" s="1522" t="s">
        <v>1363</v>
      </c>
      <c r="C306" s="1522">
        <v>2420</v>
      </c>
      <c r="D306" s="1522">
        <v>2400</v>
      </c>
      <c r="E306" s="1522">
        <v>2380</v>
      </c>
      <c r="F306" s="1540"/>
    </row>
    <row r="307" spans="1:6" s="1516" customFormat="1" ht="14.25" customHeight="1" thickBot="1">
      <c r="A307" s="1528" t="s">
        <v>1546</v>
      </c>
      <c r="B307" s="1522" t="s">
        <v>1373</v>
      </c>
      <c r="C307" s="1522">
        <v>2770</v>
      </c>
      <c r="D307" s="1522">
        <v>2740</v>
      </c>
      <c r="E307" s="1522">
        <v>2710</v>
      </c>
      <c r="F307" s="1536">
        <v>650</v>
      </c>
    </row>
    <row r="308" spans="1:6" s="1516" customFormat="1" ht="14.25" customHeight="1" thickBot="1">
      <c r="A308" s="1528" t="s">
        <v>1546</v>
      </c>
      <c r="B308" s="1522" t="s">
        <v>1383</v>
      </c>
      <c r="C308" s="1522">
        <v>2610</v>
      </c>
      <c r="D308" s="1522">
        <v>2580</v>
      </c>
      <c r="E308" s="1522">
        <v>2550</v>
      </c>
      <c r="F308" s="1536">
        <v>580</v>
      </c>
    </row>
    <row r="309" spans="1:6" s="1516" customFormat="1" ht="14.25" customHeight="1" thickBot="1">
      <c r="A309" s="1528" t="s">
        <v>1546</v>
      </c>
      <c r="B309" s="1522" t="s">
        <v>1393</v>
      </c>
      <c r="C309" s="1522">
        <v>2690</v>
      </c>
      <c r="D309" s="1522">
        <v>2670</v>
      </c>
      <c r="E309" s="1522">
        <v>2650</v>
      </c>
      <c r="F309" s="1540"/>
    </row>
    <row r="310" spans="1:6" s="1516" customFormat="1" ht="14.25" customHeight="1" thickBot="1">
      <c r="A310" s="1528" t="s">
        <v>1546</v>
      </c>
      <c r="B310" s="1522" t="s">
        <v>1402</v>
      </c>
      <c r="C310" s="1522">
        <v>2360</v>
      </c>
      <c r="D310" s="1522">
        <v>2330</v>
      </c>
      <c r="E310" s="1522">
        <v>2310</v>
      </c>
      <c r="F310" s="1536">
        <v>560</v>
      </c>
    </row>
    <row r="311" spans="1:6" s="1516" customFormat="1" ht="14.25" customHeight="1" thickBot="1">
      <c r="A311" s="1528" t="s">
        <v>1546</v>
      </c>
      <c r="B311" s="1522" t="s">
        <v>1411</v>
      </c>
      <c r="C311" s="1522">
        <v>1970</v>
      </c>
      <c r="D311" s="1522">
        <v>1950</v>
      </c>
      <c r="E311" s="1522">
        <v>1920</v>
      </c>
      <c r="F311" s="1536">
        <v>470</v>
      </c>
    </row>
    <row r="312" spans="1:6" s="1516" customFormat="1" ht="14.25" customHeight="1" thickBot="1">
      <c r="A312" s="1528" t="s">
        <v>1546</v>
      </c>
      <c r="B312" s="1522" t="s">
        <v>1419</v>
      </c>
      <c r="C312" s="1522">
        <v>2230</v>
      </c>
      <c r="D312" s="1522">
        <v>2200</v>
      </c>
      <c r="E312" s="1522">
        <v>2170</v>
      </c>
      <c r="F312" s="1536">
        <v>460</v>
      </c>
    </row>
    <row r="313" spans="1:6" s="1516" customFormat="1" ht="14.25" customHeight="1" thickBot="1">
      <c r="A313" s="1528" t="s">
        <v>1546</v>
      </c>
      <c r="B313" s="1522" t="s">
        <v>1426</v>
      </c>
      <c r="C313" s="1522">
        <v>2770</v>
      </c>
      <c r="D313" s="1522">
        <v>2740</v>
      </c>
      <c r="E313" s="1522">
        <v>2710</v>
      </c>
      <c r="F313" s="1536">
        <v>610</v>
      </c>
    </row>
    <row r="314" spans="1:6" s="1516" customFormat="1" ht="14.25" customHeight="1" thickBot="1">
      <c r="A314" s="1528" t="s">
        <v>1546</v>
      </c>
      <c r="B314" s="1522" t="s">
        <v>1433</v>
      </c>
      <c r="C314" s="1522"/>
      <c r="D314" s="1522"/>
      <c r="E314" s="1522"/>
      <c r="F314" s="1536">
        <v>490</v>
      </c>
    </row>
    <row r="315" spans="1:6" s="1516" customFormat="1" ht="14.25" customHeight="1" thickBot="1">
      <c r="A315" s="1528" t="s">
        <v>1546</v>
      </c>
      <c r="B315" s="1522" t="s">
        <v>1440</v>
      </c>
      <c r="C315" s="1522"/>
      <c r="D315" s="1522"/>
      <c r="E315" s="1522"/>
      <c r="F315" s="1536">
        <v>520</v>
      </c>
    </row>
    <row r="316" spans="1:6" s="1516" customFormat="1" ht="14.25" customHeight="1" thickBot="1">
      <c r="A316" s="1528" t="s">
        <v>1546</v>
      </c>
      <c r="B316" s="1534" t="s">
        <v>1447</v>
      </c>
      <c r="C316" s="1534"/>
      <c r="D316" s="1534"/>
      <c r="E316" s="1534"/>
      <c r="F316" s="1539">
        <v>460</v>
      </c>
    </row>
    <row r="317" spans="1:6" s="1516" customFormat="1" ht="14.25" customHeight="1" thickBot="1">
      <c r="A317" s="1528" t="s">
        <v>1333</v>
      </c>
      <c r="B317" s="1529" t="s">
        <v>1551</v>
      </c>
      <c r="C317" s="1529">
        <v>1200</v>
      </c>
      <c r="D317" s="1529">
        <v>1180</v>
      </c>
      <c r="E317" s="1529">
        <v>1160</v>
      </c>
      <c r="F317" s="1530">
        <v>370</v>
      </c>
    </row>
    <row r="318" spans="1:6" s="1516" customFormat="1" ht="14.25" customHeight="1" thickBot="1">
      <c r="A318" s="1528" t="s">
        <v>1333</v>
      </c>
      <c r="B318" s="1522" t="s">
        <v>1552</v>
      </c>
      <c r="C318" s="1522">
        <v>1090</v>
      </c>
      <c r="D318" s="1522">
        <v>1060</v>
      </c>
      <c r="E318" s="1522">
        <v>1040</v>
      </c>
      <c r="F318" s="1540"/>
    </row>
    <row r="319" spans="1:6" s="1516" customFormat="1" ht="14.25" customHeight="1" thickBot="1">
      <c r="A319" s="1528" t="s">
        <v>1333</v>
      </c>
      <c r="B319" s="1522" t="s">
        <v>1553</v>
      </c>
      <c r="C319" s="1522">
        <v>1520</v>
      </c>
      <c r="D319" s="1522">
        <v>1470</v>
      </c>
      <c r="E319" s="1522">
        <v>1440</v>
      </c>
      <c r="F319" s="1536">
        <v>370</v>
      </c>
    </row>
    <row r="320" spans="1:6" s="1516" customFormat="1" ht="14.25" customHeight="1" thickBot="1">
      <c r="A320" s="1528" t="s">
        <v>1333</v>
      </c>
      <c r="B320" s="1522" t="s">
        <v>1235</v>
      </c>
      <c r="C320" s="1522">
        <v>1360</v>
      </c>
      <c r="D320" s="1522">
        <v>1300</v>
      </c>
      <c r="E320" s="1522">
        <v>1270</v>
      </c>
      <c r="F320" s="1540"/>
    </row>
    <row r="321" spans="1:6" s="1516" customFormat="1" ht="14.25" customHeight="1" thickBot="1">
      <c r="A321" s="1528" t="s">
        <v>1333</v>
      </c>
      <c r="B321" s="1522" t="s">
        <v>1247</v>
      </c>
      <c r="C321" s="1522">
        <v>1750</v>
      </c>
      <c r="D321" s="1522">
        <v>1690</v>
      </c>
      <c r="E321" s="1522">
        <v>1660</v>
      </c>
      <c r="F321" s="1540"/>
    </row>
    <row r="322" spans="1:6" s="1516" customFormat="1" ht="14.25" customHeight="1" thickBot="1">
      <c r="A322" s="1528" t="s">
        <v>1333</v>
      </c>
      <c r="B322" s="1522" t="s">
        <v>1258</v>
      </c>
      <c r="C322" s="1522">
        <v>1650</v>
      </c>
      <c r="D322" s="1522">
        <v>1610</v>
      </c>
      <c r="E322" s="1522">
        <v>1580</v>
      </c>
      <c r="F322" s="1536">
        <v>500</v>
      </c>
    </row>
    <row r="323" spans="1:6" s="1516" customFormat="1" ht="14.25" customHeight="1" thickBot="1">
      <c r="A323" s="1528" t="s">
        <v>1333</v>
      </c>
      <c r="B323" s="1522" t="s">
        <v>1269</v>
      </c>
      <c r="C323" s="1522">
        <v>1780</v>
      </c>
      <c r="D323" s="1522">
        <v>1740</v>
      </c>
      <c r="E323" s="1522">
        <v>1720</v>
      </c>
      <c r="F323" s="1540"/>
    </row>
    <row r="324" spans="1:6" s="1516" customFormat="1" ht="14.25" customHeight="1" thickBot="1">
      <c r="A324" s="1528" t="s">
        <v>1333</v>
      </c>
      <c r="B324" s="1522" t="s">
        <v>1280</v>
      </c>
      <c r="C324" s="1522">
        <v>1650</v>
      </c>
      <c r="D324" s="1522">
        <v>1610</v>
      </c>
      <c r="E324" s="1522">
        <v>1580</v>
      </c>
      <c r="F324" s="1540"/>
    </row>
    <row r="325" spans="1:6" s="1516" customFormat="1" ht="14.25" customHeight="1" thickBot="1">
      <c r="A325" s="1528" t="s">
        <v>1333</v>
      </c>
      <c r="B325" s="1522" t="s">
        <v>1292</v>
      </c>
      <c r="C325" s="1522">
        <v>1330</v>
      </c>
      <c r="D325" s="1522">
        <v>1270</v>
      </c>
      <c r="E325" s="1522">
        <v>1240</v>
      </c>
      <c r="F325" s="1536">
        <v>430</v>
      </c>
    </row>
    <row r="326" spans="1:6" s="1516" customFormat="1" ht="14.25" customHeight="1" thickBot="1">
      <c r="A326" s="1528" t="s">
        <v>1333</v>
      </c>
      <c r="B326" s="1522" t="s">
        <v>1302</v>
      </c>
      <c r="C326" s="1522">
        <v>1470</v>
      </c>
      <c r="D326" s="1522">
        <v>1430</v>
      </c>
      <c r="E326" s="1522">
        <v>1400</v>
      </c>
      <c r="F326" s="1540"/>
    </row>
    <row r="327" spans="1:6" s="1516" customFormat="1" ht="14.25" customHeight="1" thickBot="1">
      <c r="A327" s="1528" t="s">
        <v>1333</v>
      </c>
      <c r="B327" s="1522" t="s">
        <v>1312</v>
      </c>
      <c r="C327" s="1522">
        <v>1420</v>
      </c>
      <c r="D327" s="1522">
        <v>1380</v>
      </c>
      <c r="E327" s="1522">
        <v>1360</v>
      </c>
      <c r="F327" s="1536">
        <v>420</v>
      </c>
    </row>
    <row r="328" spans="1:6" s="1516" customFormat="1" ht="14.25" customHeight="1" thickBot="1">
      <c r="A328" s="1528" t="s">
        <v>1333</v>
      </c>
      <c r="B328" s="1522" t="s">
        <v>1322</v>
      </c>
      <c r="C328" s="1522">
        <v>1400</v>
      </c>
      <c r="D328" s="1522">
        <v>1360</v>
      </c>
      <c r="E328" s="1522">
        <v>1330</v>
      </c>
      <c r="F328" s="1536">
        <v>460</v>
      </c>
    </row>
    <row r="329" spans="1:6" s="1516" customFormat="1" ht="14.25" customHeight="1" thickBot="1">
      <c r="A329" s="1528" t="s">
        <v>1333</v>
      </c>
      <c r="B329" s="1522" t="s">
        <v>1332</v>
      </c>
      <c r="C329" s="1522">
        <v>1640</v>
      </c>
      <c r="D329" s="1522">
        <v>1610</v>
      </c>
      <c r="E329" s="1522">
        <v>1580</v>
      </c>
      <c r="F329" s="1536">
        <v>410</v>
      </c>
    </row>
    <row r="330" spans="1:6" s="1516" customFormat="1" ht="14.25" customHeight="1" thickBot="1">
      <c r="A330" s="1528" t="s">
        <v>1333</v>
      </c>
      <c r="B330" s="1522" t="s">
        <v>1343</v>
      </c>
      <c r="C330" s="1522">
        <v>1260</v>
      </c>
      <c r="D330" s="1522">
        <v>1220</v>
      </c>
      <c r="E330" s="1522">
        <v>1200</v>
      </c>
      <c r="F330" s="1540"/>
    </row>
    <row r="331" spans="1:6" s="1516" customFormat="1" ht="14.25" customHeight="1" thickBot="1">
      <c r="A331" s="1528" t="s">
        <v>1333</v>
      </c>
      <c r="B331" s="1522" t="s">
        <v>1354</v>
      </c>
      <c r="C331" s="1522">
        <v>1620</v>
      </c>
      <c r="D331" s="1522">
        <v>1560</v>
      </c>
      <c r="E331" s="1522">
        <v>1530</v>
      </c>
      <c r="F331" s="1536">
        <v>490</v>
      </c>
    </row>
    <row r="332" spans="1:6" s="1516" customFormat="1" ht="14.25" customHeight="1" thickBot="1">
      <c r="A332" s="1528" t="s">
        <v>1333</v>
      </c>
      <c r="B332" s="1522" t="s">
        <v>1364</v>
      </c>
      <c r="C332" s="1522">
        <v>1520</v>
      </c>
      <c r="D332" s="1522">
        <v>1470</v>
      </c>
      <c r="E332" s="1522">
        <v>1440</v>
      </c>
      <c r="F332" s="1536">
        <v>440</v>
      </c>
    </row>
    <row r="333" spans="1:6" s="1516" customFormat="1" ht="14.25" customHeight="1" thickBot="1">
      <c r="A333" s="1528" t="s">
        <v>1333</v>
      </c>
      <c r="B333" s="1522" t="s">
        <v>1374</v>
      </c>
      <c r="C333" s="1522">
        <v>1370</v>
      </c>
      <c r="D333" s="1522">
        <v>1320</v>
      </c>
      <c r="E333" s="1522">
        <v>1300</v>
      </c>
      <c r="F333" s="1536">
        <v>460</v>
      </c>
    </row>
    <row r="334" spans="1:6" s="1516" customFormat="1" ht="14.25" customHeight="1" thickBot="1">
      <c r="A334" s="1528" t="s">
        <v>1333</v>
      </c>
      <c r="B334" s="1522" t="s">
        <v>1384</v>
      </c>
      <c r="C334" s="1522">
        <v>1410</v>
      </c>
      <c r="D334" s="1522">
        <v>1340</v>
      </c>
      <c r="E334" s="1522">
        <v>1310</v>
      </c>
      <c r="F334" s="1536">
        <v>410</v>
      </c>
    </row>
    <row r="335" spans="1:6" s="1516" customFormat="1" ht="14.25" customHeight="1" thickBot="1">
      <c r="A335" s="1528" t="s">
        <v>1333</v>
      </c>
      <c r="B335" s="1522" t="s">
        <v>1394</v>
      </c>
      <c r="C335" s="1522">
        <v>1260</v>
      </c>
      <c r="D335" s="1522">
        <v>1220</v>
      </c>
      <c r="E335" s="1522">
        <v>1200</v>
      </c>
      <c r="F335" s="1540"/>
    </row>
    <row r="336" spans="1:6" s="1516" customFormat="1" ht="14.25" customHeight="1" thickBot="1">
      <c r="A336" s="1528" t="s">
        <v>1333</v>
      </c>
      <c r="B336" s="1522" t="s">
        <v>1403</v>
      </c>
      <c r="C336" s="1522">
        <v>1160</v>
      </c>
      <c r="D336" s="1522">
        <v>1140</v>
      </c>
      <c r="E336" s="1522">
        <v>1120</v>
      </c>
      <c r="F336" s="1536">
        <v>430</v>
      </c>
    </row>
    <row r="337" spans="1:6" s="1516" customFormat="1" ht="14.25" customHeight="1" thickBot="1">
      <c r="A337" s="1528" t="s">
        <v>1333</v>
      </c>
      <c r="B337" s="1534" t="s">
        <v>1412</v>
      </c>
      <c r="C337" s="1534"/>
      <c r="D337" s="1534"/>
      <c r="E337" s="1534"/>
      <c r="F337" s="1539">
        <v>380</v>
      </c>
    </row>
    <row r="338" spans="1:6" s="1516" customFormat="1" ht="14.25" customHeight="1" thickBot="1">
      <c r="A338" s="1528" t="s">
        <v>1344</v>
      </c>
      <c r="B338" s="1529" t="s">
        <v>1554</v>
      </c>
      <c r="C338" s="1529">
        <v>880</v>
      </c>
      <c r="D338" s="1529">
        <v>850</v>
      </c>
      <c r="E338" s="1529">
        <v>830</v>
      </c>
      <c r="F338" s="1542"/>
    </row>
    <row r="339" spans="1:6" s="1516" customFormat="1" ht="14.25" customHeight="1" thickBot="1">
      <c r="A339" s="1528" t="s">
        <v>1344</v>
      </c>
      <c r="B339" s="1522" t="s">
        <v>1555</v>
      </c>
      <c r="C339" s="1522">
        <v>830</v>
      </c>
      <c r="D339" s="1522">
        <v>800</v>
      </c>
      <c r="E339" s="1522">
        <v>780</v>
      </c>
      <c r="F339" s="1540"/>
    </row>
    <row r="340" spans="1:6" s="1516" customFormat="1" ht="14.25" customHeight="1" thickBot="1">
      <c r="A340" s="1528" t="s">
        <v>1344</v>
      </c>
      <c r="B340" s="1522" t="s">
        <v>1556</v>
      </c>
      <c r="C340" s="1522">
        <v>980</v>
      </c>
      <c r="D340" s="1522">
        <v>950</v>
      </c>
      <c r="E340" s="1522">
        <v>920</v>
      </c>
      <c r="F340" s="1540"/>
    </row>
    <row r="341" spans="1:6" s="1516" customFormat="1" ht="14.25" customHeight="1" thickBot="1">
      <c r="A341" s="1528" t="s">
        <v>1344</v>
      </c>
      <c r="B341" s="1522" t="s">
        <v>1557</v>
      </c>
      <c r="C341" s="1522">
        <v>760</v>
      </c>
      <c r="D341" s="1522">
        <v>720</v>
      </c>
      <c r="E341" s="1522">
        <v>690</v>
      </c>
      <c r="F341" s="1536">
        <v>350</v>
      </c>
    </row>
    <row r="342" spans="1:6" s="1516" customFormat="1" ht="14.25" customHeight="1" thickBot="1">
      <c r="A342" s="1528" t="s">
        <v>1344</v>
      </c>
      <c r="B342" s="1522" t="s">
        <v>1248</v>
      </c>
      <c r="C342" s="1522">
        <v>910</v>
      </c>
      <c r="D342" s="1522">
        <v>870</v>
      </c>
      <c r="E342" s="1522">
        <v>850</v>
      </c>
      <c r="F342" s="1536">
        <v>370</v>
      </c>
    </row>
    <row r="343" spans="1:6" s="1516" customFormat="1" ht="14.25" customHeight="1" thickBot="1">
      <c r="A343" s="1528" t="s">
        <v>1344</v>
      </c>
      <c r="B343" s="1522" t="s">
        <v>1259</v>
      </c>
      <c r="C343" s="1522">
        <v>800</v>
      </c>
      <c r="D343" s="1522">
        <v>760</v>
      </c>
      <c r="E343" s="1522">
        <v>730</v>
      </c>
      <c r="F343" s="1536">
        <v>340</v>
      </c>
    </row>
    <row r="344" spans="1:6" s="1516" customFormat="1" ht="14.25" customHeight="1" thickBot="1">
      <c r="A344" s="1528" t="s">
        <v>1344</v>
      </c>
      <c r="B344" s="1534" t="s">
        <v>1270</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67" t="s">
        <v>2133</v>
      </c>
      <c r="B1" s="3767"/>
    </row>
    <row r="2" spans="1:6" ht="14.25" thickBot="1">
      <c r="A2" s="2110"/>
      <c r="B2" s="2110"/>
    </row>
    <row r="3" spans="1:6" ht="14.25" thickBot="1">
      <c r="A3" s="2110"/>
      <c r="B3" s="2110"/>
      <c r="C3" s="2114" t="s">
        <v>2136</v>
      </c>
      <c r="D3" s="2114" t="s">
        <v>2137</v>
      </c>
      <c r="E3" s="2114" t="s">
        <v>2138</v>
      </c>
      <c r="F3" s="2114" t="s">
        <v>2139</v>
      </c>
    </row>
    <row r="4" spans="1:6" ht="14.25" thickBot="1">
      <c r="A4" s="2112" t="s">
        <v>2134</v>
      </c>
      <c r="B4" s="2113" t="s">
        <v>2135</v>
      </c>
      <c r="C4" s="2114"/>
      <c r="D4" s="2114"/>
      <c r="E4" s="2114"/>
      <c r="F4" s="2114"/>
    </row>
    <row r="5" spans="1:6" ht="14.25" thickBot="1">
      <c r="A5" s="1528" t="s">
        <v>2140</v>
      </c>
      <c r="B5" s="1529" t="s">
        <v>2141</v>
      </c>
      <c r="C5" s="2115">
        <v>8.8999999999999996E-2</v>
      </c>
      <c r="D5" s="2115">
        <v>7.3999999999999996E-2</v>
      </c>
      <c r="E5" s="2115">
        <v>7.4999999999999997E-2</v>
      </c>
      <c r="F5" s="2116">
        <v>0.1</v>
      </c>
    </row>
    <row r="6" spans="1:6" ht="14.25" thickBot="1">
      <c r="A6" s="1528" t="s">
        <v>1224</v>
      </c>
      <c r="B6" s="1522" t="s">
        <v>2142</v>
      </c>
      <c r="C6" s="2117">
        <v>0.1</v>
      </c>
      <c r="D6" s="2117">
        <v>9.0999999999999998E-2</v>
      </c>
      <c r="E6" s="2117">
        <v>9.0999999999999998E-2</v>
      </c>
      <c r="F6" s="2118">
        <v>0.1</v>
      </c>
    </row>
    <row r="7" spans="1:6" ht="14.25" thickBot="1">
      <c r="A7" s="1528" t="s">
        <v>1224</v>
      </c>
      <c r="B7" s="1532" t="s">
        <v>1213</v>
      </c>
      <c r="C7" s="2117">
        <v>8.5999999999999993E-2</v>
      </c>
      <c r="D7" s="2117">
        <v>9.6000000000000002E-2</v>
      </c>
      <c r="E7" s="2117">
        <v>7.5999999999999998E-2</v>
      </c>
      <c r="F7" s="2118">
        <v>0.1</v>
      </c>
    </row>
    <row r="8" spans="1:6" ht="14.25" thickBot="1">
      <c r="A8" s="1528" t="s">
        <v>1224</v>
      </c>
      <c r="B8" s="1522" t="s">
        <v>1225</v>
      </c>
      <c r="C8" s="2117">
        <v>9.9000000000000005E-2</v>
      </c>
      <c r="D8" s="2117">
        <v>9.8000000000000004E-2</v>
      </c>
      <c r="E8" s="2117">
        <v>9.8000000000000004E-2</v>
      </c>
      <c r="F8" s="2118">
        <v>0.1</v>
      </c>
    </row>
    <row r="9" spans="1:6" ht="14.25" thickBot="1">
      <c r="A9" s="1538" t="s">
        <v>1224</v>
      </c>
      <c r="B9" s="1533" t="s">
        <v>1237</v>
      </c>
      <c r="C9" s="2119">
        <v>0.05</v>
      </c>
      <c r="D9" s="2127"/>
      <c r="E9" s="2127"/>
      <c r="F9" s="2128"/>
    </row>
    <row r="10" spans="1:6" ht="14.25" thickBot="1">
      <c r="A10" s="1528" t="s">
        <v>1281</v>
      </c>
      <c r="B10" s="1529" t="s">
        <v>2143</v>
      </c>
      <c r="C10" s="2115">
        <v>8.8999999999999996E-2</v>
      </c>
      <c r="D10" s="2115">
        <v>7.2999999999999995E-2</v>
      </c>
      <c r="E10" s="2115">
        <v>8.2000000000000003E-2</v>
      </c>
      <c r="F10" s="2116">
        <v>0.1</v>
      </c>
    </row>
    <row r="11" spans="1:6" ht="14.25" thickBot="1">
      <c r="A11" s="1528" t="s">
        <v>1281</v>
      </c>
      <c r="B11" s="1532" t="s">
        <v>1200</v>
      </c>
      <c r="C11" s="2117">
        <v>8.8999999999999996E-2</v>
      </c>
      <c r="D11" s="2117">
        <v>7.2999999999999995E-2</v>
      </c>
      <c r="E11" s="2117">
        <v>8.2000000000000003E-2</v>
      </c>
      <c r="F11" s="2118">
        <v>0.1</v>
      </c>
    </row>
    <row r="12" spans="1:6" ht="14.25" thickBot="1">
      <c r="A12" s="1528" t="s">
        <v>1281</v>
      </c>
      <c r="B12" s="1532" t="s">
        <v>1136</v>
      </c>
      <c r="C12" s="2117">
        <v>6.0999999999999999E-2</v>
      </c>
      <c r="D12" s="2117">
        <v>7.0999999999999994E-2</v>
      </c>
      <c r="E12" s="2117">
        <v>9.6000000000000002E-2</v>
      </c>
      <c r="F12" s="2118">
        <v>0.1</v>
      </c>
    </row>
    <row r="13" spans="1:6" ht="14.25" thickBot="1">
      <c r="A13" s="1528" t="s">
        <v>1281</v>
      </c>
      <c r="B13" s="1532" t="s">
        <v>1226</v>
      </c>
      <c r="C13" s="2117">
        <v>6.9000000000000006E-2</v>
      </c>
      <c r="D13" s="2117">
        <v>6.5000000000000002E-2</v>
      </c>
      <c r="E13" s="2117">
        <v>6.6000000000000003E-2</v>
      </c>
      <c r="F13" s="2118">
        <v>0.1</v>
      </c>
    </row>
    <row r="14" spans="1:6" ht="14.25" thickBot="1">
      <c r="A14" s="1528" t="s">
        <v>1281</v>
      </c>
      <c r="B14" s="1532" t="s">
        <v>1238</v>
      </c>
      <c r="C14" s="2117">
        <v>0.1</v>
      </c>
      <c r="D14" s="2117">
        <v>6.5000000000000002E-2</v>
      </c>
      <c r="E14" s="2117">
        <v>7.0000000000000007E-2</v>
      </c>
      <c r="F14" s="2118">
        <v>0.1</v>
      </c>
    </row>
    <row r="15" spans="1:6" ht="14.25" thickBot="1">
      <c r="A15" s="1528" t="s">
        <v>1281</v>
      </c>
      <c r="B15" s="1532" t="s">
        <v>1249</v>
      </c>
      <c r="C15" s="2117">
        <v>9.8000000000000004E-2</v>
      </c>
      <c r="D15" s="2117">
        <v>8.8999999999999996E-2</v>
      </c>
      <c r="E15" s="2117">
        <v>8.8999999999999996E-2</v>
      </c>
      <c r="F15" s="2118">
        <v>0.1</v>
      </c>
    </row>
    <row r="16" spans="1:6" ht="14.25" thickBot="1">
      <c r="A16" s="1528" t="s">
        <v>1281</v>
      </c>
      <c r="B16" s="1532" t="s">
        <v>1260</v>
      </c>
      <c r="C16" s="2117">
        <v>7.0000000000000007E-2</v>
      </c>
      <c r="D16" s="2117">
        <v>9.2999999999999999E-2</v>
      </c>
      <c r="E16" s="2117">
        <v>9.6000000000000002E-2</v>
      </c>
      <c r="F16" s="2118">
        <v>0.1</v>
      </c>
    </row>
    <row r="17" spans="1:6" ht="14.25" thickBot="1">
      <c r="A17" s="1528" t="s">
        <v>1281</v>
      </c>
      <c r="B17" s="1532" t="s">
        <v>1271</v>
      </c>
      <c r="C17" s="2117">
        <v>9.5000000000000001E-2</v>
      </c>
      <c r="D17" s="2117">
        <v>0.1</v>
      </c>
      <c r="E17" s="2117">
        <v>0.1</v>
      </c>
      <c r="F17" s="2129"/>
    </row>
    <row r="18" spans="1:6" ht="14.25" thickBot="1">
      <c r="A18" s="1528" t="s">
        <v>1281</v>
      </c>
      <c r="B18" s="1532" t="s">
        <v>1283</v>
      </c>
      <c r="C18" s="2117">
        <v>7.3999999999999996E-2</v>
      </c>
      <c r="D18" s="2117">
        <v>9.9000000000000005E-2</v>
      </c>
      <c r="E18" s="2117">
        <v>0.1</v>
      </c>
      <c r="F18" s="2129"/>
    </row>
    <row r="19" spans="1:6" ht="14.25" thickBot="1">
      <c r="A19" s="1528" t="s">
        <v>1281</v>
      </c>
      <c r="B19" s="1532" t="s">
        <v>1293</v>
      </c>
      <c r="C19" s="2117">
        <v>9.9000000000000005E-2</v>
      </c>
      <c r="D19" s="2117">
        <v>7.5999999999999998E-2</v>
      </c>
      <c r="E19" s="2117">
        <v>8.6999999999999994E-2</v>
      </c>
      <c r="F19" s="2129"/>
    </row>
    <row r="20" spans="1:6" ht="14.25" thickBot="1">
      <c r="A20" s="1528" t="s">
        <v>1281</v>
      </c>
      <c r="B20" s="1532" t="s">
        <v>1303</v>
      </c>
      <c r="C20" s="2117">
        <v>9.8000000000000004E-2</v>
      </c>
      <c r="D20" s="2117">
        <v>8.5000000000000006E-2</v>
      </c>
      <c r="E20" s="2117">
        <v>8.2000000000000003E-2</v>
      </c>
      <c r="F20" s="2129"/>
    </row>
    <row r="21" spans="1:6" ht="14.25" thickBot="1">
      <c r="A21" s="1528" t="s">
        <v>1281</v>
      </c>
      <c r="B21" s="1532" t="s">
        <v>1313</v>
      </c>
      <c r="C21" s="2117">
        <v>6.6000000000000003E-2</v>
      </c>
      <c r="D21" s="2117">
        <v>6.4000000000000001E-2</v>
      </c>
      <c r="E21" s="2117">
        <v>6.5000000000000002E-2</v>
      </c>
      <c r="F21" s="2129"/>
    </row>
    <row r="22" spans="1:6" ht="14.25" thickBot="1">
      <c r="A22" s="1528" t="s">
        <v>1281</v>
      </c>
      <c r="B22" s="1532" t="s">
        <v>2144</v>
      </c>
      <c r="C22" s="2117">
        <v>0.08</v>
      </c>
      <c r="D22" s="2117">
        <v>9.8000000000000004E-2</v>
      </c>
      <c r="E22" s="2117">
        <v>9.8000000000000004E-2</v>
      </c>
      <c r="F22" s="2129"/>
    </row>
    <row r="23" spans="1:6" ht="14.25" thickBot="1">
      <c r="A23" s="1528" t="s">
        <v>1281</v>
      </c>
      <c r="B23" s="1532" t="s">
        <v>1334</v>
      </c>
      <c r="C23" s="2117">
        <v>9.9000000000000005E-2</v>
      </c>
      <c r="D23" s="2117">
        <v>9.8000000000000004E-2</v>
      </c>
      <c r="E23" s="2117">
        <v>9.0999999999999998E-2</v>
      </c>
      <c r="F23" s="2129"/>
    </row>
    <row r="24" spans="1:6" ht="14.25" thickBot="1">
      <c r="A24" s="1528" t="s">
        <v>1281</v>
      </c>
      <c r="B24" s="1532" t="s">
        <v>1345</v>
      </c>
      <c r="C24" s="2117">
        <v>8.8999999999999996E-2</v>
      </c>
      <c r="D24" s="2117">
        <v>9.7000000000000003E-2</v>
      </c>
      <c r="E24" s="2117">
        <v>7.0000000000000007E-2</v>
      </c>
      <c r="F24" s="2129"/>
    </row>
    <row r="25" spans="1:6" ht="14.25" thickBot="1">
      <c r="A25" s="1528" t="s">
        <v>1281</v>
      </c>
      <c r="B25" s="1532" t="s">
        <v>1355</v>
      </c>
      <c r="C25" s="2117">
        <v>8.8999999999999996E-2</v>
      </c>
      <c r="D25" s="2117">
        <v>0.1</v>
      </c>
      <c r="E25" s="2117">
        <v>8.1000000000000003E-2</v>
      </c>
      <c r="F25" s="2129"/>
    </row>
    <row r="26" spans="1:6" ht="14.25" thickBot="1">
      <c r="A26" s="1528" t="s">
        <v>1281</v>
      </c>
      <c r="B26" s="1532" t="s">
        <v>1365</v>
      </c>
      <c r="C26" s="2130"/>
      <c r="D26" s="2117">
        <v>9.6000000000000002E-2</v>
      </c>
      <c r="E26" s="2117">
        <v>9.2999999999999999E-2</v>
      </c>
      <c r="F26" s="2129"/>
    </row>
    <row r="27" spans="1:6" ht="14.25" thickBot="1">
      <c r="A27" s="1528" t="s">
        <v>1281</v>
      </c>
      <c r="B27" s="1532" t="s">
        <v>1375</v>
      </c>
      <c r="C27" s="2130"/>
      <c r="D27" s="2117">
        <v>7.5999999999999998E-2</v>
      </c>
      <c r="E27" s="2117">
        <v>9.1999999999999998E-2</v>
      </c>
      <c r="F27" s="2129"/>
    </row>
    <row r="28" spans="1:6" ht="14.25" thickBot="1">
      <c r="A28" s="1538" t="s">
        <v>1281</v>
      </c>
      <c r="B28" s="1533" t="s">
        <v>1385</v>
      </c>
      <c r="C28" s="2127"/>
      <c r="D28" s="2119">
        <v>7.5999999999999998E-2</v>
      </c>
      <c r="E28" s="2119">
        <v>9.1999999999999998E-2</v>
      </c>
      <c r="F28" s="2128"/>
    </row>
    <row r="29" spans="1:6" ht="14.25" thickBot="1">
      <c r="A29" s="1528" t="s">
        <v>1454</v>
      </c>
      <c r="B29" s="1529" t="s">
        <v>2145</v>
      </c>
      <c r="C29" s="2115">
        <v>6.4000000000000001E-2</v>
      </c>
      <c r="D29" s="2115">
        <v>6.5000000000000002E-2</v>
      </c>
      <c r="E29" s="2115">
        <v>6.9000000000000006E-2</v>
      </c>
      <c r="F29" s="2116">
        <v>0.1</v>
      </c>
    </row>
    <row r="30" spans="1:6" ht="14.25" thickBot="1">
      <c r="A30" s="1528" t="s">
        <v>1454</v>
      </c>
      <c r="B30" s="1532" t="s">
        <v>1201</v>
      </c>
      <c r="C30" s="2117">
        <v>6.4000000000000001E-2</v>
      </c>
      <c r="D30" s="2117">
        <v>9.9000000000000005E-2</v>
      </c>
      <c r="E30" s="2117">
        <v>0.1</v>
      </c>
      <c r="F30" s="2118">
        <v>0.1</v>
      </c>
    </row>
    <row r="31" spans="1:6" ht="14.25" thickBot="1">
      <c r="A31" s="1528" t="s">
        <v>1454</v>
      </c>
      <c r="B31" s="1532" t="s">
        <v>1214</v>
      </c>
      <c r="C31" s="2117">
        <v>0.1</v>
      </c>
      <c r="D31" s="2117">
        <v>9.5000000000000001E-2</v>
      </c>
      <c r="E31" s="2117">
        <v>8.8999999999999996E-2</v>
      </c>
      <c r="F31" s="2118">
        <v>0.1</v>
      </c>
    </row>
    <row r="32" spans="1:6" ht="14.25" thickBot="1">
      <c r="A32" s="1528" t="s">
        <v>1454</v>
      </c>
      <c r="B32" s="1532" t="s">
        <v>1227</v>
      </c>
      <c r="C32" s="2117">
        <v>0.05</v>
      </c>
      <c r="D32" s="2117">
        <v>0.05</v>
      </c>
      <c r="E32" s="2117">
        <v>8.7999999999999995E-2</v>
      </c>
      <c r="F32" s="2118">
        <v>0.1</v>
      </c>
    </row>
    <row r="33" spans="1:6" ht="14.25" thickBot="1">
      <c r="A33" s="1528" t="s">
        <v>1454</v>
      </c>
      <c r="B33" s="1532" t="s">
        <v>1239</v>
      </c>
      <c r="C33" s="2117">
        <v>7.4999999999999997E-2</v>
      </c>
      <c r="D33" s="2117">
        <v>9.4E-2</v>
      </c>
      <c r="E33" s="2117">
        <v>9.7000000000000003E-2</v>
      </c>
      <c r="F33" s="2118">
        <v>0.1</v>
      </c>
    </row>
    <row r="34" spans="1:6" ht="14.25" thickBot="1">
      <c r="A34" s="1528" t="s">
        <v>1454</v>
      </c>
      <c r="B34" s="1532" t="s">
        <v>1250</v>
      </c>
      <c r="C34" s="2117">
        <v>9.8000000000000004E-2</v>
      </c>
      <c r="D34" s="2117">
        <v>8.5999999999999993E-2</v>
      </c>
      <c r="E34" s="2117">
        <v>9.7000000000000003E-2</v>
      </c>
      <c r="F34" s="2118">
        <v>0.1</v>
      </c>
    </row>
    <row r="35" spans="1:6" ht="14.25" thickBot="1">
      <c r="A35" s="1528" t="s">
        <v>1454</v>
      </c>
      <c r="B35" s="1532" t="s">
        <v>1261</v>
      </c>
      <c r="C35" s="2117">
        <v>5.8999999999999997E-2</v>
      </c>
      <c r="D35" s="2117">
        <v>6.5000000000000002E-2</v>
      </c>
      <c r="E35" s="2117">
        <v>7.0000000000000007E-2</v>
      </c>
      <c r="F35" s="2118">
        <v>0.1</v>
      </c>
    </row>
    <row r="36" spans="1:6" ht="14.25" thickBot="1">
      <c r="A36" s="1528" t="s">
        <v>1454</v>
      </c>
      <c r="B36" s="1532" t="s">
        <v>1272</v>
      </c>
      <c r="C36" s="2117">
        <v>6.3E-2</v>
      </c>
      <c r="D36" s="2117">
        <v>0.1</v>
      </c>
      <c r="E36" s="2117">
        <v>0.1</v>
      </c>
      <c r="F36" s="2118">
        <v>0.1</v>
      </c>
    </row>
    <row r="37" spans="1:6" ht="14.25" thickBot="1">
      <c r="A37" s="1528" t="s">
        <v>1454</v>
      </c>
      <c r="B37" s="1532" t="s">
        <v>1284</v>
      </c>
      <c r="C37" s="2117">
        <v>7.3999999999999996E-2</v>
      </c>
      <c r="D37" s="2117">
        <v>0.1</v>
      </c>
      <c r="E37" s="2117">
        <v>0.1</v>
      </c>
      <c r="F37" s="2118">
        <v>0.1</v>
      </c>
    </row>
    <row r="38" spans="1:6" ht="14.25" thickBot="1">
      <c r="A38" s="1528" t="s">
        <v>1454</v>
      </c>
      <c r="B38" s="1532" t="s">
        <v>1294</v>
      </c>
      <c r="C38" s="2117">
        <v>0.1</v>
      </c>
      <c r="D38" s="2117">
        <v>9.6000000000000002E-2</v>
      </c>
      <c r="E38" s="2117">
        <v>9.6000000000000002E-2</v>
      </c>
      <c r="F38" s="2129"/>
    </row>
    <row r="39" spans="1:6" ht="14.25" thickBot="1">
      <c r="A39" s="1528" t="s">
        <v>1454</v>
      </c>
      <c r="B39" s="1532" t="s">
        <v>1304</v>
      </c>
      <c r="C39" s="2117">
        <v>0.1</v>
      </c>
      <c r="D39" s="2117">
        <v>9.6000000000000002E-2</v>
      </c>
      <c r="E39" s="2117">
        <v>9.6000000000000002E-2</v>
      </c>
      <c r="F39" s="2129"/>
    </row>
    <row r="40" spans="1:6" ht="14.25" thickBot="1">
      <c r="A40" s="1528" t="s">
        <v>1454</v>
      </c>
      <c r="B40" s="1532" t="s">
        <v>1314</v>
      </c>
      <c r="C40" s="2117">
        <v>9.6000000000000002E-2</v>
      </c>
      <c r="D40" s="2117">
        <v>0.1</v>
      </c>
      <c r="E40" s="2117">
        <v>9.9000000000000005E-2</v>
      </c>
      <c r="F40" s="2129"/>
    </row>
    <row r="41" spans="1:6" ht="14.25" thickBot="1">
      <c r="A41" s="1528" t="s">
        <v>1454</v>
      </c>
      <c r="B41" s="1532" t="s">
        <v>1324</v>
      </c>
      <c r="C41" s="2117">
        <v>9.6000000000000002E-2</v>
      </c>
      <c r="D41" s="2117">
        <v>9.8000000000000004E-2</v>
      </c>
      <c r="E41" s="2117">
        <v>9.8000000000000004E-2</v>
      </c>
      <c r="F41" s="2129"/>
    </row>
    <row r="42" spans="1:6" ht="14.25" thickBot="1">
      <c r="A42" s="1528" t="s">
        <v>1454</v>
      </c>
      <c r="B42" s="1532" t="s">
        <v>1335</v>
      </c>
      <c r="C42" s="2117">
        <v>0.1</v>
      </c>
      <c r="D42" s="2117">
        <v>8.7999999999999995E-2</v>
      </c>
      <c r="E42" s="2117">
        <v>0.1</v>
      </c>
      <c r="F42" s="2129"/>
    </row>
    <row r="43" spans="1:6" ht="14.25" thickBot="1">
      <c r="A43" s="1528" t="s">
        <v>1454</v>
      </c>
      <c r="B43" s="1532" t="s">
        <v>1346</v>
      </c>
      <c r="C43" s="2117">
        <v>9.8000000000000004E-2</v>
      </c>
      <c r="D43" s="2117">
        <v>9.7000000000000003E-2</v>
      </c>
      <c r="E43" s="2117">
        <v>9.6000000000000002E-2</v>
      </c>
      <c r="F43" s="2129"/>
    </row>
    <row r="44" spans="1:6" ht="14.25" thickBot="1">
      <c r="A44" s="1528" t="s">
        <v>1454</v>
      </c>
      <c r="B44" s="1532" t="s">
        <v>1356</v>
      </c>
      <c r="C44" s="2117">
        <v>8.5999999999999993E-2</v>
      </c>
      <c r="D44" s="2117">
        <v>7.9000000000000001E-2</v>
      </c>
      <c r="E44" s="2117">
        <v>7.0999999999999994E-2</v>
      </c>
      <c r="F44" s="2129"/>
    </row>
    <row r="45" spans="1:6" ht="14.25" thickBot="1">
      <c r="A45" s="1528" t="s">
        <v>1454</v>
      </c>
      <c r="B45" s="1532" t="s">
        <v>1366</v>
      </c>
      <c r="C45" s="2117">
        <v>9.8000000000000004E-2</v>
      </c>
      <c r="D45" s="2117">
        <v>9.6000000000000002E-2</v>
      </c>
      <c r="E45" s="2117">
        <v>9.6000000000000002E-2</v>
      </c>
      <c r="F45" s="2129"/>
    </row>
    <row r="46" spans="1:6" ht="14.25" thickBot="1">
      <c r="A46" s="1528" t="s">
        <v>1454</v>
      </c>
      <c r="B46" s="1532" t="s">
        <v>1376</v>
      </c>
      <c r="C46" s="2117">
        <v>8.5999999999999993E-2</v>
      </c>
      <c r="D46" s="2117">
        <v>9.8000000000000004E-2</v>
      </c>
      <c r="E46" s="2117">
        <v>8.7999999999999995E-2</v>
      </c>
      <c r="F46" s="2129"/>
    </row>
    <row r="47" spans="1:6" ht="14.25" thickBot="1">
      <c r="A47" s="1528" t="s">
        <v>1454</v>
      </c>
      <c r="B47" s="1532" t="s">
        <v>1386</v>
      </c>
      <c r="C47" s="2117">
        <v>9.6000000000000002E-2</v>
      </c>
      <c r="D47" s="2130"/>
      <c r="E47" s="2117">
        <v>6.9000000000000006E-2</v>
      </c>
      <c r="F47" s="2129"/>
    </row>
    <row r="48" spans="1:6" ht="14.25" thickBot="1">
      <c r="A48" s="1538" t="s">
        <v>1454</v>
      </c>
      <c r="B48" s="1533" t="s">
        <v>1395</v>
      </c>
      <c r="C48" s="2119">
        <v>9.8000000000000004E-2</v>
      </c>
      <c r="D48" s="2127"/>
      <c r="E48" s="2119">
        <v>9.5000000000000001E-2</v>
      </c>
      <c r="F48" s="2128"/>
    </row>
    <row r="49" spans="1:6" ht="14.25" thickBot="1">
      <c r="A49" s="1528" t="s">
        <v>1135</v>
      </c>
      <c r="B49" s="1529" t="s">
        <v>2146</v>
      </c>
      <c r="C49" s="2115">
        <v>9.7000000000000003E-2</v>
      </c>
      <c r="D49" s="2115">
        <v>9.5000000000000001E-2</v>
      </c>
      <c r="E49" s="2115">
        <v>9.7000000000000003E-2</v>
      </c>
      <c r="F49" s="2116">
        <v>0.1</v>
      </c>
    </row>
    <row r="50" spans="1:6" ht="14.25" thickBot="1">
      <c r="A50" s="1528" t="s">
        <v>1135</v>
      </c>
      <c r="B50" s="1522" t="s">
        <v>1202</v>
      </c>
      <c r="C50" s="2117">
        <v>7.4999999999999997E-2</v>
      </c>
      <c r="D50" s="2117">
        <v>9.5000000000000001E-2</v>
      </c>
      <c r="E50" s="2117">
        <v>0.1</v>
      </c>
      <c r="F50" s="2118">
        <v>0.1</v>
      </c>
    </row>
    <row r="51" spans="1:6" ht="14.25" thickBot="1">
      <c r="A51" s="1528" t="s">
        <v>1135</v>
      </c>
      <c r="B51" s="1522" t="s">
        <v>1215</v>
      </c>
      <c r="C51" s="2117">
        <v>9.8000000000000004E-2</v>
      </c>
      <c r="D51" s="2117">
        <v>8.8999999999999996E-2</v>
      </c>
      <c r="E51" s="2117">
        <v>0.1</v>
      </c>
      <c r="F51" s="2118">
        <v>0.1</v>
      </c>
    </row>
    <row r="52" spans="1:6" ht="14.25" thickBot="1">
      <c r="A52" s="1528" t="s">
        <v>1135</v>
      </c>
      <c r="B52" s="1522" t="s">
        <v>1228</v>
      </c>
      <c r="C52" s="2117">
        <v>9.8000000000000004E-2</v>
      </c>
      <c r="D52" s="2117">
        <v>9.7000000000000003E-2</v>
      </c>
      <c r="E52" s="2117">
        <v>8.1000000000000003E-2</v>
      </c>
      <c r="F52" s="2118">
        <v>0.1</v>
      </c>
    </row>
    <row r="53" spans="1:6" ht="14.25" thickBot="1">
      <c r="A53" s="1528" t="s">
        <v>1135</v>
      </c>
      <c r="B53" s="1522" t="s">
        <v>1240</v>
      </c>
      <c r="C53" s="2117">
        <v>9.7000000000000003E-2</v>
      </c>
      <c r="D53" s="2117">
        <v>7.5999999999999998E-2</v>
      </c>
      <c r="E53" s="2117">
        <v>7.0999999999999994E-2</v>
      </c>
      <c r="F53" s="2118">
        <v>0.1</v>
      </c>
    </row>
    <row r="54" spans="1:6" ht="14.25" thickBot="1">
      <c r="A54" s="1528" t="s">
        <v>1135</v>
      </c>
      <c r="B54" s="1522" t="s">
        <v>1251</v>
      </c>
      <c r="C54" s="2117">
        <v>7.5999999999999998E-2</v>
      </c>
      <c r="D54" s="2117">
        <v>0.1</v>
      </c>
      <c r="E54" s="2117">
        <v>9.9000000000000005E-2</v>
      </c>
      <c r="F54" s="2118">
        <v>0.1</v>
      </c>
    </row>
    <row r="55" spans="1:6" ht="14.25" thickBot="1">
      <c r="A55" s="1528" t="s">
        <v>1135</v>
      </c>
      <c r="B55" s="1522" t="s">
        <v>1262</v>
      </c>
      <c r="C55" s="2117">
        <v>0.1</v>
      </c>
      <c r="D55" s="2117">
        <v>0.1</v>
      </c>
      <c r="E55" s="2117">
        <v>9.6000000000000002E-2</v>
      </c>
      <c r="F55" s="2118">
        <v>0.1</v>
      </c>
    </row>
    <row r="56" spans="1:6" ht="14.25" thickBot="1">
      <c r="A56" s="1528" t="s">
        <v>1135</v>
      </c>
      <c r="B56" s="1522" t="s">
        <v>1273</v>
      </c>
      <c r="C56" s="2117">
        <v>0.1</v>
      </c>
      <c r="D56" s="2117">
        <v>9.6000000000000002E-2</v>
      </c>
      <c r="E56" s="2117">
        <v>5.1999999999999998E-2</v>
      </c>
      <c r="F56" s="2118">
        <v>0.1</v>
      </c>
    </row>
    <row r="57" spans="1:6" ht="14.25" thickBot="1">
      <c r="A57" s="1528" t="s">
        <v>1135</v>
      </c>
      <c r="B57" s="1522" t="s">
        <v>1285</v>
      </c>
      <c r="C57" s="2117">
        <v>9.7000000000000003E-2</v>
      </c>
      <c r="D57" s="2117">
        <v>9.6000000000000002E-2</v>
      </c>
      <c r="E57" s="2117">
        <v>9.6000000000000002E-2</v>
      </c>
      <c r="F57" s="2118">
        <v>0.1</v>
      </c>
    </row>
    <row r="58" spans="1:6" ht="14.25" thickBot="1">
      <c r="A58" s="1528" t="s">
        <v>1135</v>
      </c>
      <c r="B58" s="1522" t="s">
        <v>1295</v>
      </c>
      <c r="C58" s="2117">
        <v>9.6000000000000002E-2</v>
      </c>
      <c r="D58" s="2117">
        <v>9.9000000000000005E-2</v>
      </c>
      <c r="E58" s="2117">
        <v>9.6000000000000002E-2</v>
      </c>
      <c r="F58" s="2118">
        <v>0.1</v>
      </c>
    </row>
    <row r="59" spans="1:6" ht="14.25" thickBot="1">
      <c r="A59" s="1528" t="s">
        <v>1135</v>
      </c>
      <c r="B59" s="1522" t="s">
        <v>1305</v>
      </c>
      <c r="C59" s="2117">
        <v>7.1999999999999995E-2</v>
      </c>
      <c r="D59" s="2117">
        <v>9.6000000000000002E-2</v>
      </c>
      <c r="E59" s="2117">
        <v>7.0999999999999994E-2</v>
      </c>
      <c r="F59" s="2118">
        <v>0.1</v>
      </c>
    </row>
    <row r="60" spans="1:6" ht="14.25" thickBot="1">
      <c r="A60" s="1528" t="s">
        <v>1135</v>
      </c>
      <c r="B60" s="1522" t="s">
        <v>1315</v>
      </c>
      <c r="C60" s="2117">
        <v>9.6000000000000002E-2</v>
      </c>
      <c r="D60" s="2117">
        <v>8.8999999999999996E-2</v>
      </c>
      <c r="E60" s="2117">
        <v>9.6000000000000002E-2</v>
      </c>
      <c r="F60" s="2118">
        <v>0.1</v>
      </c>
    </row>
    <row r="61" spans="1:6" ht="14.25" thickBot="1">
      <c r="A61" s="1528" t="s">
        <v>1135</v>
      </c>
      <c r="B61" s="1522" t="s">
        <v>1325</v>
      </c>
      <c r="C61" s="2117">
        <v>8.8999999999999996E-2</v>
      </c>
      <c r="D61" s="2117">
        <v>9.8000000000000004E-2</v>
      </c>
      <c r="E61" s="2117">
        <v>8.7999999999999995E-2</v>
      </c>
      <c r="F61" s="2129"/>
    </row>
    <row r="62" spans="1:6" ht="14.25" thickBot="1">
      <c r="A62" s="1528" t="s">
        <v>1135</v>
      </c>
      <c r="B62" s="1522" t="s">
        <v>1336</v>
      </c>
      <c r="C62" s="2117">
        <v>9.8000000000000004E-2</v>
      </c>
      <c r="D62" s="2117">
        <v>9.2999999999999999E-2</v>
      </c>
      <c r="E62" s="2117">
        <v>9.7000000000000003E-2</v>
      </c>
      <c r="F62" s="2129"/>
    </row>
    <row r="63" spans="1:6" ht="14.25" thickBot="1">
      <c r="A63" s="1528" t="s">
        <v>1135</v>
      </c>
      <c r="B63" s="1522" t="s">
        <v>1347</v>
      </c>
      <c r="C63" s="2117">
        <v>9.6000000000000002E-2</v>
      </c>
      <c r="D63" s="2117">
        <v>9.8000000000000004E-2</v>
      </c>
      <c r="E63" s="2117">
        <v>0.09</v>
      </c>
      <c r="F63" s="2129"/>
    </row>
    <row r="64" spans="1:6" ht="14.25" thickBot="1">
      <c r="A64" s="1528" t="s">
        <v>1135</v>
      </c>
      <c r="B64" s="1522" t="s">
        <v>1357</v>
      </c>
      <c r="C64" s="2117">
        <v>9.9000000000000005E-2</v>
      </c>
      <c r="D64" s="2117">
        <v>9.7000000000000003E-2</v>
      </c>
      <c r="E64" s="2117">
        <v>9.9000000000000005E-2</v>
      </c>
      <c r="F64" s="2129"/>
    </row>
    <row r="65" spans="1:6" ht="14.25" thickBot="1">
      <c r="A65" s="1528" t="s">
        <v>1135</v>
      </c>
      <c r="B65" s="1522" t="s">
        <v>1367</v>
      </c>
      <c r="C65" s="2117">
        <v>9.8000000000000004E-2</v>
      </c>
      <c r="D65" s="2117">
        <v>9.6000000000000002E-2</v>
      </c>
      <c r="E65" s="2117">
        <v>9.6000000000000002E-2</v>
      </c>
      <c r="F65" s="2129"/>
    </row>
    <row r="66" spans="1:6" ht="14.25" thickBot="1">
      <c r="A66" s="1528" t="s">
        <v>1135</v>
      </c>
      <c r="B66" s="1522" t="s">
        <v>1377</v>
      </c>
      <c r="C66" s="2117">
        <v>9.6000000000000002E-2</v>
      </c>
      <c r="D66" s="2117">
        <v>9.1999999999999998E-2</v>
      </c>
      <c r="E66" s="2117">
        <v>9.6000000000000002E-2</v>
      </c>
      <c r="F66" s="2129"/>
    </row>
    <row r="67" spans="1:6" ht="14.25" thickBot="1">
      <c r="A67" s="1528" t="s">
        <v>1135</v>
      </c>
      <c r="B67" s="1522" t="s">
        <v>1387</v>
      </c>
      <c r="C67" s="2117">
        <v>9.4E-2</v>
      </c>
      <c r="D67" s="2117">
        <v>0.1</v>
      </c>
      <c r="E67" s="2117">
        <v>8.7999999999999995E-2</v>
      </c>
      <c r="F67" s="2129"/>
    </row>
    <row r="68" spans="1:6" ht="14.25" thickBot="1">
      <c r="A68" s="1528" t="s">
        <v>1135</v>
      </c>
      <c r="B68" s="1522" t="s">
        <v>1396</v>
      </c>
      <c r="C68" s="2117">
        <v>0.1</v>
      </c>
      <c r="D68" s="2117">
        <v>8.7999999999999995E-2</v>
      </c>
      <c r="E68" s="2117">
        <v>9.7000000000000003E-2</v>
      </c>
      <c r="F68" s="2129"/>
    </row>
    <row r="69" spans="1:6" ht="14.25" thickBot="1">
      <c r="A69" s="1528" t="s">
        <v>1135</v>
      </c>
      <c r="B69" s="1522" t="s">
        <v>1405</v>
      </c>
      <c r="C69" s="2117">
        <v>6.4000000000000001E-2</v>
      </c>
      <c r="D69" s="2117">
        <v>0.1</v>
      </c>
      <c r="E69" s="2117">
        <v>0.1</v>
      </c>
      <c r="F69" s="2129"/>
    </row>
    <row r="70" spans="1:6" ht="14.25" thickBot="1">
      <c r="A70" s="1528" t="s">
        <v>1135</v>
      </c>
      <c r="B70" s="1522" t="s">
        <v>1413</v>
      </c>
      <c r="C70" s="2117">
        <v>9.0999999999999998E-2</v>
      </c>
      <c r="D70" s="2130"/>
      <c r="E70" s="2130"/>
      <c r="F70" s="2129"/>
    </row>
    <row r="71" spans="1:6" ht="14.25" thickBot="1">
      <c r="A71" s="1528" t="s">
        <v>1135</v>
      </c>
      <c r="B71" s="1522" t="s">
        <v>1420</v>
      </c>
      <c r="C71" s="2117">
        <v>0.1</v>
      </c>
      <c r="D71" s="2130"/>
      <c r="E71" s="2130"/>
      <c r="F71" s="2129"/>
    </row>
    <row r="72" spans="1:6" ht="14.25" thickBot="1">
      <c r="A72" s="1528" t="s">
        <v>1135</v>
      </c>
      <c r="B72" s="1522" t="s">
        <v>2147</v>
      </c>
      <c r="C72" s="2130"/>
      <c r="D72" s="2130"/>
      <c r="E72" s="2130"/>
      <c r="F72" s="2118">
        <v>0.05</v>
      </c>
    </row>
    <row r="73" spans="1:6" ht="14.25" thickBot="1">
      <c r="A73" s="1528" t="s">
        <v>1135</v>
      </c>
      <c r="B73" s="1522" t="s">
        <v>2148</v>
      </c>
      <c r="C73" s="2130"/>
      <c r="D73" s="2130"/>
      <c r="E73" s="2130"/>
      <c r="F73" s="2118">
        <v>0.05</v>
      </c>
    </row>
    <row r="74" spans="1:6" ht="14.25" thickBot="1">
      <c r="A74" s="1528" t="s">
        <v>1135</v>
      </c>
      <c r="B74" s="1522" t="s">
        <v>2149</v>
      </c>
      <c r="C74" s="2130"/>
      <c r="D74" s="2130"/>
      <c r="E74" s="2130"/>
      <c r="F74" s="2118">
        <v>0.05</v>
      </c>
    </row>
    <row r="75" spans="1:6" ht="14.25" thickBot="1">
      <c r="A75" s="1538" t="s">
        <v>1135</v>
      </c>
      <c r="B75" s="1534" t="s">
        <v>2150</v>
      </c>
      <c r="C75" s="2127"/>
      <c r="D75" s="2127"/>
      <c r="E75" s="2127"/>
      <c r="F75" s="2120">
        <v>0.05</v>
      </c>
    </row>
    <row r="76" spans="1:6" ht="14.25" thickBot="1">
      <c r="A76" s="1528" t="s">
        <v>1535</v>
      </c>
      <c r="B76" s="1529" t="s">
        <v>2151</v>
      </c>
      <c r="C76" s="2115">
        <v>0.1</v>
      </c>
      <c r="D76" s="2115">
        <v>0.1</v>
      </c>
      <c r="E76" s="2115">
        <v>0.1</v>
      </c>
      <c r="F76" s="2116">
        <v>0.1</v>
      </c>
    </row>
    <row r="77" spans="1:6" ht="14.25" thickBot="1">
      <c r="A77" s="1528" t="s">
        <v>1535</v>
      </c>
      <c r="B77" s="1522" t="s">
        <v>1203</v>
      </c>
      <c r="C77" s="2117">
        <v>8.7999999999999995E-2</v>
      </c>
      <c r="D77" s="2117">
        <v>8.6999999999999994E-2</v>
      </c>
      <c r="E77" s="2117">
        <v>7.9000000000000001E-2</v>
      </c>
      <c r="F77" s="2118">
        <v>0.1</v>
      </c>
    </row>
    <row r="78" spans="1:6" ht="14.25" thickBot="1">
      <c r="A78" s="1528" t="s">
        <v>1535</v>
      </c>
      <c r="B78" s="1522" t="s">
        <v>1216</v>
      </c>
      <c r="C78" s="2117">
        <v>8.6999999999999994E-2</v>
      </c>
      <c r="D78" s="2117">
        <v>8.4000000000000005E-2</v>
      </c>
      <c r="E78" s="2117">
        <v>9.6000000000000002E-2</v>
      </c>
      <c r="F78" s="2118">
        <v>0.1</v>
      </c>
    </row>
    <row r="79" spans="1:6" ht="14.25" thickBot="1">
      <c r="A79" s="1528" t="s">
        <v>1535</v>
      </c>
      <c r="B79" s="1522" t="s">
        <v>1229</v>
      </c>
      <c r="C79" s="2117">
        <v>9.8000000000000004E-2</v>
      </c>
      <c r="D79" s="2117">
        <v>9.8000000000000004E-2</v>
      </c>
      <c r="E79" s="2117">
        <v>9.0999999999999998E-2</v>
      </c>
      <c r="F79" s="2118">
        <v>0.1</v>
      </c>
    </row>
    <row r="80" spans="1:6" ht="14.25" thickBot="1">
      <c r="A80" s="1528" t="s">
        <v>1535</v>
      </c>
      <c r="B80" s="1522" t="s">
        <v>1241</v>
      </c>
      <c r="C80" s="2117">
        <v>9.6000000000000002E-2</v>
      </c>
      <c r="D80" s="2117">
        <v>9.6000000000000002E-2</v>
      </c>
      <c r="E80" s="2117">
        <v>0.1</v>
      </c>
      <c r="F80" s="2118">
        <v>0.1</v>
      </c>
    </row>
    <row r="81" spans="1:6" ht="14.25" thickBot="1">
      <c r="A81" s="1528" t="s">
        <v>1535</v>
      </c>
      <c r="B81" s="1522" t="s">
        <v>1252</v>
      </c>
      <c r="C81" s="2117">
        <v>9.9000000000000005E-2</v>
      </c>
      <c r="D81" s="2117">
        <v>9.9000000000000005E-2</v>
      </c>
      <c r="E81" s="2117">
        <v>9.8000000000000004E-2</v>
      </c>
      <c r="F81" s="2118">
        <v>0.1</v>
      </c>
    </row>
    <row r="82" spans="1:6" ht="14.25" thickBot="1">
      <c r="A82" s="1528" t="s">
        <v>1535</v>
      </c>
      <c r="B82" s="1522" t="s">
        <v>1263</v>
      </c>
      <c r="C82" s="2117">
        <v>9.9000000000000005E-2</v>
      </c>
      <c r="D82" s="2117">
        <v>9.9000000000000005E-2</v>
      </c>
      <c r="E82" s="2117">
        <v>9.7000000000000003E-2</v>
      </c>
      <c r="F82" s="2118">
        <v>0.1</v>
      </c>
    </row>
    <row r="83" spans="1:6" ht="14.25" thickBot="1">
      <c r="A83" s="1528" t="s">
        <v>1535</v>
      </c>
      <c r="B83" s="1522" t="s">
        <v>1274</v>
      </c>
      <c r="C83" s="2117">
        <v>9.8000000000000004E-2</v>
      </c>
      <c r="D83" s="2117">
        <v>9.8000000000000004E-2</v>
      </c>
      <c r="E83" s="2117">
        <v>9.8000000000000004E-2</v>
      </c>
      <c r="F83" s="2118">
        <v>0.1</v>
      </c>
    </row>
    <row r="84" spans="1:6" ht="14.25" thickBot="1">
      <c r="A84" s="1528" t="s">
        <v>1535</v>
      </c>
      <c r="B84" s="1522" t="s">
        <v>1286</v>
      </c>
      <c r="C84" s="2117">
        <v>9.9000000000000005E-2</v>
      </c>
      <c r="D84" s="2117">
        <v>9.9000000000000005E-2</v>
      </c>
      <c r="E84" s="2117">
        <v>9.9000000000000005E-2</v>
      </c>
      <c r="F84" s="2118">
        <v>0.1</v>
      </c>
    </row>
    <row r="85" spans="1:6" ht="14.25" thickBot="1">
      <c r="A85" s="1528" t="s">
        <v>1535</v>
      </c>
      <c r="B85" s="1522" t="s">
        <v>1296</v>
      </c>
      <c r="C85" s="2117">
        <v>9.9000000000000005E-2</v>
      </c>
      <c r="D85" s="2117">
        <v>9.9000000000000005E-2</v>
      </c>
      <c r="E85" s="2117">
        <v>9.9000000000000005E-2</v>
      </c>
      <c r="F85" s="2118">
        <v>0.1</v>
      </c>
    </row>
    <row r="86" spans="1:6" ht="14.25" thickBot="1">
      <c r="A86" s="1528" t="s">
        <v>1535</v>
      </c>
      <c r="B86" s="1522" t="s">
        <v>1306</v>
      </c>
      <c r="C86" s="2117">
        <v>0.1</v>
      </c>
      <c r="D86" s="2117">
        <v>0.1</v>
      </c>
      <c r="E86" s="2117">
        <v>7.6999999999999999E-2</v>
      </c>
      <c r="F86" s="2118">
        <v>0.1</v>
      </c>
    </row>
    <row r="87" spans="1:6" ht="14.25" thickBot="1">
      <c r="A87" s="1528" t="s">
        <v>1535</v>
      </c>
      <c r="B87" s="1522" t="s">
        <v>1316</v>
      </c>
      <c r="C87" s="2117">
        <v>0.1</v>
      </c>
      <c r="D87" s="2117">
        <v>0.1</v>
      </c>
      <c r="E87" s="2117">
        <v>9.8000000000000004E-2</v>
      </c>
      <c r="F87" s="2129"/>
    </row>
    <row r="88" spans="1:6" ht="14.25" thickBot="1">
      <c r="A88" s="1528" t="s">
        <v>1535</v>
      </c>
      <c r="B88" s="1522" t="s">
        <v>1326</v>
      </c>
      <c r="C88" s="2117">
        <v>9.1999999999999998E-2</v>
      </c>
      <c r="D88" s="2117">
        <v>8.5000000000000006E-2</v>
      </c>
      <c r="E88" s="2117">
        <v>9.6000000000000002E-2</v>
      </c>
      <c r="F88" s="2129"/>
    </row>
    <row r="89" spans="1:6" ht="14.25" thickBot="1">
      <c r="A89" s="1528" t="s">
        <v>1535</v>
      </c>
      <c r="B89" s="1522" t="s">
        <v>1337</v>
      </c>
      <c r="C89" s="2117">
        <v>0.1</v>
      </c>
      <c r="D89" s="2117">
        <v>0.1</v>
      </c>
      <c r="E89" s="2117">
        <v>9.7000000000000003E-2</v>
      </c>
      <c r="F89" s="2129"/>
    </row>
    <row r="90" spans="1:6" ht="14.25" thickBot="1">
      <c r="A90" s="1528" t="s">
        <v>1535</v>
      </c>
      <c r="B90" s="1522" t="s">
        <v>1348</v>
      </c>
      <c r="C90" s="2117">
        <v>9.8000000000000004E-2</v>
      </c>
      <c r="D90" s="2117">
        <v>9.8000000000000004E-2</v>
      </c>
      <c r="E90" s="2117">
        <v>8.7999999999999995E-2</v>
      </c>
      <c r="F90" s="2129"/>
    </row>
    <row r="91" spans="1:6" ht="14.25" thickBot="1">
      <c r="A91" s="1528" t="s">
        <v>1535</v>
      </c>
      <c r="B91" s="1522" t="s">
        <v>1358</v>
      </c>
      <c r="C91" s="2117">
        <v>9.9000000000000005E-2</v>
      </c>
      <c r="D91" s="2117">
        <v>9.9000000000000005E-2</v>
      </c>
      <c r="E91" s="2117">
        <v>9.0999999999999998E-2</v>
      </c>
      <c r="F91" s="2129"/>
    </row>
    <row r="92" spans="1:6" ht="14.25" thickBot="1">
      <c r="A92" s="1528" t="s">
        <v>1535</v>
      </c>
      <c r="B92" s="1522" t="s">
        <v>1368</v>
      </c>
      <c r="C92" s="2117">
        <v>9.6000000000000002E-2</v>
      </c>
      <c r="D92" s="2117">
        <v>9.6000000000000002E-2</v>
      </c>
      <c r="E92" s="2117">
        <v>7.2999999999999995E-2</v>
      </c>
      <c r="F92" s="2129"/>
    </row>
    <row r="93" spans="1:6" ht="14.25" thickBot="1">
      <c r="A93" s="1528" t="s">
        <v>1535</v>
      </c>
      <c r="B93" s="1522" t="s">
        <v>1378</v>
      </c>
      <c r="C93" s="2117">
        <v>9.6000000000000002E-2</v>
      </c>
      <c r="D93" s="2117">
        <v>9.6000000000000002E-2</v>
      </c>
      <c r="E93" s="2117">
        <v>9.9000000000000005E-2</v>
      </c>
      <c r="F93" s="2129"/>
    </row>
    <row r="94" spans="1:6" ht="14.25" thickBot="1">
      <c r="A94" s="1528" t="s">
        <v>1535</v>
      </c>
      <c r="B94" s="1522" t="s">
        <v>1388</v>
      </c>
      <c r="C94" s="2117">
        <v>7.5999999999999998E-2</v>
      </c>
      <c r="D94" s="2117">
        <v>7.3999999999999996E-2</v>
      </c>
      <c r="E94" s="2117">
        <v>9.7000000000000003E-2</v>
      </c>
      <c r="F94" s="2129"/>
    </row>
    <row r="95" spans="1:6" ht="14.25" thickBot="1">
      <c r="A95" s="1528" t="s">
        <v>1535</v>
      </c>
      <c r="B95" s="1522" t="s">
        <v>1397</v>
      </c>
      <c r="C95" s="2117">
        <v>9.9000000000000005E-2</v>
      </c>
      <c r="D95" s="2117">
        <v>9.4E-2</v>
      </c>
      <c r="E95" s="2117">
        <v>9.6000000000000002E-2</v>
      </c>
      <c r="F95" s="2129"/>
    </row>
    <row r="96" spans="1:6" ht="14.25" thickBot="1">
      <c r="A96" s="1528" t="s">
        <v>1535</v>
      </c>
      <c r="B96" s="1522" t="s">
        <v>1406</v>
      </c>
      <c r="C96" s="2117">
        <v>9.9000000000000005E-2</v>
      </c>
      <c r="D96" s="2117">
        <v>9.9000000000000005E-2</v>
      </c>
      <c r="E96" s="2117">
        <v>9.9000000000000005E-2</v>
      </c>
      <c r="F96" s="2129"/>
    </row>
    <row r="97" spans="1:6" ht="14.25" thickBot="1">
      <c r="A97" s="1528" t="s">
        <v>1535</v>
      </c>
      <c r="B97" s="1522" t="s">
        <v>1414</v>
      </c>
      <c r="C97" s="2117">
        <v>9.8000000000000004E-2</v>
      </c>
      <c r="D97" s="2117">
        <v>9.8000000000000004E-2</v>
      </c>
      <c r="E97" s="2117">
        <v>9.7000000000000003E-2</v>
      </c>
      <c r="F97" s="2129"/>
    </row>
    <row r="98" spans="1:6" ht="14.25" thickBot="1">
      <c r="A98" s="1528" t="s">
        <v>1535</v>
      </c>
      <c r="B98" s="1522" t="s">
        <v>1421</v>
      </c>
      <c r="C98" s="2117">
        <v>0.1</v>
      </c>
      <c r="D98" s="2117">
        <v>0.1</v>
      </c>
      <c r="E98" s="2117">
        <v>9.7000000000000003E-2</v>
      </c>
      <c r="F98" s="2129"/>
    </row>
    <row r="99" spans="1:6" ht="14.25" thickBot="1">
      <c r="A99" s="1528" t="s">
        <v>1535</v>
      </c>
      <c r="B99" s="1522" t="s">
        <v>1428</v>
      </c>
      <c r="C99" s="2117">
        <v>0.1</v>
      </c>
      <c r="D99" s="2117">
        <v>0.1</v>
      </c>
      <c r="E99" s="2130"/>
      <c r="F99" s="2129"/>
    </row>
    <row r="100" spans="1:6" ht="14.25" thickBot="1">
      <c r="A100" s="1528" t="s">
        <v>1535</v>
      </c>
      <c r="B100" s="1522" t="s">
        <v>1435</v>
      </c>
      <c r="C100" s="2117">
        <v>0.09</v>
      </c>
      <c r="D100" s="2117">
        <v>8.8999999999999996E-2</v>
      </c>
      <c r="E100" s="2130"/>
      <c r="F100" s="2129"/>
    </row>
    <row r="101" spans="1:6" ht="14.25" thickBot="1">
      <c r="A101" s="1528" t="s">
        <v>1535</v>
      </c>
      <c r="B101" s="1522" t="s">
        <v>1442</v>
      </c>
      <c r="C101" s="2117">
        <v>9.8000000000000004E-2</v>
      </c>
      <c r="D101" s="2117">
        <v>9.7000000000000003E-2</v>
      </c>
      <c r="E101" s="2130"/>
      <c r="F101" s="2129"/>
    </row>
    <row r="102" spans="1:6" ht="14.25" thickBot="1">
      <c r="A102" s="1528" t="s">
        <v>1535</v>
      </c>
      <c r="B102" s="1522" t="s">
        <v>2152</v>
      </c>
      <c r="C102" s="2130"/>
      <c r="D102" s="2130"/>
      <c r="E102" s="2130"/>
      <c r="F102" s="2118">
        <v>0.05</v>
      </c>
    </row>
    <row r="103" spans="1:6" ht="24.75" thickBot="1">
      <c r="A103" s="1528" t="s">
        <v>1535</v>
      </c>
      <c r="B103" s="1522" t="s">
        <v>2153</v>
      </c>
      <c r="C103" s="2130"/>
      <c r="D103" s="2130"/>
      <c r="E103" s="2130"/>
      <c r="F103" s="2118">
        <v>0.05</v>
      </c>
    </row>
    <row r="104" spans="1:6" ht="14.25" thickBot="1">
      <c r="A104" s="1528" t="s">
        <v>1535</v>
      </c>
      <c r="B104" s="1522" t="s">
        <v>2154</v>
      </c>
      <c r="C104" s="2130"/>
      <c r="D104" s="2130"/>
      <c r="E104" s="2130"/>
      <c r="F104" s="2118">
        <v>0.05</v>
      </c>
    </row>
    <row r="105" spans="1:6" ht="14.25" thickBot="1">
      <c r="A105" s="1528" t="s">
        <v>1535</v>
      </c>
      <c r="B105" s="1522" t="s">
        <v>2155</v>
      </c>
      <c r="C105" s="2130"/>
      <c r="D105" s="2130"/>
      <c r="E105" s="2130"/>
      <c r="F105" s="2118">
        <v>0.05</v>
      </c>
    </row>
    <row r="106" spans="1:6" ht="14.25" thickBot="1">
      <c r="A106" s="1528" t="s">
        <v>1535</v>
      </c>
      <c r="B106" s="1522" t="s">
        <v>2156</v>
      </c>
      <c r="C106" s="2130"/>
      <c r="D106" s="2130"/>
      <c r="E106" s="2130"/>
      <c r="F106" s="2118">
        <v>0.05</v>
      </c>
    </row>
    <row r="107" spans="1:6" ht="24.75" thickBot="1">
      <c r="A107" s="1528" t="s">
        <v>1535</v>
      </c>
      <c r="B107" s="1522" t="s">
        <v>2157</v>
      </c>
      <c r="C107" s="2130"/>
      <c r="D107" s="2130"/>
      <c r="E107" s="2130"/>
      <c r="F107" s="2118">
        <v>0.05</v>
      </c>
    </row>
    <row r="108" spans="1:6" ht="24.75" thickBot="1">
      <c r="A108" s="1528" t="s">
        <v>1535</v>
      </c>
      <c r="B108" s="1522" t="s">
        <v>2158</v>
      </c>
      <c r="C108" s="2130"/>
      <c r="D108" s="2130"/>
      <c r="E108" s="2130"/>
      <c r="F108" s="2118">
        <v>0.05</v>
      </c>
    </row>
    <row r="109" spans="1:6" ht="24.75" thickBot="1">
      <c r="A109" s="1538" t="s">
        <v>1535</v>
      </c>
      <c r="B109" s="1534" t="s">
        <v>2159</v>
      </c>
      <c r="C109" s="2127"/>
      <c r="D109" s="2127"/>
      <c r="E109" s="2127"/>
      <c r="F109" s="2120">
        <v>0.05</v>
      </c>
    </row>
    <row r="110" spans="1:6" ht="14.25" thickBot="1">
      <c r="A110" s="1528" t="s">
        <v>203</v>
      </c>
      <c r="B110" s="1529" t="s">
        <v>2160</v>
      </c>
      <c r="C110" s="2115">
        <v>0.129</v>
      </c>
      <c r="D110" s="2115">
        <v>0.129</v>
      </c>
      <c r="E110" s="2115">
        <v>0.126</v>
      </c>
      <c r="F110" s="2116">
        <v>0.13</v>
      </c>
    </row>
    <row r="111" spans="1:6" ht="14.25" thickBot="1">
      <c r="A111" s="1528" t="s">
        <v>203</v>
      </c>
      <c r="B111" s="1522" t="s">
        <v>1204</v>
      </c>
      <c r="C111" s="2117">
        <v>0.11</v>
      </c>
      <c r="D111" s="2117">
        <v>0.11</v>
      </c>
      <c r="E111" s="2117">
        <v>9.9000000000000005E-2</v>
      </c>
      <c r="F111" s="2118">
        <v>0.128</v>
      </c>
    </row>
    <row r="112" spans="1:6" ht="14.25" thickBot="1">
      <c r="A112" s="1528" t="s">
        <v>203</v>
      </c>
      <c r="B112" s="1522" t="s">
        <v>1217</v>
      </c>
      <c r="C112" s="2117">
        <v>0.125</v>
      </c>
      <c r="D112" s="2117">
        <v>0.125</v>
      </c>
      <c r="E112" s="2117">
        <v>0.12</v>
      </c>
      <c r="F112" s="2118">
        <v>0.125</v>
      </c>
    </row>
    <row r="113" spans="1:6" ht="14.25" thickBot="1">
      <c r="A113" s="1528" t="s">
        <v>203</v>
      </c>
      <c r="B113" s="1522" t="s">
        <v>1230</v>
      </c>
      <c r="C113" s="2117">
        <v>0.13</v>
      </c>
      <c r="D113" s="2117">
        <v>0.13</v>
      </c>
      <c r="E113" s="2117">
        <v>0.13</v>
      </c>
      <c r="F113" s="2118">
        <v>0.13</v>
      </c>
    </row>
    <row r="114" spans="1:6" ht="14.25" thickBot="1">
      <c r="A114" s="1528" t="s">
        <v>203</v>
      </c>
      <c r="B114" s="1522" t="s">
        <v>1242</v>
      </c>
      <c r="C114" s="2117">
        <v>0.123</v>
      </c>
      <c r="D114" s="2117">
        <v>0.123</v>
      </c>
      <c r="E114" s="2117">
        <v>0.12</v>
      </c>
      <c r="F114" s="2118">
        <v>0.13</v>
      </c>
    </row>
    <row r="115" spans="1:6" ht="14.25" thickBot="1">
      <c r="A115" s="1528" t="s">
        <v>203</v>
      </c>
      <c r="B115" s="1522" t="s">
        <v>1253</v>
      </c>
      <c r="C115" s="2117">
        <v>0.125</v>
      </c>
      <c r="D115" s="2117">
        <v>0.125</v>
      </c>
      <c r="E115" s="2117">
        <v>0.11700000000000001</v>
      </c>
      <c r="F115" s="2118">
        <v>0.13</v>
      </c>
    </row>
    <row r="116" spans="1:6" ht="14.25" thickBot="1">
      <c r="A116" s="1528" t="s">
        <v>203</v>
      </c>
      <c r="B116" s="1522" t="s">
        <v>1264</v>
      </c>
      <c r="C116" s="2117">
        <v>0.11700000000000001</v>
      </c>
      <c r="D116" s="2117">
        <v>0.11700000000000001</v>
      </c>
      <c r="E116" s="2117">
        <v>8.7999999999999995E-2</v>
      </c>
      <c r="F116" s="2118">
        <v>0.13</v>
      </c>
    </row>
    <row r="117" spans="1:6" ht="14.25" thickBot="1">
      <c r="A117" s="1528" t="s">
        <v>203</v>
      </c>
      <c r="B117" s="1522" t="s">
        <v>1275</v>
      </c>
      <c r="C117" s="2117">
        <v>0.13</v>
      </c>
      <c r="D117" s="2117">
        <v>0.13</v>
      </c>
      <c r="E117" s="2117">
        <v>0.129</v>
      </c>
      <c r="F117" s="2118">
        <v>0.13</v>
      </c>
    </row>
    <row r="118" spans="1:6" ht="14.25" thickBot="1">
      <c r="A118" s="1528" t="s">
        <v>203</v>
      </c>
      <c r="B118" s="1522" t="s">
        <v>1287</v>
      </c>
      <c r="C118" s="2117">
        <v>0.123</v>
      </c>
      <c r="D118" s="2117">
        <v>0.123</v>
      </c>
      <c r="E118" s="2117">
        <v>0.11600000000000001</v>
      </c>
      <c r="F118" s="2118">
        <v>0.13</v>
      </c>
    </row>
    <row r="119" spans="1:6" ht="14.25" thickBot="1">
      <c r="A119" s="1528" t="s">
        <v>203</v>
      </c>
      <c r="B119" s="1522" t="s">
        <v>1297</v>
      </c>
      <c r="C119" s="2117">
        <v>0.127</v>
      </c>
      <c r="D119" s="2117">
        <v>0.127</v>
      </c>
      <c r="E119" s="2117">
        <v>0.124</v>
      </c>
      <c r="F119" s="2118">
        <v>0.13</v>
      </c>
    </row>
    <row r="120" spans="1:6" ht="14.25" thickBot="1">
      <c r="A120" s="1528" t="s">
        <v>203</v>
      </c>
      <c r="B120" s="1522" t="s">
        <v>1307</v>
      </c>
      <c r="C120" s="2117">
        <v>0.125</v>
      </c>
      <c r="D120" s="2117">
        <v>0.125</v>
      </c>
      <c r="E120" s="2117">
        <v>0.122</v>
      </c>
      <c r="F120" s="2118">
        <v>0.13</v>
      </c>
    </row>
    <row r="121" spans="1:6" ht="14.25" thickBot="1">
      <c r="A121" s="1528" t="s">
        <v>203</v>
      </c>
      <c r="B121" s="1522" t="s">
        <v>1317</v>
      </c>
      <c r="C121" s="2117">
        <v>0.13</v>
      </c>
      <c r="D121" s="2117">
        <v>0.13</v>
      </c>
      <c r="E121" s="2117">
        <v>0.13</v>
      </c>
      <c r="F121" s="2118">
        <v>0.13</v>
      </c>
    </row>
    <row r="122" spans="1:6" ht="14.25" thickBot="1">
      <c r="A122" s="1528" t="s">
        <v>203</v>
      </c>
      <c r="B122" s="1522" t="s">
        <v>1327</v>
      </c>
      <c r="C122" s="2117">
        <v>0.13</v>
      </c>
      <c r="D122" s="2117">
        <v>0.13</v>
      </c>
      <c r="E122" s="2117">
        <v>0.125</v>
      </c>
      <c r="F122" s="2118">
        <v>0.13</v>
      </c>
    </row>
    <row r="123" spans="1:6" ht="14.25" thickBot="1">
      <c r="A123" s="1528" t="s">
        <v>203</v>
      </c>
      <c r="B123" s="1522" t="s">
        <v>1338</v>
      </c>
      <c r="C123" s="2117">
        <v>0.129</v>
      </c>
      <c r="D123" s="2117">
        <v>0.129</v>
      </c>
      <c r="E123" s="2117">
        <v>0.123</v>
      </c>
      <c r="F123" s="2118">
        <v>0.13</v>
      </c>
    </row>
    <row r="124" spans="1:6" ht="14.25" thickBot="1">
      <c r="A124" s="1528" t="s">
        <v>203</v>
      </c>
      <c r="B124" s="1522" t="s">
        <v>1349</v>
      </c>
      <c r="C124" s="2117">
        <v>0.10199999999999999</v>
      </c>
      <c r="D124" s="2117">
        <v>0.10100000000000001</v>
      </c>
      <c r="E124" s="2117">
        <v>0.08</v>
      </c>
      <c r="F124" s="2129"/>
    </row>
    <row r="125" spans="1:6" ht="14.25" thickBot="1">
      <c r="A125" s="1528" t="s">
        <v>203</v>
      </c>
      <c r="B125" s="1522" t="s">
        <v>1359</v>
      </c>
      <c r="C125" s="2117">
        <v>0.13</v>
      </c>
      <c r="D125" s="2117">
        <v>0.13</v>
      </c>
      <c r="E125" s="2117">
        <v>0.129</v>
      </c>
      <c r="F125" s="2129"/>
    </row>
    <row r="126" spans="1:6" ht="14.25" thickBot="1">
      <c r="A126" s="1528" t="s">
        <v>203</v>
      </c>
      <c r="B126" s="1522" t="s">
        <v>1369</v>
      </c>
      <c r="C126" s="2117">
        <v>0.13</v>
      </c>
      <c r="D126" s="2117">
        <v>0.13</v>
      </c>
      <c r="E126" s="2117">
        <v>0.126</v>
      </c>
      <c r="F126" s="2129"/>
    </row>
    <row r="127" spans="1:6" ht="14.25" thickBot="1">
      <c r="A127" s="1528" t="s">
        <v>203</v>
      </c>
      <c r="B127" s="1522" t="s">
        <v>1379</v>
      </c>
      <c r="C127" s="2117">
        <v>0.125</v>
      </c>
      <c r="D127" s="2117">
        <v>0.125</v>
      </c>
      <c r="E127" s="2117">
        <v>0.121</v>
      </c>
      <c r="F127" s="2129"/>
    </row>
    <row r="128" spans="1:6" ht="14.25" thickBot="1">
      <c r="A128" s="1528" t="s">
        <v>203</v>
      </c>
      <c r="B128" s="1522" t="s">
        <v>1389</v>
      </c>
      <c r="C128" s="2117">
        <v>0.12</v>
      </c>
      <c r="D128" s="2117">
        <v>0.12</v>
      </c>
      <c r="E128" s="2117">
        <v>0.105</v>
      </c>
      <c r="F128" s="2129"/>
    </row>
    <row r="129" spans="1:6" ht="14.25" thickBot="1">
      <c r="A129" s="1528" t="s">
        <v>203</v>
      </c>
      <c r="B129" s="1522" t="s">
        <v>1398</v>
      </c>
      <c r="C129" s="2117">
        <v>0.13</v>
      </c>
      <c r="D129" s="2117">
        <v>0.13</v>
      </c>
      <c r="E129" s="2117">
        <v>0.126</v>
      </c>
      <c r="F129" s="2129"/>
    </row>
    <row r="130" spans="1:6" ht="14.25" thickBot="1">
      <c r="A130" s="1528" t="s">
        <v>203</v>
      </c>
      <c r="B130" s="1522" t="s">
        <v>1407</v>
      </c>
      <c r="C130" s="2117">
        <v>0.125</v>
      </c>
      <c r="D130" s="2117">
        <v>0.125</v>
      </c>
      <c r="E130" s="2117">
        <v>0.122</v>
      </c>
      <c r="F130" s="2129"/>
    </row>
    <row r="131" spans="1:6" ht="14.25" thickBot="1">
      <c r="A131" s="1528" t="s">
        <v>203</v>
      </c>
      <c r="B131" s="1522" t="s">
        <v>1415</v>
      </c>
      <c r="C131" s="2117">
        <v>0.127</v>
      </c>
      <c r="D131" s="2117">
        <v>0.126</v>
      </c>
      <c r="E131" s="2117">
        <v>0.123</v>
      </c>
      <c r="F131" s="2129"/>
    </row>
    <row r="132" spans="1:6" ht="14.25" thickBot="1">
      <c r="A132" s="1528" t="s">
        <v>203</v>
      </c>
      <c r="B132" s="1522" t="s">
        <v>1422</v>
      </c>
      <c r="C132" s="2117">
        <v>9.0999999999999998E-2</v>
      </c>
      <c r="D132" s="2117">
        <v>0.121</v>
      </c>
      <c r="E132" s="2117">
        <v>9.9000000000000005E-2</v>
      </c>
      <c r="F132" s="2129"/>
    </row>
    <row r="133" spans="1:6" ht="14.25" thickBot="1">
      <c r="A133" s="1528" t="s">
        <v>203</v>
      </c>
      <c r="B133" s="1522" t="s">
        <v>1429</v>
      </c>
      <c r="C133" s="2117">
        <v>0.13</v>
      </c>
      <c r="D133" s="2117">
        <v>0.13</v>
      </c>
      <c r="E133" s="2117">
        <v>0.129</v>
      </c>
      <c r="F133" s="2129"/>
    </row>
    <row r="134" spans="1:6" ht="14.25" thickBot="1">
      <c r="A134" s="1528" t="s">
        <v>203</v>
      </c>
      <c r="B134" s="1522" t="s">
        <v>2161</v>
      </c>
      <c r="C134" s="2117">
        <v>6.8000000000000005E-2</v>
      </c>
      <c r="D134" s="2117">
        <v>6.5000000000000002E-2</v>
      </c>
      <c r="E134" s="2117">
        <v>6.5000000000000002E-2</v>
      </c>
      <c r="F134" s="2118">
        <v>0.13</v>
      </c>
    </row>
    <row r="135" spans="1:6" ht="14.25" thickBot="1">
      <c r="A135" s="1528" t="s">
        <v>203</v>
      </c>
      <c r="B135" s="1522" t="s">
        <v>1443</v>
      </c>
      <c r="C135" s="2117">
        <v>0.123</v>
      </c>
      <c r="D135" s="2117">
        <v>0.123</v>
      </c>
      <c r="E135" s="2117">
        <v>0.11</v>
      </c>
      <c r="F135" s="2129"/>
    </row>
    <row r="136" spans="1:6" ht="14.25" thickBot="1">
      <c r="A136" s="1528" t="s">
        <v>203</v>
      </c>
      <c r="B136" s="1522" t="s">
        <v>1450</v>
      </c>
      <c r="C136" s="2117">
        <v>0.13</v>
      </c>
      <c r="D136" s="2117">
        <v>0.13</v>
      </c>
      <c r="E136" s="2117">
        <v>0.125</v>
      </c>
      <c r="F136" s="2129"/>
    </row>
    <row r="137" spans="1:6" ht="14.25" thickBot="1">
      <c r="A137" s="1528" t="s">
        <v>203</v>
      </c>
      <c r="B137" s="1522" t="s">
        <v>1457</v>
      </c>
      <c r="C137" s="2117">
        <v>0.121</v>
      </c>
      <c r="D137" s="2117">
        <v>0.122</v>
      </c>
      <c r="E137" s="2117">
        <v>0.115</v>
      </c>
      <c r="F137" s="2129"/>
    </row>
    <row r="138" spans="1:6" ht="14.25" thickBot="1">
      <c r="A138" s="1528" t="s">
        <v>203</v>
      </c>
      <c r="B138" s="1522" t="s">
        <v>2162</v>
      </c>
      <c r="C138" s="2117">
        <v>0.105</v>
      </c>
      <c r="D138" s="2117">
        <v>0.125</v>
      </c>
      <c r="E138" s="2117">
        <v>0.112</v>
      </c>
      <c r="F138" s="2129"/>
    </row>
    <row r="139" spans="1:6" ht="14.25" thickBot="1">
      <c r="A139" s="1528" t="s">
        <v>203</v>
      </c>
      <c r="B139" s="1522" t="s">
        <v>2163</v>
      </c>
      <c r="C139" s="2117">
        <v>0.127</v>
      </c>
      <c r="D139" s="2117">
        <v>0.127</v>
      </c>
      <c r="E139" s="2117">
        <v>0.122</v>
      </c>
      <c r="F139" s="2118">
        <v>0.13</v>
      </c>
    </row>
    <row r="140" spans="1:6" ht="14.25" thickBot="1">
      <c r="A140" s="1528" t="s">
        <v>203</v>
      </c>
      <c r="B140" s="1522" t="s">
        <v>2164</v>
      </c>
      <c r="C140" s="2117">
        <v>0.125</v>
      </c>
      <c r="D140" s="2117">
        <v>0.125</v>
      </c>
      <c r="E140" s="2117">
        <v>0.11899999999999999</v>
      </c>
      <c r="F140" s="2118">
        <v>0.13</v>
      </c>
    </row>
    <row r="141" spans="1:6" ht="14.25" thickBot="1">
      <c r="A141" s="1528" t="s">
        <v>203</v>
      </c>
      <c r="B141" s="1522" t="s">
        <v>1476</v>
      </c>
      <c r="C141" s="2117">
        <v>0.125</v>
      </c>
      <c r="D141" s="2117">
        <v>0.125</v>
      </c>
      <c r="E141" s="2117">
        <v>0.11700000000000001</v>
      </c>
      <c r="F141" s="2129"/>
    </row>
    <row r="142" spans="1:6" ht="14.25" thickBot="1">
      <c r="A142" s="1528" t="s">
        <v>203</v>
      </c>
      <c r="B142" s="1522" t="s">
        <v>1481</v>
      </c>
      <c r="C142" s="2117">
        <v>0.125</v>
      </c>
      <c r="D142" s="2117">
        <v>0.125</v>
      </c>
      <c r="E142" s="2117">
        <v>0.115</v>
      </c>
      <c r="F142" s="2129"/>
    </row>
    <row r="143" spans="1:6" ht="14.25" thickBot="1">
      <c r="A143" s="1528" t="s">
        <v>203</v>
      </c>
      <c r="B143" s="1522" t="s">
        <v>1486</v>
      </c>
      <c r="C143" s="2117">
        <v>0.121</v>
      </c>
      <c r="D143" s="2117">
        <v>0.121</v>
      </c>
      <c r="E143" s="2117">
        <v>0.108</v>
      </c>
      <c r="F143" s="2129"/>
    </row>
    <row r="144" spans="1:6" ht="14.25" thickBot="1">
      <c r="A144" s="1528" t="s">
        <v>203</v>
      </c>
      <c r="B144" s="2121" t="s">
        <v>2165</v>
      </c>
      <c r="C144" s="2122">
        <v>0.126</v>
      </c>
      <c r="D144" s="2122">
        <v>0.126</v>
      </c>
      <c r="E144" s="2122">
        <v>0.121</v>
      </c>
      <c r="F144" s="2129"/>
    </row>
    <row r="145" spans="1:6" ht="14.25" thickBot="1">
      <c r="A145" s="1538" t="s">
        <v>203</v>
      </c>
      <c r="B145" s="2123" t="s">
        <v>2166</v>
      </c>
      <c r="C145" s="2131"/>
      <c r="D145" s="2131"/>
      <c r="E145" s="2131"/>
      <c r="F145" s="2124">
        <v>0.05</v>
      </c>
    </row>
    <row r="146" spans="1:6" ht="24.75" thickBot="1">
      <c r="A146" s="2125" t="s">
        <v>203</v>
      </c>
      <c r="B146" s="1532" t="s">
        <v>2167</v>
      </c>
      <c r="C146" s="2130"/>
      <c r="D146" s="2130"/>
      <c r="E146" s="2130"/>
      <c r="F146" s="2126">
        <v>0.05</v>
      </c>
    </row>
    <row r="147" spans="1:6" ht="24.75" thickBot="1">
      <c r="A147" s="1528" t="s">
        <v>203</v>
      </c>
      <c r="B147" s="1522" t="s">
        <v>2168</v>
      </c>
      <c r="C147" s="2130"/>
      <c r="D147" s="2130"/>
      <c r="E147" s="2130"/>
      <c r="F147" s="2118">
        <v>0.05</v>
      </c>
    </row>
    <row r="148" spans="1:6" ht="24.75" thickBot="1">
      <c r="A148" s="1528" t="s">
        <v>203</v>
      </c>
      <c r="B148" s="1522" t="s">
        <v>2169</v>
      </c>
      <c r="C148" s="2130"/>
      <c r="D148" s="2130"/>
      <c r="E148" s="2130"/>
      <c r="F148" s="2118">
        <v>0.05</v>
      </c>
    </row>
    <row r="149" spans="1:6" ht="24.75" thickBot="1">
      <c r="A149" s="1528" t="s">
        <v>203</v>
      </c>
      <c r="B149" s="1522" t="s">
        <v>2170</v>
      </c>
      <c r="C149" s="2130"/>
      <c r="D149" s="2130"/>
      <c r="E149" s="2130"/>
      <c r="F149" s="2118">
        <v>0.05</v>
      </c>
    </row>
    <row r="150" spans="1:6" ht="24.75" thickBot="1">
      <c r="A150" s="1528" t="s">
        <v>203</v>
      </c>
      <c r="B150" s="1522" t="s">
        <v>2171</v>
      </c>
      <c r="C150" s="2130"/>
      <c r="D150" s="2130"/>
      <c r="E150" s="2130"/>
      <c r="F150" s="2118">
        <v>0.05</v>
      </c>
    </row>
    <row r="151" spans="1:6" ht="24.75" thickBot="1">
      <c r="A151" s="1528" t="s">
        <v>203</v>
      </c>
      <c r="B151" s="1522" t="s">
        <v>2172</v>
      </c>
      <c r="C151" s="2130"/>
      <c r="D151" s="2130"/>
      <c r="E151" s="2130"/>
      <c r="F151" s="2118">
        <v>0.05</v>
      </c>
    </row>
    <row r="152" spans="1:6" ht="24.75" thickBot="1">
      <c r="A152" s="1528" t="s">
        <v>203</v>
      </c>
      <c r="B152" s="1522" t="s">
        <v>1519</v>
      </c>
      <c r="C152" s="2130"/>
      <c r="D152" s="2130"/>
      <c r="E152" s="2130"/>
      <c r="F152" s="2118">
        <v>0.05</v>
      </c>
    </row>
    <row r="153" spans="1:6" ht="14.25" thickBot="1">
      <c r="A153" s="1528" t="s">
        <v>203</v>
      </c>
      <c r="B153" s="1522" t="s">
        <v>2173</v>
      </c>
      <c r="C153" s="2130"/>
      <c r="D153" s="2130"/>
      <c r="E153" s="2130"/>
      <c r="F153" s="2118">
        <v>0.05</v>
      </c>
    </row>
    <row r="154" spans="1:6" ht="14.25" thickBot="1">
      <c r="A154" s="1528" t="s">
        <v>203</v>
      </c>
      <c r="B154" s="1522" t="s">
        <v>2174</v>
      </c>
      <c r="C154" s="2130"/>
      <c r="D154" s="2130"/>
      <c r="E154" s="2130"/>
      <c r="F154" s="2118">
        <v>0.05</v>
      </c>
    </row>
    <row r="155" spans="1:6" ht="24.75" thickBot="1">
      <c r="A155" s="1528" t="s">
        <v>203</v>
      </c>
      <c r="B155" s="1522" t="s">
        <v>2175</v>
      </c>
      <c r="C155" s="2130"/>
      <c r="D155" s="2130"/>
      <c r="E155" s="2130"/>
      <c r="F155" s="2118">
        <v>0.05</v>
      </c>
    </row>
    <row r="156" spans="1:6" ht="24.75" thickBot="1">
      <c r="A156" s="1528" t="s">
        <v>203</v>
      </c>
      <c r="B156" s="1522" t="s">
        <v>2176</v>
      </c>
      <c r="C156" s="2130"/>
      <c r="D156" s="2130"/>
      <c r="E156" s="2130"/>
      <c r="F156" s="2118">
        <v>0.05</v>
      </c>
    </row>
    <row r="157" spans="1:6" ht="14.25" thickBot="1">
      <c r="A157" s="1538" t="s">
        <v>203</v>
      </c>
      <c r="B157" s="1534" t="s">
        <v>2177</v>
      </c>
      <c r="C157" s="2127"/>
      <c r="D157" s="2127"/>
      <c r="E157" s="2127"/>
      <c r="F157" s="2120">
        <v>0.05</v>
      </c>
    </row>
    <row r="158" spans="1:6" ht="14.25" thickBot="1">
      <c r="A158" s="1528" t="s">
        <v>1538</v>
      </c>
      <c r="B158" s="1529" t="s">
        <v>2178</v>
      </c>
      <c r="C158" s="2115">
        <v>0.13</v>
      </c>
      <c r="D158" s="2115">
        <v>0.13</v>
      </c>
      <c r="E158" s="2115">
        <v>0.13</v>
      </c>
      <c r="F158" s="2116">
        <v>0.13</v>
      </c>
    </row>
    <row r="159" spans="1:6" ht="14.25" thickBot="1">
      <c r="A159" s="1528" t="s">
        <v>1538</v>
      </c>
      <c r="B159" s="1522" t="s">
        <v>1205</v>
      </c>
      <c r="C159" s="2117">
        <v>0.13</v>
      </c>
      <c r="D159" s="2117">
        <v>0.13</v>
      </c>
      <c r="E159" s="2117">
        <v>0.13</v>
      </c>
      <c r="F159" s="2118">
        <v>0.13</v>
      </c>
    </row>
    <row r="160" spans="1:6" ht="14.25" thickBot="1">
      <c r="A160" s="1528" t="s">
        <v>1538</v>
      </c>
      <c r="B160" s="1522" t="s">
        <v>1218</v>
      </c>
      <c r="C160" s="2117">
        <v>0.13</v>
      </c>
      <c r="D160" s="2117">
        <v>0.13</v>
      </c>
      <c r="E160" s="2117">
        <v>0.129</v>
      </c>
      <c r="F160" s="2118">
        <v>0.13</v>
      </c>
    </row>
    <row r="161" spans="1:6" ht="14.25" thickBot="1">
      <c r="A161" s="1528" t="s">
        <v>1538</v>
      </c>
      <c r="B161" s="1522" t="s">
        <v>1231</v>
      </c>
      <c r="C161" s="2117">
        <v>0.128</v>
      </c>
      <c r="D161" s="2117">
        <v>0.128</v>
      </c>
      <c r="E161" s="2117">
        <v>0.125</v>
      </c>
      <c r="F161" s="2118">
        <v>0.13</v>
      </c>
    </row>
    <row r="162" spans="1:6" ht="14.25" thickBot="1">
      <c r="A162" s="1528" t="s">
        <v>1538</v>
      </c>
      <c r="B162" s="1522" t="s">
        <v>1243</v>
      </c>
      <c r="C162" s="2117">
        <v>0.122</v>
      </c>
      <c r="D162" s="2117">
        <v>0.122</v>
      </c>
      <c r="E162" s="2117">
        <v>0.126</v>
      </c>
      <c r="F162" s="2118">
        <v>0.122</v>
      </c>
    </row>
    <row r="163" spans="1:6" ht="14.25" thickBot="1">
      <c r="A163" s="1528" t="s">
        <v>1538</v>
      </c>
      <c r="B163" s="1522" t="s">
        <v>1254</v>
      </c>
      <c r="C163" s="2117">
        <v>0.13</v>
      </c>
      <c r="D163" s="2117">
        <v>0.13</v>
      </c>
      <c r="E163" s="2117">
        <v>0.125</v>
      </c>
      <c r="F163" s="2118">
        <v>0.13</v>
      </c>
    </row>
    <row r="164" spans="1:6" ht="14.25" thickBot="1">
      <c r="A164" s="1528" t="s">
        <v>1538</v>
      </c>
      <c r="B164" s="1522" t="s">
        <v>1265</v>
      </c>
      <c r="C164" s="2117">
        <v>0.13</v>
      </c>
      <c r="D164" s="2117">
        <v>0.13</v>
      </c>
      <c r="E164" s="2117">
        <v>0.13</v>
      </c>
      <c r="F164" s="2118">
        <v>0.13</v>
      </c>
    </row>
    <row r="165" spans="1:6" ht="14.25" thickBot="1">
      <c r="A165" s="1528" t="s">
        <v>1538</v>
      </c>
      <c r="B165" s="1522" t="s">
        <v>1276</v>
      </c>
      <c r="C165" s="2117">
        <v>0.13</v>
      </c>
      <c r="D165" s="2117">
        <v>0.13</v>
      </c>
      <c r="E165" s="2117">
        <v>0.124</v>
      </c>
      <c r="F165" s="2118">
        <v>0.13</v>
      </c>
    </row>
    <row r="166" spans="1:6" ht="14.25" thickBot="1">
      <c r="A166" s="1528" t="s">
        <v>1538</v>
      </c>
      <c r="B166" s="1522" t="s">
        <v>1288</v>
      </c>
      <c r="C166" s="2117">
        <v>0.13</v>
      </c>
      <c r="D166" s="2117">
        <v>0.13</v>
      </c>
      <c r="E166" s="2117">
        <v>0.13</v>
      </c>
      <c r="F166" s="2118">
        <v>0.13</v>
      </c>
    </row>
    <row r="167" spans="1:6" ht="14.25" thickBot="1">
      <c r="A167" s="1528" t="s">
        <v>1538</v>
      </c>
      <c r="B167" s="1522" t="s">
        <v>1298</v>
      </c>
      <c r="C167" s="2117">
        <v>0.125</v>
      </c>
      <c r="D167" s="2117">
        <v>0.125</v>
      </c>
      <c r="E167" s="2117">
        <v>0.121</v>
      </c>
      <c r="F167" s="2129"/>
    </row>
    <row r="168" spans="1:6" ht="14.25" thickBot="1">
      <c r="A168" s="1528" t="s">
        <v>1538</v>
      </c>
      <c r="B168" s="1522" t="s">
        <v>1308</v>
      </c>
      <c r="C168" s="2117">
        <v>0.13</v>
      </c>
      <c r="D168" s="2117">
        <v>0.13</v>
      </c>
      <c r="E168" s="2117">
        <v>0.126</v>
      </c>
      <c r="F168" s="2129"/>
    </row>
    <row r="169" spans="1:6" ht="14.25" thickBot="1">
      <c r="A169" s="1528" t="s">
        <v>1538</v>
      </c>
      <c r="B169" s="1522" t="s">
        <v>1318</v>
      </c>
      <c r="C169" s="2117">
        <v>0.128</v>
      </c>
      <c r="D169" s="2117">
        <v>0.129</v>
      </c>
      <c r="E169" s="2117">
        <v>0.13</v>
      </c>
      <c r="F169" s="2129"/>
    </row>
    <row r="170" spans="1:6" ht="14.25" thickBot="1">
      <c r="A170" s="1528" t="s">
        <v>1538</v>
      </c>
      <c r="B170" s="1522" t="s">
        <v>1328</v>
      </c>
      <c r="C170" s="2117">
        <v>0.14099999999999999</v>
      </c>
      <c r="D170" s="2117">
        <v>0.13</v>
      </c>
      <c r="E170" s="2117">
        <v>0.125</v>
      </c>
      <c r="F170" s="2129"/>
    </row>
    <row r="171" spans="1:6" ht="14.25" thickBot="1">
      <c r="A171" s="1528" t="s">
        <v>1538</v>
      </c>
      <c r="B171" s="1522" t="s">
        <v>2179</v>
      </c>
      <c r="C171" s="2117">
        <v>0.127</v>
      </c>
      <c r="D171" s="2117">
        <v>0.126</v>
      </c>
      <c r="E171" s="2117">
        <v>0.126</v>
      </c>
      <c r="F171" s="2118">
        <v>0.11799999999999999</v>
      </c>
    </row>
    <row r="172" spans="1:6" ht="14.25" thickBot="1">
      <c r="A172" s="1528" t="s">
        <v>1538</v>
      </c>
      <c r="B172" s="1522" t="s">
        <v>2180</v>
      </c>
      <c r="C172" s="2117">
        <v>0.13</v>
      </c>
      <c r="D172" s="2117">
        <v>0.13</v>
      </c>
      <c r="E172" s="2117">
        <v>0.13</v>
      </c>
      <c r="F172" s="2129"/>
    </row>
    <row r="173" spans="1:6" ht="14.25" thickBot="1">
      <c r="A173" s="1528" t="s">
        <v>1538</v>
      </c>
      <c r="B173" s="1522" t="s">
        <v>1360</v>
      </c>
      <c r="C173" s="2117">
        <v>0.13</v>
      </c>
      <c r="D173" s="2117">
        <v>0.13</v>
      </c>
      <c r="E173" s="2117">
        <v>0.13</v>
      </c>
      <c r="F173" s="2129"/>
    </row>
    <row r="174" spans="1:6" ht="14.25" thickBot="1">
      <c r="A174" s="1528" t="s">
        <v>1538</v>
      </c>
      <c r="B174" s="1522" t="s">
        <v>2181</v>
      </c>
      <c r="C174" s="2117">
        <v>0.13</v>
      </c>
      <c r="D174" s="2117">
        <v>0.13</v>
      </c>
      <c r="E174" s="2117">
        <v>0.13</v>
      </c>
      <c r="F174" s="2118">
        <v>0.13</v>
      </c>
    </row>
    <row r="175" spans="1:6" ht="14.25" thickBot="1">
      <c r="A175" s="1528" t="s">
        <v>1538</v>
      </c>
      <c r="B175" s="1522" t="s">
        <v>2182</v>
      </c>
      <c r="C175" s="2117">
        <v>0.13</v>
      </c>
      <c r="D175" s="2117">
        <v>0.13</v>
      </c>
      <c r="E175" s="2117">
        <v>0.13</v>
      </c>
      <c r="F175" s="2118">
        <v>0.13</v>
      </c>
    </row>
    <row r="176" spans="1:6" ht="14.25" thickBot="1">
      <c r="A176" s="1528" t="s">
        <v>1538</v>
      </c>
      <c r="B176" s="1522" t="s">
        <v>1390</v>
      </c>
      <c r="C176" s="2117">
        <v>0.13</v>
      </c>
      <c r="D176" s="2117">
        <v>0.13</v>
      </c>
      <c r="E176" s="2117">
        <v>0.13</v>
      </c>
      <c r="F176" s="2118">
        <v>0.13</v>
      </c>
    </row>
    <row r="177" spans="1:6" ht="14.25" thickBot="1">
      <c r="A177" s="1528" t="s">
        <v>1538</v>
      </c>
      <c r="B177" s="1522" t="s">
        <v>2183</v>
      </c>
      <c r="C177" s="2117">
        <v>0.13</v>
      </c>
      <c r="D177" s="2117">
        <v>0.13</v>
      </c>
      <c r="E177" s="2117">
        <v>0.13</v>
      </c>
      <c r="F177" s="2118">
        <v>0.13</v>
      </c>
    </row>
    <row r="178" spans="1:6" ht="14.25" thickBot="1">
      <c r="A178" s="1528" t="s">
        <v>1538</v>
      </c>
      <c r="B178" s="1522" t="s">
        <v>1408</v>
      </c>
      <c r="C178" s="2117">
        <v>0.13</v>
      </c>
      <c r="D178" s="2117">
        <v>0.13</v>
      </c>
      <c r="E178" s="2117">
        <v>0.13</v>
      </c>
      <c r="F178" s="2118">
        <v>0.127</v>
      </c>
    </row>
    <row r="179" spans="1:6" ht="14.25" thickBot="1">
      <c r="A179" s="1528" t="s">
        <v>1538</v>
      </c>
      <c r="B179" s="1522" t="s">
        <v>1416</v>
      </c>
      <c r="C179" s="2117">
        <v>0.13</v>
      </c>
      <c r="D179" s="2117">
        <v>0.13</v>
      </c>
      <c r="E179" s="2117">
        <v>0.13</v>
      </c>
      <c r="F179" s="2129"/>
    </row>
    <row r="180" spans="1:6" ht="14.25" thickBot="1">
      <c r="A180" s="1528" t="s">
        <v>1538</v>
      </c>
      <c r="B180" s="1522" t="s">
        <v>2184</v>
      </c>
      <c r="C180" s="2117">
        <v>0.13</v>
      </c>
      <c r="D180" s="2117">
        <v>0.13</v>
      </c>
      <c r="E180" s="2117">
        <v>0.125</v>
      </c>
      <c r="F180" s="2118">
        <v>0.13</v>
      </c>
    </row>
    <row r="181" spans="1:6" ht="14.25" thickBot="1">
      <c r="A181" s="1528" t="s">
        <v>1538</v>
      </c>
      <c r="B181" s="1522" t="s">
        <v>1430</v>
      </c>
      <c r="C181" s="2117">
        <v>0.122</v>
      </c>
      <c r="D181" s="2117">
        <v>0.123</v>
      </c>
      <c r="E181" s="2117">
        <v>0.126</v>
      </c>
      <c r="F181" s="2118">
        <v>0.121</v>
      </c>
    </row>
    <row r="182" spans="1:6" ht="14.25" thickBot="1">
      <c r="A182" s="1528" t="s">
        <v>1538</v>
      </c>
      <c r="B182" s="1522" t="s">
        <v>1437</v>
      </c>
      <c r="C182" s="2117">
        <v>0.125</v>
      </c>
      <c r="D182" s="2117">
        <v>0.125</v>
      </c>
      <c r="E182" s="2117">
        <v>0.11700000000000001</v>
      </c>
      <c r="F182" s="2118">
        <v>0.13</v>
      </c>
    </row>
    <row r="183" spans="1:6" ht="14.25" thickBot="1">
      <c r="A183" s="1528" t="s">
        <v>1538</v>
      </c>
      <c r="B183" s="1522" t="s">
        <v>1444</v>
      </c>
      <c r="C183" s="2117">
        <v>0.127</v>
      </c>
      <c r="D183" s="2117">
        <v>0.127</v>
      </c>
      <c r="E183" s="2117">
        <v>0.128</v>
      </c>
      <c r="F183" s="2129"/>
    </row>
    <row r="184" spans="1:6" ht="14.25" thickBot="1">
      <c r="A184" s="1528" t="s">
        <v>1538</v>
      </c>
      <c r="B184" s="1522" t="s">
        <v>1451</v>
      </c>
      <c r="C184" s="2117">
        <v>0.125</v>
      </c>
      <c r="D184" s="2117">
        <v>0.125</v>
      </c>
      <c r="E184" s="2117">
        <v>0.127</v>
      </c>
      <c r="F184" s="2129"/>
    </row>
    <row r="185" spans="1:6" ht="14.25" thickBot="1">
      <c r="A185" s="1528" t="s">
        <v>1538</v>
      </c>
      <c r="B185" s="1522" t="s">
        <v>2185</v>
      </c>
      <c r="C185" s="2117">
        <v>0.127</v>
      </c>
      <c r="D185" s="2117">
        <v>0.127</v>
      </c>
      <c r="E185" s="2117">
        <v>0.128</v>
      </c>
      <c r="F185" s="2118">
        <v>0.13</v>
      </c>
    </row>
    <row r="186" spans="1:6" ht="24.75" thickBot="1">
      <c r="A186" s="1528" t="s">
        <v>1538</v>
      </c>
      <c r="B186" s="1522" t="s">
        <v>2186</v>
      </c>
      <c r="C186" s="2130"/>
      <c r="D186" s="2130"/>
      <c r="E186" s="2130"/>
      <c r="F186" s="2118">
        <v>0.05</v>
      </c>
    </row>
    <row r="187" spans="1:6" ht="14.25" thickBot="1">
      <c r="A187" s="1528" t="s">
        <v>1538</v>
      </c>
      <c r="B187" s="1522" t="s">
        <v>2187</v>
      </c>
      <c r="C187" s="2130"/>
      <c r="D187" s="2130"/>
      <c r="E187" s="2130"/>
      <c r="F187" s="2118">
        <v>0.05</v>
      </c>
    </row>
    <row r="188" spans="1:6" ht="14.25" thickBot="1">
      <c r="A188" s="1528" t="s">
        <v>1538</v>
      </c>
      <c r="B188" s="1522" t="s">
        <v>2188</v>
      </c>
      <c r="C188" s="2130"/>
      <c r="D188" s="2130"/>
      <c r="E188" s="2130"/>
      <c r="F188" s="2118">
        <v>0.05</v>
      </c>
    </row>
    <row r="189" spans="1:6" ht="24.75" thickBot="1">
      <c r="A189" s="1528" t="s">
        <v>1538</v>
      </c>
      <c r="B189" s="1522" t="s">
        <v>2189</v>
      </c>
      <c r="C189" s="2130"/>
      <c r="D189" s="2130"/>
      <c r="E189" s="2130"/>
      <c r="F189" s="2118">
        <v>0.05</v>
      </c>
    </row>
    <row r="190" spans="1:6" ht="24.75" thickBot="1">
      <c r="A190" s="1528" t="s">
        <v>1538</v>
      </c>
      <c r="B190" s="1522" t="s">
        <v>2190</v>
      </c>
      <c r="C190" s="2130"/>
      <c r="D190" s="2130"/>
      <c r="E190" s="2130"/>
      <c r="F190" s="2118">
        <v>0.05</v>
      </c>
    </row>
    <row r="191" spans="1:6" ht="24.75" thickBot="1">
      <c r="A191" s="1528" t="s">
        <v>1538</v>
      </c>
      <c r="B191" s="1522" t="s">
        <v>2191</v>
      </c>
      <c r="C191" s="2130"/>
      <c r="D191" s="2130"/>
      <c r="E191" s="2130"/>
      <c r="F191" s="2118">
        <v>0.05</v>
      </c>
    </row>
    <row r="192" spans="1:6" ht="24.75" thickBot="1">
      <c r="A192" s="1528" t="s">
        <v>1538</v>
      </c>
      <c r="B192" s="1522" t="s">
        <v>2192</v>
      </c>
      <c r="C192" s="2130"/>
      <c r="D192" s="2130"/>
      <c r="E192" s="2130"/>
      <c r="F192" s="2118">
        <v>0.05</v>
      </c>
    </row>
    <row r="193" spans="1:6" ht="24.75" thickBot="1">
      <c r="A193" s="1528" t="s">
        <v>1538</v>
      </c>
      <c r="B193" s="1522" t="s">
        <v>2193</v>
      </c>
      <c r="C193" s="2130"/>
      <c r="D193" s="2130"/>
      <c r="E193" s="2130"/>
      <c r="F193" s="2118">
        <v>0.05</v>
      </c>
    </row>
    <row r="194" spans="1:6" ht="24.75" thickBot="1">
      <c r="A194" s="1528" t="s">
        <v>1538</v>
      </c>
      <c r="B194" s="1522" t="s">
        <v>2194</v>
      </c>
      <c r="C194" s="2130"/>
      <c r="D194" s="2130"/>
      <c r="E194" s="2130"/>
      <c r="F194" s="2118">
        <v>0.05</v>
      </c>
    </row>
    <row r="195" spans="1:6" ht="14.25" thickBot="1">
      <c r="A195" s="1528" t="s">
        <v>1538</v>
      </c>
      <c r="B195" s="1522" t="s">
        <v>2195</v>
      </c>
      <c r="C195" s="2130"/>
      <c r="D195" s="2130"/>
      <c r="E195" s="2130"/>
      <c r="F195" s="2118">
        <v>0.05</v>
      </c>
    </row>
    <row r="196" spans="1:6" ht="24.75" thickBot="1">
      <c r="A196" s="1528" t="s">
        <v>1538</v>
      </c>
      <c r="B196" s="1522" t="s">
        <v>2196</v>
      </c>
      <c r="C196" s="2130"/>
      <c r="D196" s="2130"/>
      <c r="E196" s="2130"/>
      <c r="F196" s="2118">
        <v>0.05</v>
      </c>
    </row>
    <row r="197" spans="1:6" ht="24.75" thickBot="1">
      <c r="A197" s="1528" t="s">
        <v>1538</v>
      </c>
      <c r="B197" s="1522" t="s">
        <v>2197</v>
      </c>
      <c r="C197" s="2130"/>
      <c r="D197" s="2130"/>
      <c r="E197" s="2130"/>
      <c r="F197" s="2118">
        <v>0.05</v>
      </c>
    </row>
    <row r="198" spans="1:6" ht="24.75" thickBot="1">
      <c r="A198" s="1528" t="s">
        <v>1538</v>
      </c>
      <c r="B198" s="1522" t="s">
        <v>2198</v>
      </c>
      <c r="C198" s="2130"/>
      <c r="D198" s="2130"/>
      <c r="E198" s="2130"/>
      <c r="F198" s="2118">
        <v>0.05</v>
      </c>
    </row>
    <row r="199" spans="1:6" ht="24.75" thickBot="1">
      <c r="A199" s="1528" t="s">
        <v>1538</v>
      </c>
      <c r="B199" s="1522" t="s">
        <v>2199</v>
      </c>
      <c r="C199" s="2130"/>
      <c r="D199" s="2130"/>
      <c r="E199" s="2130"/>
      <c r="F199" s="2118">
        <v>0.05</v>
      </c>
    </row>
    <row r="200" spans="1:6" ht="24.75" thickBot="1">
      <c r="A200" s="1528" t="s">
        <v>1538</v>
      </c>
      <c r="B200" s="1522" t="s">
        <v>2200</v>
      </c>
      <c r="C200" s="2130"/>
      <c r="D200" s="2130"/>
      <c r="E200" s="2130"/>
      <c r="F200" s="2118">
        <v>0.05</v>
      </c>
    </row>
    <row r="201" spans="1:6" ht="24.75" thickBot="1">
      <c r="A201" s="1528" t="s">
        <v>1538</v>
      </c>
      <c r="B201" s="1522" t="s">
        <v>2201</v>
      </c>
      <c r="C201" s="2130"/>
      <c r="D201" s="2130"/>
      <c r="E201" s="2130"/>
      <c r="F201" s="2118">
        <v>0.05</v>
      </c>
    </row>
    <row r="202" spans="1:6" ht="24.75" thickBot="1">
      <c r="A202" s="1528" t="s">
        <v>1538</v>
      </c>
      <c r="B202" s="1522" t="s">
        <v>2202</v>
      </c>
      <c r="C202" s="2130"/>
      <c r="D202" s="2130"/>
      <c r="E202" s="2130"/>
      <c r="F202" s="2118">
        <v>0.05</v>
      </c>
    </row>
    <row r="203" spans="1:6" ht="24.75" thickBot="1">
      <c r="A203" s="1528" t="s">
        <v>1538</v>
      </c>
      <c r="B203" s="1522" t="s">
        <v>2203</v>
      </c>
      <c r="C203" s="2130"/>
      <c r="D203" s="2130"/>
      <c r="E203" s="2130"/>
      <c r="F203" s="2118">
        <v>0.05</v>
      </c>
    </row>
    <row r="204" spans="1:6" ht="14.25" thickBot="1">
      <c r="A204" s="1528" t="s">
        <v>1538</v>
      </c>
      <c r="B204" s="1522" t="s">
        <v>2204</v>
      </c>
      <c r="C204" s="2130"/>
      <c r="D204" s="2130"/>
      <c r="E204" s="2130"/>
      <c r="F204" s="2118">
        <v>0.05</v>
      </c>
    </row>
    <row r="205" spans="1:6" ht="14.25" thickBot="1">
      <c r="A205" s="1538" t="s">
        <v>1538</v>
      </c>
      <c r="B205" s="1534" t="s">
        <v>2205</v>
      </c>
      <c r="C205" s="2127"/>
      <c r="D205" s="2127"/>
      <c r="E205" s="2127"/>
      <c r="F205" s="2120">
        <v>0.05</v>
      </c>
    </row>
    <row r="206" spans="1:6" ht="14.25" thickBot="1">
      <c r="A206" s="1528" t="s">
        <v>1540</v>
      </c>
      <c r="B206" s="1529" t="s">
        <v>2206</v>
      </c>
      <c r="C206" s="2115">
        <v>0.15</v>
      </c>
      <c r="D206" s="2115">
        <v>0.15</v>
      </c>
      <c r="E206" s="2115">
        <v>0.15</v>
      </c>
      <c r="F206" s="2116">
        <v>0.15</v>
      </c>
    </row>
    <row r="207" spans="1:6" ht="14.25" thickBot="1">
      <c r="A207" s="1528" t="s">
        <v>1540</v>
      </c>
      <c r="B207" s="1522" t="s">
        <v>1206</v>
      </c>
      <c r="C207" s="2117">
        <v>0.15</v>
      </c>
      <c r="D207" s="2117">
        <v>0.15</v>
      </c>
      <c r="E207" s="2117">
        <v>0.15</v>
      </c>
      <c r="F207" s="2118">
        <v>0.14399999999999999</v>
      </c>
    </row>
    <row r="208" spans="1:6" ht="14.25" thickBot="1">
      <c r="A208" s="1528" t="s">
        <v>1540</v>
      </c>
      <c r="B208" s="1522" t="s">
        <v>1219</v>
      </c>
      <c r="C208" s="2117">
        <v>0.15</v>
      </c>
      <c r="D208" s="2117">
        <v>0.15</v>
      </c>
      <c r="E208" s="2117">
        <v>0.15</v>
      </c>
      <c r="F208" s="2118">
        <v>0.15</v>
      </c>
    </row>
    <row r="209" spans="1:6" ht="14.25" thickBot="1">
      <c r="A209" s="1528" t="s">
        <v>1540</v>
      </c>
      <c r="B209" s="1522" t="s">
        <v>1232</v>
      </c>
      <c r="C209" s="2117">
        <v>0.13700000000000001</v>
      </c>
      <c r="D209" s="2117">
        <v>0.13700000000000001</v>
      </c>
      <c r="E209" s="2117">
        <v>0.14000000000000001</v>
      </c>
      <c r="F209" s="2118">
        <v>0.11700000000000001</v>
      </c>
    </row>
    <row r="210" spans="1:6" ht="14.25" thickBot="1">
      <c r="A210" s="1528" t="s">
        <v>1540</v>
      </c>
      <c r="B210" s="1522" t="s">
        <v>2207</v>
      </c>
      <c r="C210" s="2117">
        <v>0.15</v>
      </c>
      <c r="D210" s="2117">
        <v>0.15</v>
      </c>
      <c r="E210" s="2117">
        <v>0.15</v>
      </c>
      <c r="F210" s="2118">
        <v>0.13800000000000001</v>
      </c>
    </row>
    <row r="211" spans="1:6" ht="14.25" thickBot="1">
      <c r="A211" s="1528" t="s">
        <v>1540</v>
      </c>
      <c r="B211" s="1522" t="s">
        <v>2208</v>
      </c>
      <c r="C211" s="2117">
        <v>0.13700000000000001</v>
      </c>
      <c r="D211" s="2117">
        <v>0.13500000000000001</v>
      </c>
      <c r="E211" s="2117">
        <v>0.13600000000000001</v>
      </c>
      <c r="F211" s="2118">
        <v>0.1</v>
      </c>
    </row>
    <row r="212" spans="1:6" ht="14.25" thickBot="1">
      <c r="A212" s="1528" t="s">
        <v>1540</v>
      </c>
      <c r="B212" s="1522" t="s">
        <v>2209</v>
      </c>
      <c r="C212" s="2117">
        <v>0.15</v>
      </c>
      <c r="D212" s="2117">
        <v>0.15</v>
      </c>
      <c r="E212" s="2117">
        <v>0.14799999999999999</v>
      </c>
      <c r="F212" s="2118">
        <v>0.13600000000000001</v>
      </c>
    </row>
    <row r="213" spans="1:6" ht="14.25" thickBot="1">
      <c r="A213" s="1528" t="s">
        <v>1540</v>
      </c>
      <c r="B213" s="1522" t="s">
        <v>1277</v>
      </c>
      <c r="C213" s="2117">
        <v>0.15</v>
      </c>
      <c r="D213" s="2117">
        <v>0.15</v>
      </c>
      <c r="E213" s="2117">
        <v>0.15</v>
      </c>
      <c r="F213" s="2118">
        <v>0.13800000000000001</v>
      </c>
    </row>
    <row r="214" spans="1:6" ht="14.25" thickBot="1">
      <c r="A214" s="1528" t="s">
        <v>1540</v>
      </c>
      <c r="B214" s="1522" t="s">
        <v>1289</v>
      </c>
      <c r="C214" s="2117">
        <v>9.0999999999999998E-2</v>
      </c>
      <c r="D214" s="2117">
        <v>0.09</v>
      </c>
      <c r="E214" s="2117">
        <v>9.1999999999999998E-2</v>
      </c>
      <c r="F214" s="2129"/>
    </row>
    <row r="215" spans="1:6" ht="14.25" thickBot="1">
      <c r="A215" s="1528" t="s">
        <v>1540</v>
      </c>
      <c r="B215" s="1522" t="s">
        <v>2210</v>
      </c>
      <c r="C215" s="2117">
        <v>0.15</v>
      </c>
      <c r="D215" s="2117">
        <v>0.15</v>
      </c>
      <c r="E215" s="2117">
        <v>0.15</v>
      </c>
      <c r="F215" s="2118">
        <v>0.15</v>
      </c>
    </row>
    <row r="216" spans="1:6" ht="14.25" thickBot="1">
      <c r="A216" s="1528" t="s">
        <v>1540</v>
      </c>
      <c r="B216" s="1522" t="s">
        <v>1309</v>
      </c>
      <c r="C216" s="2117">
        <v>0.14699999999999999</v>
      </c>
      <c r="D216" s="2117">
        <v>0.14699999999999999</v>
      </c>
      <c r="E216" s="2117">
        <v>0.15</v>
      </c>
      <c r="F216" s="2118">
        <v>0.14000000000000001</v>
      </c>
    </row>
    <row r="217" spans="1:6" ht="14.25" thickBot="1">
      <c r="A217" s="1528" t="s">
        <v>1540</v>
      </c>
      <c r="B217" s="1522" t="s">
        <v>1319</v>
      </c>
      <c r="C217" s="2117">
        <v>0.15</v>
      </c>
      <c r="D217" s="2117">
        <v>0.15</v>
      </c>
      <c r="E217" s="2117">
        <v>0.15</v>
      </c>
      <c r="F217" s="2118">
        <v>0.15</v>
      </c>
    </row>
    <row r="218" spans="1:6" ht="14.25" thickBot="1">
      <c r="A218" s="1528" t="s">
        <v>1540</v>
      </c>
      <c r="B218" s="1522" t="s">
        <v>2211</v>
      </c>
      <c r="C218" s="2117">
        <v>0.15</v>
      </c>
      <c r="D218" s="2117">
        <v>0.15</v>
      </c>
      <c r="E218" s="2117">
        <v>0.15</v>
      </c>
      <c r="F218" s="2118">
        <v>0.15</v>
      </c>
    </row>
    <row r="219" spans="1:6" ht="14.25" thickBot="1">
      <c r="A219" s="1528" t="s">
        <v>1540</v>
      </c>
      <c r="B219" s="1522" t="s">
        <v>1340</v>
      </c>
      <c r="C219" s="2117">
        <v>0.15</v>
      </c>
      <c r="D219" s="2117">
        <v>0.15</v>
      </c>
      <c r="E219" s="2117">
        <v>0.15</v>
      </c>
      <c r="F219" s="2118">
        <v>0.14799999999999999</v>
      </c>
    </row>
    <row r="220" spans="1:6" ht="14.25" thickBot="1">
      <c r="A220" s="1528" t="s">
        <v>1540</v>
      </c>
      <c r="B220" s="1522" t="s">
        <v>2212</v>
      </c>
      <c r="C220" s="2117">
        <v>0.15</v>
      </c>
      <c r="D220" s="2117">
        <v>0.15</v>
      </c>
      <c r="E220" s="2117">
        <v>0.15</v>
      </c>
      <c r="F220" s="2118">
        <v>0.15</v>
      </c>
    </row>
    <row r="221" spans="1:6" ht="14.25" thickBot="1">
      <c r="A221" s="1528" t="s">
        <v>1540</v>
      </c>
      <c r="B221" s="1522" t="s">
        <v>1361</v>
      </c>
      <c r="C221" s="2117"/>
      <c r="D221" s="2130"/>
      <c r="E221" s="2130"/>
      <c r="F221" s="2118">
        <v>0.14799999999999999</v>
      </c>
    </row>
    <row r="222" spans="1:6" ht="14.25" thickBot="1">
      <c r="A222" s="1528" t="s">
        <v>1540</v>
      </c>
      <c r="B222" s="1522" t="s">
        <v>1371</v>
      </c>
      <c r="C222" s="2117"/>
      <c r="D222" s="2130"/>
      <c r="E222" s="2130"/>
      <c r="F222" s="2118">
        <v>0.1</v>
      </c>
    </row>
    <row r="223" spans="1:6" ht="14.25" thickBot="1">
      <c r="A223" s="1528" t="s">
        <v>1540</v>
      </c>
      <c r="B223" s="1522" t="s">
        <v>1381</v>
      </c>
      <c r="C223" s="2117"/>
      <c r="D223" s="2130"/>
      <c r="E223" s="2130"/>
      <c r="F223" s="2118">
        <v>0.15</v>
      </c>
    </row>
    <row r="224" spans="1:6" ht="14.25" thickBot="1">
      <c r="A224" s="1528" t="s">
        <v>1540</v>
      </c>
      <c r="B224" s="1522" t="s">
        <v>1391</v>
      </c>
      <c r="C224" s="2117"/>
      <c r="D224" s="2130"/>
      <c r="E224" s="2130"/>
      <c r="F224" s="2118">
        <v>0.15</v>
      </c>
    </row>
    <row r="225" spans="1:6" ht="14.25" thickBot="1">
      <c r="A225" s="1528" t="s">
        <v>1540</v>
      </c>
      <c r="B225" s="1522" t="s">
        <v>2213</v>
      </c>
      <c r="C225" s="2117">
        <v>0.15</v>
      </c>
      <c r="D225" s="2117">
        <v>0.15</v>
      </c>
      <c r="E225" s="2117">
        <v>0.15</v>
      </c>
      <c r="F225" s="2118">
        <v>0.15</v>
      </c>
    </row>
    <row r="226" spans="1:6" ht="14.25" thickBot="1">
      <c r="A226" s="1528" t="s">
        <v>1540</v>
      </c>
      <c r="B226" s="1522" t="s">
        <v>1409</v>
      </c>
      <c r="C226" s="2117">
        <v>0.15</v>
      </c>
      <c r="D226" s="2117">
        <v>0.15</v>
      </c>
      <c r="E226" s="2117">
        <v>0.15</v>
      </c>
      <c r="F226" s="2118">
        <v>0.14799999999999999</v>
      </c>
    </row>
    <row r="227" spans="1:6" ht="14.25" thickBot="1">
      <c r="A227" s="1528" t="s">
        <v>1540</v>
      </c>
      <c r="B227" s="1522" t="s">
        <v>2214</v>
      </c>
      <c r="C227" s="2117">
        <v>0.15</v>
      </c>
      <c r="D227" s="2117">
        <v>0.15</v>
      </c>
      <c r="E227" s="2117">
        <v>0.15</v>
      </c>
      <c r="F227" s="2118">
        <v>0.15</v>
      </c>
    </row>
    <row r="228" spans="1:6" ht="14.25" thickBot="1">
      <c r="A228" s="1528" t="s">
        <v>1540</v>
      </c>
      <c r="B228" s="1522" t="s">
        <v>1424</v>
      </c>
      <c r="C228" s="2117">
        <v>0.15</v>
      </c>
      <c r="D228" s="2117">
        <v>0.15</v>
      </c>
      <c r="E228" s="2117">
        <v>0.15</v>
      </c>
      <c r="F228" s="2118">
        <v>0.15</v>
      </c>
    </row>
    <row r="229" spans="1:6" ht="14.25" thickBot="1">
      <c r="A229" s="1528" t="s">
        <v>1540</v>
      </c>
      <c r="B229" s="1522" t="s">
        <v>1431</v>
      </c>
      <c r="C229" s="2117">
        <v>0.15</v>
      </c>
      <c r="D229" s="2117">
        <v>0.15</v>
      </c>
      <c r="E229" s="2117">
        <v>0.15</v>
      </c>
      <c r="F229" s="2129"/>
    </row>
    <row r="230" spans="1:6" ht="14.25" thickBot="1">
      <c r="A230" s="1528" t="s">
        <v>1540</v>
      </c>
      <c r="B230" s="1522" t="s">
        <v>1438</v>
      </c>
      <c r="C230" s="2117">
        <v>0.14499999999999999</v>
      </c>
      <c r="D230" s="2117">
        <v>0.14499999999999999</v>
      </c>
      <c r="E230" s="2117">
        <v>0.14399999999999999</v>
      </c>
      <c r="F230" s="2129"/>
    </row>
    <row r="231" spans="1:6" ht="14.25" thickBot="1">
      <c r="A231" s="1528" t="s">
        <v>1540</v>
      </c>
      <c r="B231" s="1522" t="s">
        <v>2215</v>
      </c>
      <c r="C231" s="2117">
        <v>0.128</v>
      </c>
      <c r="D231" s="2117">
        <v>0.125</v>
      </c>
      <c r="E231" s="2117">
        <v>0.13200000000000001</v>
      </c>
      <c r="F231" s="2129"/>
    </row>
    <row r="232" spans="1:6" ht="14.25" thickBot="1">
      <c r="A232" s="1528" t="s">
        <v>1540</v>
      </c>
      <c r="B232" s="1522" t="s">
        <v>2216</v>
      </c>
      <c r="C232" s="2117">
        <v>0.14499999999999999</v>
      </c>
      <c r="D232" s="2117">
        <v>0.14399999999999999</v>
      </c>
      <c r="E232" s="2117">
        <v>0.14599999999999999</v>
      </c>
      <c r="F232" s="2118">
        <v>0.13800000000000001</v>
      </c>
    </row>
    <row r="233" spans="1:6" ht="14.25" thickBot="1">
      <c r="A233" s="1528" t="s">
        <v>1540</v>
      </c>
      <c r="B233" s="1522" t="s">
        <v>2217</v>
      </c>
      <c r="C233" s="2117">
        <v>0.14499999999999999</v>
      </c>
      <c r="D233" s="2117">
        <v>0.14299999999999999</v>
      </c>
      <c r="E233" s="2117">
        <v>0.14199999999999999</v>
      </c>
      <c r="F233" s="2129"/>
    </row>
    <row r="234" spans="1:6" ht="14.25" thickBot="1">
      <c r="A234" s="1528" t="s">
        <v>1540</v>
      </c>
      <c r="B234" s="1522" t="s">
        <v>2218</v>
      </c>
      <c r="C234" s="2117">
        <v>0.14000000000000001</v>
      </c>
      <c r="D234" s="2117">
        <v>0.14000000000000001</v>
      </c>
      <c r="E234" s="2117">
        <v>0.14399999999999999</v>
      </c>
      <c r="F234" s="2129"/>
    </row>
    <row r="235" spans="1:6" ht="14.25" thickBot="1">
      <c r="A235" s="1528" t="s">
        <v>1540</v>
      </c>
      <c r="B235" s="1522" t="s">
        <v>2219</v>
      </c>
      <c r="C235" s="2117">
        <v>0.14099999999999999</v>
      </c>
      <c r="D235" s="2117">
        <v>0.14199999999999999</v>
      </c>
      <c r="E235" s="2117">
        <v>0.14499999999999999</v>
      </c>
      <c r="F235" s="2118">
        <v>0.15</v>
      </c>
    </row>
    <row r="236" spans="1:6" ht="14.25" thickBot="1">
      <c r="A236" s="1528" t="s">
        <v>1540</v>
      </c>
      <c r="B236" s="1522" t="s">
        <v>1473</v>
      </c>
      <c r="C236" s="2130"/>
      <c r="D236" s="2130"/>
      <c r="E236" s="2130"/>
      <c r="F236" s="2118">
        <v>0.14299999999999999</v>
      </c>
    </row>
    <row r="237" spans="1:6" ht="24.75" thickBot="1">
      <c r="A237" s="1528" t="s">
        <v>1540</v>
      </c>
      <c r="B237" s="1522" t="s">
        <v>2220</v>
      </c>
      <c r="C237" s="2130"/>
      <c r="D237" s="2130"/>
      <c r="E237" s="2130"/>
      <c r="F237" s="2118">
        <v>0.05</v>
      </c>
    </row>
    <row r="238" spans="1:6" ht="24.75" thickBot="1">
      <c r="A238" s="1528" t="s">
        <v>1540</v>
      </c>
      <c r="B238" s="1522" t="s">
        <v>2221</v>
      </c>
      <c r="C238" s="2130"/>
      <c r="D238" s="2130"/>
      <c r="E238" s="2130"/>
      <c r="F238" s="2118">
        <v>0.05</v>
      </c>
    </row>
    <row r="239" spans="1:6" ht="24.75" thickBot="1">
      <c r="A239" s="1528" t="s">
        <v>1540</v>
      </c>
      <c r="B239" s="1522" t="s">
        <v>2222</v>
      </c>
      <c r="C239" s="2130"/>
      <c r="D239" s="2130"/>
      <c r="E239" s="2130"/>
      <c r="F239" s="2118">
        <v>0.05</v>
      </c>
    </row>
    <row r="240" spans="1:6" ht="24.75" thickBot="1">
      <c r="A240" s="1528" t="s">
        <v>1540</v>
      </c>
      <c r="B240" s="1522" t="s">
        <v>2223</v>
      </c>
      <c r="C240" s="2130"/>
      <c r="D240" s="2130"/>
      <c r="E240" s="2130"/>
      <c r="F240" s="2118">
        <v>0.05</v>
      </c>
    </row>
    <row r="241" spans="1:6" ht="24.75" thickBot="1">
      <c r="A241" s="1528" t="s">
        <v>1540</v>
      </c>
      <c r="B241" s="1522" t="s">
        <v>2224</v>
      </c>
      <c r="C241" s="2130"/>
      <c r="D241" s="2130"/>
      <c r="E241" s="2130"/>
      <c r="F241" s="2118">
        <v>0.05</v>
      </c>
    </row>
    <row r="242" spans="1:6" ht="24.75" thickBot="1">
      <c r="A242" s="1528" t="s">
        <v>1540</v>
      </c>
      <c r="B242" s="1522" t="s">
        <v>2225</v>
      </c>
      <c r="C242" s="2130"/>
      <c r="D242" s="2130"/>
      <c r="E242" s="2130"/>
      <c r="F242" s="2118">
        <v>0.05</v>
      </c>
    </row>
    <row r="243" spans="1:6" ht="24.75" thickBot="1">
      <c r="A243" s="1528" t="s">
        <v>1540</v>
      </c>
      <c r="B243" s="1522" t="s">
        <v>2226</v>
      </c>
      <c r="C243" s="2130"/>
      <c r="D243" s="2130"/>
      <c r="E243" s="2130"/>
      <c r="F243" s="2118">
        <v>0.05</v>
      </c>
    </row>
    <row r="244" spans="1:6" ht="24.75" thickBot="1">
      <c r="A244" s="1538" t="s">
        <v>1540</v>
      </c>
      <c r="B244" s="1534" t="s">
        <v>2227</v>
      </c>
      <c r="C244" s="2127"/>
      <c r="D244" s="2127"/>
      <c r="E244" s="2127"/>
      <c r="F244" s="2120">
        <v>0.05</v>
      </c>
    </row>
    <row r="245" spans="1:6" ht="14.25" thickBot="1">
      <c r="A245" s="1528" t="s">
        <v>1542</v>
      </c>
      <c r="B245" s="1529" t="s">
        <v>2228</v>
      </c>
      <c r="C245" s="2115">
        <v>0.15</v>
      </c>
      <c r="D245" s="2115">
        <v>0.15</v>
      </c>
      <c r="E245" s="2115">
        <v>0.15</v>
      </c>
      <c r="F245" s="2116">
        <v>0.14299999999999999</v>
      </c>
    </row>
    <row r="246" spans="1:6" ht="14.25" thickBot="1">
      <c r="A246" s="1528" t="s">
        <v>1542</v>
      </c>
      <c r="B246" s="1522" t="s">
        <v>1207</v>
      </c>
      <c r="C246" s="2117">
        <v>0.15</v>
      </c>
      <c r="D246" s="2117">
        <v>0.15</v>
      </c>
      <c r="E246" s="2117">
        <v>0.15</v>
      </c>
      <c r="F246" s="2118">
        <v>0.114</v>
      </c>
    </row>
    <row r="247" spans="1:6" ht="14.25" thickBot="1">
      <c r="A247" s="1528" t="s">
        <v>1542</v>
      </c>
      <c r="B247" s="1522" t="s">
        <v>2229</v>
      </c>
      <c r="C247" s="2117">
        <v>0.15</v>
      </c>
      <c r="D247" s="2117">
        <v>0.15</v>
      </c>
      <c r="E247" s="2117">
        <v>0.15</v>
      </c>
      <c r="F247" s="2118">
        <v>0.15</v>
      </c>
    </row>
    <row r="248" spans="1:6" ht="14.25" thickBot="1">
      <c r="A248" s="1528" t="s">
        <v>1542</v>
      </c>
      <c r="B248" s="1522" t="s">
        <v>2230</v>
      </c>
      <c r="C248" s="2117">
        <v>0.15</v>
      </c>
      <c r="D248" s="2117">
        <v>0.15</v>
      </c>
      <c r="E248" s="2117">
        <v>0.15</v>
      </c>
      <c r="F248" s="2118">
        <v>0.14000000000000001</v>
      </c>
    </row>
    <row r="249" spans="1:6" ht="14.25" thickBot="1">
      <c r="A249" s="1528" t="s">
        <v>1542</v>
      </c>
      <c r="B249" s="1522" t="s">
        <v>2231</v>
      </c>
      <c r="C249" s="2117">
        <v>0.15</v>
      </c>
      <c r="D249" s="2117">
        <v>0.14899999999999999</v>
      </c>
      <c r="E249" s="2117">
        <v>0.15</v>
      </c>
      <c r="F249" s="2118">
        <v>0.1</v>
      </c>
    </row>
    <row r="250" spans="1:6" ht="14.25" thickBot="1">
      <c r="A250" s="1528" t="s">
        <v>1542</v>
      </c>
      <c r="B250" s="1522" t="s">
        <v>2232</v>
      </c>
      <c r="C250" s="2117">
        <v>0.15</v>
      </c>
      <c r="D250" s="2117">
        <v>0.15</v>
      </c>
      <c r="E250" s="2117">
        <v>0.15</v>
      </c>
      <c r="F250" s="2118">
        <v>0.14399999999999999</v>
      </c>
    </row>
    <row r="251" spans="1:6" ht="14.25" thickBot="1">
      <c r="A251" s="1528" t="s">
        <v>1542</v>
      </c>
      <c r="B251" s="1522" t="s">
        <v>1267</v>
      </c>
      <c r="C251" s="2117">
        <v>0.15</v>
      </c>
      <c r="D251" s="2117">
        <v>0.15</v>
      </c>
      <c r="E251" s="2117">
        <v>0.15</v>
      </c>
      <c r="F251" s="2118">
        <v>0.14299999999999999</v>
      </c>
    </row>
    <row r="252" spans="1:6" ht="14.25" thickBot="1">
      <c r="A252" s="1528" t="s">
        <v>1542</v>
      </c>
      <c r="B252" s="1522" t="s">
        <v>1278</v>
      </c>
      <c r="C252" s="2117">
        <v>0.15</v>
      </c>
      <c r="D252" s="2117">
        <v>0.15</v>
      </c>
      <c r="E252" s="2117">
        <v>0.15</v>
      </c>
      <c r="F252" s="2118">
        <v>0.1</v>
      </c>
    </row>
    <row r="253" spans="1:6" ht="14.25" thickBot="1">
      <c r="A253" s="1528" t="s">
        <v>1542</v>
      </c>
      <c r="B253" s="1522" t="s">
        <v>1290</v>
      </c>
      <c r="C253" s="2117">
        <v>0.15</v>
      </c>
      <c r="D253" s="2117">
        <v>0.15</v>
      </c>
      <c r="E253" s="2117">
        <v>0.15</v>
      </c>
      <c r="F253" s="2118">
        <v>0.1</v>
      </c>
    </row>
    <row r="254" spans="1:6" ht="14.25" thickBot="1">
      <c r="A254" s="1528" t="s">
        <v>1542</v>
      </c>
      <c r="B254" s="1522" t="s">
        <v>1300</v>
      </c>
      <c r="C254" s="2130"/>
      <c r="D254" s="2130"/>
      <c r="E254" s="2130"/>
      <c r="F254" s="2118">
        <v>0.15</v>
      </c>
    </row>
    <row r="255" spans="1:6" ht="14.25" thickBot="1">
      <c r="A255" s="1528" t="s">
        <v>1542</v>
      </c>
      <c r="B255" s="1522" t="s">
        <v>1310</v>
      </c>
      <c r="C255" s="2130"/>
      <c r="D255" s="2130"/>
      <c r="E255" s="2130"/>
      <c r="F255" s="2118">
        <v>0.14299999999999999</v>
      </c>
    </row>
    <row r="256" spans="1:6" ht="14.25" thickBot="1">
      <c r="A256" s="1528" t="s">
        <v>1542</v>
      </c>
      <c r="B256" s="1522" t="s">
        <v>2233</v>
      </c>
      <c r="C256" s="2117">
        <v>0.14599999999999999</v>
      </c>
      <c r="D256" s="2117">
        <v>0.14699999999999999</v>
      </c>
      <c r="E256" s="2117">
        <v>0.15</v>
      </c>
      <c r="F256" s="2118">
        <v>0.13200000000000001</v>
      </c>
    </row>
    <row r="257" spans="1:6" ht="14.25" thickBot="1">
      <c r="A257" s="1528" t="s">
        <v>1542</v>
      </c>
      <c r="B257" s="1522" t="s">
        <v>1330</v>
      </c>
      <c r="C257" s="2117">
        <v>0.15</v>
      </c>
      <c r="D257" s="2117">
        <v>0.15</v>
      </c>
      <c r="E257" s="2117">
        <v>0.15</v>
      </c>
      <c r="F257" s="2118">
        <v>0.13900000000000001</v>
      </c>
    </row>
    <row r="258" spans="1:6" ht="14.25" thickBot="1">
      <c r="A258" s="1528" t="s">
        <v>1542</v>
      </c>
      <c r="B258" s="1522" t="s">
        <v>1341</v>
      </c>
      <c r="C258" s="2117">
        <v>0.15</v>
      </c>
      <c r="D258" s="2117">
        <v>0.15</v>
      </c>
      <c r="E258" s="2117">
        <v>0.15</v>
      </c>
      <c r="F258" s="2118">
        <v>0.13</v>
      </c>
    </row>
    <row r="259" spans="1:6" ht="14.25" thickBot="1">
      <c r="A259" s="1528" t="s">
        <v>1542</v>
      </c>
      <c r="B259" s="1522" t="s">
        <v>2234</v>
      </c>
      <c r="C259" s="2117">
        <v>0.14799999999999999</v>
      </c>
      <c r="D259" s="2117">
        <v>0.14899999999999999</v>
      </c>
      <c r="E259" s="2117">
        <v>0.15</v>
      </c>
      <c r="F259" s="2118">
        <v>0.13700000000000001</v>
      </c>
    </row>
    <row r="260" spans="1:6" ht="14.25" thickBot="1">
      <c r="A260" s="1528" t="s">
        <v>1542</v>
      </c>
      <c r="B260" s="1522" t="s">
        <v>1362</v>
      </c>
      <c r="C260" s="2117">
        <v>0.15</v>
      </c>
      <c r="D260" s="2117">
        <v>0.15</v>
      </c>
      <c r="E260" s="2117">
        <v>0.15</v>
      </c>
      <c r="F260" s="2118">
        <v>0.14199999999999999</v>
      </c>
    </row>
    <row r="261" spans="1:6" ht="14.25" thickBot="1">
      <c r="A261" s="1528" t="s">
        <v>1542</v>
      </c>
      <c r="B261" s="1522" t="s">
        <v>1372</v>
      </c>
      <c r="C261" s="2117">
        <v>0.15</v>
      </c>
      <c r="D261" s="2117">
        <v>0.15</v>
      </c>
      <c r="E261" s="2117">
        <v>0.14899999999999999</v>
      </c>
      <c r="F261" s="2118">
        <v>0.14799999999999999</v>
      </c>
    </row>
    <row r="262" spans="1:6" ht="14.25" thickBot="1">
      <c r="A262" s="1528" t="s">
        <v>1542</v>
      </c>
      <c r="B262" s="1522" t="s">
        <v>1382</v>
      </c>
      <c r="C262" s="2117">
        <v>0.15</v>
      </c>
      <c r="D262" s="2117">
        <v>0.15</v>
      </c>
      <c r="E262" s="2117">
        <v>0.15</v>
      </c>
      <c r="F262" s="2129"/>
    </row>
    <row r="263" spans="1:6" ht="14.25" thickBot="1">
      <c r="A263" s="1528" t="s">
        <v>1542</v>
      </c>
      <c r="B263" s="1522" t="s">
        <v>2235</v>
      </c>
      <c r="C263" s="2117">
        <v>0.14899999999999999</v>
      </c>
      <c r="D263" s="2117">
        <v>0.14899999999999999</v>
      </c>
      <c r="E263" s="2117">
        <v>0.15</v>
      </c>
      <c r="F263" s="2118">
        <v>0.13</v>
      </c>
    </row>
    <row r="264" spans="1:6" ht="14.25" thickBot="1">
      <c r="A264" s="1528" t="s">
        <v>1542</v>
      </c>
      <c r="B264" s="1522" t="s">
        <v>1401</v>
      </c>
      <c r="C264" s="2117">
        <v>0.14799999999999999</v>
      </c>
      <c r="D264" s="2117">
        <v>0.14699999999999999</v>
      </c>
      <c r="E264" s="2117">
        <v>0.15</v>
      </c>
      <c r="F264" s="2118">
        <v>7.8E-2</v>
      </c>
    </row>
    <row r="265" spans="1:6" ht="14.25" thickBot="1">
      <c r="A265" s="1528" t="s">
        <v>1542</v>
      </c>
      <c r="B265" s="1522" t="s">
        <v>1410</v>
      </c>
      <c r="C265" s="2117">
        <v>0.15</v>
      </c>
      <c r="D265" s="2117">
        <v>0.15</v>
      </c>
      <c r="E265" s="2117">
        <v>0.15</v>
      </c>
      <c r="F265" s="2118">
        <v>7.3999999999999996E-2</v>
      </c>
    </row>
    <row r="266" spans="1:6" ht="14.25" thickBot="1">
      <c r="A266" s="1528" t="s">
        <v>1542</v>
      </c>
      <c r="B266" s="1522" t="s">
        <v>1418</v>
      </c>
      <c r="C266" s="2117">
        <v>0.14699999999999999</v>
      </c>
      <c r="D266" s="2117">
        <v>0.14699999999999999</v>
      </c>
      <c r="E266" s="2117">
        <v>0.15</v>
      </c>
      <c r="F266" s="2118">
        <v>0.14299999999999999</v>
      </c>
    </row>
    <row r="267" spans="1:6" ht="14.25" thickBot="1">
      <c r="A267" s="1528" t="s">
        <v>1542</v>
      </c>
      <c r="B267" s="1522" t="s">
        <v>1425</v>
      </c>
      <c r="C267" s="2117">
        <v>0.14199999999999999</v>
      </c>
      <c r="D267" s="2117">
        <v>0.14299999999999999</v>
      </c>
      <c r="E267" s="2117">
        <v>0.15</v>
      </c>
      <c r="F267" s="2129"/>
    </row>
    <row r="268" spans="1:6" ht="14.25" thickBot="1">
      <c r="A268" s="1528" t="s">
        <v>1542</v>
      </c>
      <c r="B268" s="1522" t="s">
        <v>2236</v>
      </c>
      <c r="C268" s="2117">
        <v>0.15</v>
      </c>
      <c r="D268" s="2117">
        <v>0.15</v>
      </c>
      <c r="E268" s="2117">
        <v>0.15</v>
      </c>
      <c r="F268" s="2118">
        <v>0.13</v>
      </c>
    </row>
    <row r="269" spans="1:6" ht="14.25" thickBot="1">
      <c r="A269" s="1528" t="s">
        <v>1542</v>
      </c>
      <c r="B269" s="1522" t="s">
        <v>1439</v>
      </c>
      <c r="C269" s="2117">
        <v>0.15</v>
      </c>
      <c r="D269" s="2117">
        <v>0.15</v>
      </c>
      <c r="E269" s="2117">
        <v>0.15</v>
      </c>
      <c r="F269" s="2118">
        <v>0.14299999999999999</v>
      </c>
    </row>
    <row r="270" spans="1:6" ht="14.25" thickBot="1">
      <c r="A270" s="1528" t="s">
        <v>1542</v>
      </c>
      <c r="B270" s="1522" t="s">
        <v>1446</v>
      </c>
      <c r="C270" s="2117">
        <v>0.14499999999999999</v>
      </c>
      <c r="D270" s="2117">
        <v>0.14499999999999999</v>
      </c>
      <c r="E270" s="2117">
        <v>0.15</v>
      </c>
      <c r="F270" s="2118">
        <v>0.14699999999999999</v>
      </c>
    </row>
    <row r="271" spans="1:6" ht="14.25" thickBot="1">
      <c r="A271" s="1528" t="s">
        <v>1542</v>
      </c>
      <c r="B271" s="1522" t="s">
        <v>1453</v>
      </c>
      <c r="C271" s="2117">
        <v>0.15</v>
      </c>
      <c r="D271" s="2117">
        <v>0.15</v>
      </c>
      <c r="E271" s="2117">
        <v>0.15</v>
      </c>
      <c r="F271" s="2118">
        <v>0.13800000000000001</v>
      </c>
    </row>
    <row r="272" spans="1:6" ht="14.25" thickBot="1">
      <c r="A272" s="1528" t="s">
        <v>1542</v>
      </c>
      <c r="B272" s="1522" t="s">
        <v>1460</v>
      </c>
      <c r="C272" s="2130"/>
      <c r="D272" s="2130"/>
      <c r="E272" s="2130"/>
      <c r="F272" s="2118">
        <v>0.14000000000000001</v>
      </c>
    </row>
    <row r="273" spans="1:6" ht="14.25" thickBot="1">
      <c r="A273" s="1528" t="s">
        <v>1542</v>
      </c>
      <c r="B273" s="1522" t="s">
        <v>2237</v>
      </c>
      <c r="C273" s="2117">
        <v>0.14199999999999999</v>
      </c>
      <c r="D273" s="2117">
        <v>0.14299999999999999</v>
      </c>
      <c r="E273" s="2117">
        <v>0.15</v>
      </c>
      <c r="F273" s="2118">
        <v>0.1</v>
      </c>
    </row>
    <row r="274" spans="1:6" ht="14.25" thickBot="1">
      <c r="A274" s="1528" t="s">
        <v>1542</v>
      </c>
      <c r="B274" s="1522" t="s">
        <v>2238</v>
      </c>
      <c r="C274" s="2117">
        <v>0.14799999999999999</v>
      </c>
      <c r="D274" s="2117">
        <v>0.14799999999999999</v>
      </c>
      <c r="E274" s="2117">
        <v>0.15</v>
      </c>
      <c r="F274" s="2118">
        <v>6.7000000000000004E-2</v>
      </c>
    </row>
    <row r="275" spans="1:6" ht="14.25" thickBot="1">
      <c r="A275" s="1528" t="s">
        <v>1542</v>
      </c>
      <c r="B275" s="1522" t="s">
        <v>2239</v>
      </c>
      <c r="C275" s="2117">
        <v>0.15</v>
      </c>
      <c r="D275" s="2117">
        <v>0.15</v>
      </c>
      <c r="E275" s="2117">
        <v>0.15</v>
      </c>
      <c r="F275" s="2118">
        <v>0.15</v>
      </c>
    </row>
    <row r="276" spans="1:6" ht="14.25" thickBot="1">
      <c r="A276" s="1528" t="s">
        <v>1542</v>
      </c>
      <c r="B276" s="1522" t="s">
        <v>2240</v>
      </c>
      <c r="C276" s="2117">
        <v>0.14499999999999999</v>
      </c>
      <c r="D276" s="2117">
        <v>0.14299999999999999</v>
      </c>
      <c r="E276" s="2117">
        <v>0.15</v>
      </c>
      <c r="F276" s="2118">
        <v>5.8999999999999997E-2</v>
      </c>
    </row>
    <row r="277" spans="1:6" ht="14.25" thickBot="1">
      <c r="A277" s="1528" t="s">
        <v>1542</v>
      </c>
      <c r="B277" s="1522" t="s">
        <v>2241</v>
      </c>
      <c r="C277" s="2117">
        <v>0.15</v>
      </c>
      <c r="D277" s="2117">
        <v>0.15</v>
      </c>
      <c r="E277" s="2117">
        <v>0.15</v>
      </c>
      <c r="F277" s="2118">
        <v>0.121</v>
      </c>
    </row>
    <row r="278" spans="1:6" ht="14.25" thickBot="1">
      <c r="A278" s="1528" t="s">
        <v>1542</v>
      </c>
      <c r="B278" s="1522" t="s">
        <v>2242</v>
      </c>
      <c r="C278" s="2117">
        <v>0.15</v>
      </c>
      <c r="D278" s="2117">
        <v>0.15</v>
      </c>
      <c r="E278" s="2117">
        <v>0.15</v>
      </c>
      <c r="F278" s="2118">
        <v>0.13800000000000001</v>
      </c>
    </row>
    <row r="279" spans="1:6" ht="24.75" thickBot="1">
      <c r="A279" s="1528" t="s">
        <v>1542</v>
      </c>
      <c r="B279" s="1522" t="s">
        <v>2243</v>
      </c>
      <c r="C279" s="2130"/>
      <c r="D279" s="2130"/>
      <c r="E279" s="2130"/>
      <c r="F279" s="2118">
        <v>0.05</v>
      </c>
    </row>
    <row r="280" spans="1:6" ht="24.75" thickBot="1">
      <c r="A280" s="1528" t="s">
        <v>1542</v>
      </c>
      <c r="B280" s="1522" t="s">
        <v>2244</v>
      </c>
      <c r="C280" s="2130"/>
      <c r="D280" s="2130"/>
      <c r="E280" s="2130"/>
      <c r="F280" s="2118">
        <v>0.05</v>
      </c>
    </row>
    <row r="281" spans="1:6" ht="24.75" thickBot="1">
      <c r="A281" s="1528" t="s">
        <v>1542</v>
      </c>
      <c r="B281" s="1522" t="s">
        <v>2245</v>
      </c>
      <c r="C281" s="2130"/>
      <c r="D281" s="2130"/>
      <c r="E281" s="2130"/>
      <c r="F281" s="2118">
        <v>0.05</v>
      </c>
    </row>
    <row r="282" spans="1:6" ht="24.75" thickBot="1">
      <c r="A282" s="1528" t="s">
        <v>1542</v>
      </c>
      <c r="B282" s="1522" t="s">
        <v>2246</v>
      </c>
      <c r="C282" s="2130"/>
      <c r="D282" s="2130"/>
      <c r="E282" s="2130"/>
      <c r="F282" s="2118">
        <v>0.05</v>
      </c>
    </row>
    <row r="283" spans="1:6" ht="24.75" thickBot="1">
      <c r="A283" s="1528" t="s">
        <v>1542</v>
      </c>
      <c r="B283" s="1522" t="s">
        <v>2247</v>
      </c>
      <c r="C283" s="2130"/>
      <c r="D283" s="2130"/>
      <c r="E283" s="2130"/>
      <c r="F283" s="2118">
        <v>0.05</v>
      </c>
    </row>
    <row r="284" spans="1:6" ht="24.75" thickBot="1">
      <c r="A284" s="1528" t="s">
        <v>1542</v>
      </c>
      <c r="B284" s="1522" t="s">
        <v>2248</v>
      </c>
      <c r="C284" s="2130"/>
      <c r="D284" s="2130"/>
      <c r="E284" s="2130"/>
      <c r="F284" s="2118">
        <v>0.05</v>
      </c>
    </row>
    <row r="285" spans="1:6" ht="24.75" thickBot="1">
      <c r="A285" s="1528" t="s">
        <v>1542</v>
      </c>
      <c r="B285" s="1522" t="s">
        <v>2249</v>
      </c>
      <c r="C285" s="2130"/>
      <c r="D285" s="2130"/>
      <c r="E285" s="2130"/>
      <c r="F285" s="2118">
        <v>0.05</v>
      </c>
    </row>
    <row r="286" spans="1:6" ht="24.75" thickBot="1">
      <c r="A286" s="1528" t="s">
        <v>1542</v>
      </c>
      <c r="B286" s="1522" t="s">
        <v>2250</v>
      </c>
      <c r="C286" s="2130"/>
      <c r="D286" s="2130"/>
      <c r="E286" s="2130"/>
      <c r="F286" s="2118">
        <v>0.05</v>
      </c>
    </row>
    <row r="287" spans="1:6" ht="24.75" thickBot="1">
      <c r="A287" s="1528" t="s">
        <v>1542</v>
      </c>
      <c r="B287" s="1522" t="s">
        <v>2251</v>
      </c>
      <c r="C287" s="2130"/>
      <c r="D287" s="2130"/>
      <c r="E287" s="2130"/>
      <c r="F287" s="2118">
        <v>0.05</v>
      </c>
    </row>
    <row r="288" spans="1:6" ht="24.75" thickBot="1">
      <c r="A288" s="1528" t="s">
        <v>1542</v>
      </c>
      <c r="B288" s="1522" t="s">
        <v>2252</v>
      </c>
      <c r="C288" s="2130"/>
      <c r="D288" s="2130"/>
      <c r="E288" s="2130"/>
      <c r="F288" s="2118">
        <v>0.05</v>
      </c>
    </row>
    <row r="289" spans="1:6" ht="24.75" thickBot="1">
      <c r="A289" s="1538" t="s">
        <v>1542</v>
      </c>
      <c r="B289" s="1534" t="s">
        <v>2253</v>
      </c>
      <c r="C289" s="2127"/>
      <c r="D289" s="2127"/>
      <c r="E289" s="2127"/>
      <c r="F289" s="2120">
        <v>0.05</v>
      </c>
    </row>
    <row r="290" spans="1:6" ht="14.25" thickBot="1">
      <c r="A290" s="1528" t="s">
        <v>1546</v>
      </c>
      <c r="B290" s="1529" t="s">
        <v>2254</v>
      </c>
      <c r="C290" s="2115">
        <v>0.15</v>
      </c>
      <c r="D290" s="2115">
        <v>0.15</v>
      </c>
      <c r="E290" s="2115">
        <v>0.15</v>
      </c>
      <c r="F290" s="2132"/>
    </row>
    <row r="291" spans="1:6" ht="14.25" thickBot="1">
      <c r="A291" s="1528" t="s">
        <v>1546</v>
      </c>
      <c r="B291" s="1522" t="s">
        <v>1208</v>
      </c>
      <c r="C291" s="2117">
        <v>0.15</v>
      </c>
      <c r="D291" s="2117">
        <v>0.15</v>
      </c>
      <c r="E291" s="2117">
        <v>0.15</v>
      </c>
      <c r="F291" s="2129"/>
    </row>
    <row r="292" spans="1:6" ht="14.25" thickBot="1">
      <c r="A292" s="1528" t="s">
        <v>1546</v>
      </c>
      <c r="B292" s="1522" t="s">
        <v>2255</v>
      </c>
      <c r="C292" s="2117">
        <v>0.15</v>
      </c>
      <c r="D292" s="2117">
        <v>0.15</v>
      </c>
      <c r="E292" s="2117">
        <v>0.15</v>
      </c>
      <c r="F292" s="2118">
        <v>0.14699999999999999</v>
      </c>
    </row>
    <row r="293" spans="1:6" ht="14.25" thickBot="1">
      <c r="A293" s="1528" t="s">
        <v>1546</v>
      </c>
      <c r="B293" s="1522" t="s">
        <v>2256</v>
      </c>
      <c r="C293" s="2130"/>
      <c r="D293" s="2130"/>
      <c r="E293" s="2130"/>
      <c r="F293" s="2118">
        <v>0.1</v>
      </c>
    </row>
    <row r="294" spans="1:6" ht="14.25" thickBot="1">
      <c r="A294" s="1528" t="s">
        <v>1546</v>
      </c>
      <c r="B294" s="1522" t="s">
        <v>2257</v>
      </c>
      <c r="C294" s="2117">
        <v>0.15</v>
      </c>
      <c r="D294" s="2117">
        <v>0.15</v>
      </c>
      <c r="E294" s="2117">
        <v>0.15</v>
      </c>
      <c r="F294" s="2118">
        <v>0.15</v>
      </c>
    </row>
    <row r="295" spans="1:6" ht="14.25" thickBot="1">
      <c r="A295" s="1528" t="s">
        <v>1546</v>
      </c>
      <c r="B295" s="1522" t="s">
        <v>1246</v>
      </c>
      <c r="C295" s="2117">
        <v>0.15</v>
      </c>
      <c r="D295" s="2117">
        <v>0.15</v>
      </c>
      <c r="E295" s="2117">
        <v>0.15</v>
      </c>
      <c r="F295" s="2118">
        <v>0.15</v>
      </c>
    </row>
    <row r="296" spans="1:6" ht="14.25" thickBot="1">
      <c r="A296" s="1528" t="s">
        <v>1546</v>
      </c>
      <c r="B296" s="1522" t="s">
        <v>2258</v>
      </c>
      <c r="C296" s="2117">
        <v>0.15</v>
      </c>
      <c r="D296" s="2117">
        <v>0.15</v>
      </c>
      <c r="E296" s="2117">
        <v>0.15</v>
      </c>
      <c r="F296" s="2118">
        <v>0.15</v>
      </c>
    </row>
    <row r="297" spans="1:6" ht="14.25" thickBot="1">
      <c r="A297" s="1528" t="s">
        <v>1546</v>
      </c>
      <c r="B297" s="1522" t="s">
        <v>2259</v>
      </c>
      <c r="C297" s="2117">
        <v>0.14799999999999999</v>
      </c>
      <c r="D297" s="2117">
        <v>0.14899999999999999</v>
      </c>
      <c r="E297" s="2117">
        <v>0.15</v>
      </c>
      <c r="F297" s="2118">
        <v>0.13700000000000001</v>
      </c>
    </row>
    <row r="298" spans="1:6" ht="14.25" thickBot="1">
      <c r="A298" s="1528" t="s">
        <v>1546</v>
      </c>
      <c r="B298" s="1522" t="s">
        <v>1279</v>
      </c>
      <c r="C298" s="2117">
        <v>0.13400000000000001</v>
      </c>
      <c r="D298" s="2117">
        <v>0.13400000000000001</v>
      </c>
      <c r="E298" s="2117">
        <v>0.14499999999999999</v>
      </c>
      <c r="F298" s="2118">
        <v>0.14799999999999999</v>
      </c>
    </row>
    <row r="299" spans="1:6" ht="14.25" thickBot="1">
      <c r="A299" s="1528" t="s">
        <v>1546</v>
      </c>
      <c r="B299" s="1522" t="s">
        <v>1291</v>
      </c>
      <c r="C299" s="2117">
        <v>0.15</v>
      </c>
      <c r="D299" s="2117">
        <v>0.15</v>
      </c>
      <c r="E299" s="2117">
        <v>0.15</v>
      </c>
      <c r="F299" s="2129"/>
    </row>
    <row r="300" spans="1:6" ht="14.25" thickBot="1">
      <c r="A300" s="1528" t="s">
        <v>1546</v>
      </c>
      <c r="B300" s="1522" t="s">
        <v>2260</v>
      </c>
      <c r="C300" s="2117">
        <v>0.15</v>
      </c>
      <c r="D300" s="2117">
        <v>0.15</v>
      </c>
      <c r="E300" s="2117">
        <v>0.15</v>
      </c>
      <c r="F300" s="2118">
        <v>0.15</v>
      </c>
    </row>
    <row r="301" spans="1:6" ht="14.25" thickBot="1">
      <c r="A301" s="1528" t="s">
        <v>1546</v>
      </c>
      <c r="B301" s="1522" t="s">
        <v>1311</v>
      </c>
      <c r="C301" s="2117">
        <v>0.15</v>
      </c>
      <c r="D301" s="2117">
        <v>0.15</v>
      </c>
      <c r="E301" s="2117">
        <v>0.15</v>
      </c>
      <c r="F301" s="2129"/>
    </row>
    <row r="302" spans="1:6" ht="14.25" thickBot="1">
      <c r="A302" s="1528" t="s">
        <v>1546</v>
      </c>
      <c r="B302" s="1522" t="s">
        <v>2261</v>
      </c>
      <c r="C302" s="2117">
        <v>0.15</v>
      </c>
      <c r="D302" s="2117">
        <v>0.15</v>
      </c>
      <c r="E302" s="2117">
        <v>0.15</v>
      </c>
      <c r="F302" s="2118">
        <v>0.15</v>
      </c>
    </row>
    <row r="303" spans="1:6" ht="14.25" thickBot="1">
      <c r="A303" s="1528" t="s">
        <v>1546</v>
      </c>
      <c r="B303" s="1522" t="s">
        <v>1331</v>
      </c>
      <c r="C303" s="2117">
        <v>0.15</v>
      </c>
      <c r="D303" s="2117">
        <v>0.15</v>
      </c>
      <c r="E303" s="2117">
        <v>0.15</v>
      </c>
      <c r="F303" s="2118">
        <v>0.15</v>
      </c>
    </row>
    <row r="304" spans="1:6" ht="14.25" thickBot="1">
      <c r="A304" s="1528" t="s">
        <v>1546</v>
      </c>
      <c r="B304" s="1522" t="s">
        <v>1342</v>
      </c>
      <c r="C304" s="2117">
        <v>0.15</v>
      </c>
      <c r="D304" s="2117">
        <v>0.15</v>
      </c>
      <c r="E304" s="2117">
        <v>0.15</v>
      </c>
      <c r="F304" s="2129"/>
    </row>
    <row r="305" spans="1:6" ht="14.25" thickBot="1">
      <c r="A305" s="1528" t="s">
        <v>1546</v>
      </c>
      <c r="B305" s="1522" t="s">
        <v>2262</v>
      </c>
      <c r="C305" s="2117">
        <v>0.15</v>
      </c>
      <c r="D305" s="2117">
        <v>0.15</v>
      </c>
      <c r="E305" s="2117">
        <v>0.15</v>
      </c>
      <c r="F305" s="2118">
        <v>0.14000000000000001</v>
      </c>
    </row>
    <row r="306" spans="1:6" ht="14.25" thickBot="1">
      <c r="A306" s="1528" t="s">
        <v>1546</v>
      </c>
      <c r="B306" s="1522" t="s">
        <v>1363</v>
      </c>
      <c r="C306" s="2117">
        <v>0.15</v>
      </c>
      <c r="D306" s="2117">
        <v>0.15</v>
      </c>
      <c r="E306" s="2117">
        <v>0.15</v>
      </c>
      <c r="F306" s="2129"/>
    </row>
    <row r="307" spans="1:6" ht="14.25" thickBot="1">
      <c r="A307" s="1528" t="s">
        <v>1546</v>
      </c>
      <c r="B307" s="1522" t="s">
        <v>2263</v>
      </c>
      <c r="C307" s="2117">
        <v>0.15</v>
      </c>
      <c r="D307" s="2117">
        <v>0.15</v>
      </c>
      <c r="E307" s="2117">
        <v>0.15</v>
      </c>
      <c r="F307" s="2118">
        <v>0.14299999999999999</v>
      </c>
    </row>
    <row r="308" spans="1:6" ht="14.25" thickBot="1">
      <c r="A308" s="1528" t="s">
        <v>1546</v>
      </c>
      <c r="B308" s="1522" t="s">
        <v>1383</v>
      </c>
      <c r="C308" s="2117">
        <v>0.15</v>
      </c>
      <c r="D308" s="2117">
        <v>0.15</v>
      </c>
      <c r="E308" s="2117">
        <v>0.15</v>
      </c>
      <c r="F308" s="2118">
        <v>0.15</v>
      </c>
    </row>
    <row r="309" spans="1:6" ht="14.25" thickBot="1">
      <c r="A309" s="1528" t="s">
        <v>1546</v>
      </c>
      <c r="B309" s="1522" t="s">
        <v>1393</v>
      </c>
      <c r="C309" s="2117">
        <v>0.15</v>
      </c>
      <c r="D309" s="2117">
        <v>0.15</v>
      </c>
      <c r="E309" s="2117">
        <v>0.15</v>
      </c>
      <c r="F309" s="2129"/>
    </row>
    <row r="310" spans="1:6" ht="14.25" thickBot="1">
      <c r="A310" s="1528" t="s">
        <v>1546</v>
      </c>
      <c r="B310" s="1522" t="s">
        <v>2264</v>
      </c>
      <c r="C310" s="2117">
        <v>0.15</v>
      </c>
      <c r="D310" s="2117">
        <v>0.15</v>
      </c>
      <c r="E310" s="2117">
        <v>0.15</v>
      </c>
      <c r="F310" s="2118">
        <v>0.13700000000000001</v>
      </c>
    </row>
    <row r="311" spans="1:6" ht="14.25" thickBot="1">
      <c r="A311" s="1528" t="s">
        <v>1546</v>
      </c>
      <c r="B311" s="1522" t="s">
        <v>2265</v>
      </c>
      <c r="C311" s="2117">
        <v>0.15</v>
      </c>
      <c r="D311" s="2117">
        <v>0.15</v>
      </c>
      <c r="E311" s="2117">
        <v>0.15</v>
      </c>
      <c r="F311" s="2118">
        <v>0.15</v>
      </c>
    </row>
    <row r="312" spans="1:6" ht="14.25" thickBot="1">
      <c r="A312" s="1528" t="s">
        <v>1546</v>
      </c>
      <c r="B312" s="1522" t="s">
        <v>1419</v>
      </c>
      <c r="C312" s="2117">
        <v>0.15</v>
      </c>
      <c r="D312" s="2117">
        <v>0.15</v>
      </c>
      <c r="E312" s="2117">
        <v>0.15</v>
      </c>
      <c r="F312" s="2118">
        <v>0.1</v>
      </c>
    </row>
    <row r="313" spans="1:6" ht="14.25" thickBot="1">
      <c r="A313" s="1528" t="s">
        <v>1546</v>
      </c>
      <c r="B313" s="1522" t="s">
        <v>2266</v>
      </c>
      <c r="C313" s="2117">
        <v>0.15</v>
      </c>
      <c r="D313" s="2117">
        <v>0.15</v>
      </c>
      <c r="E313" s="2117">
        <v>0.15</v>
      </c>
      <c r="F313" s="2118">
        <v>0.15</v>
      </c>
    </row>
    <row r="314" spans="1:6" ht="24.75" thickBot="1">
      <c r="A314" s="1528" t="s">
        <v>1546</v>
      </c>
      <c r="B314" s="1522" t="s">
        <v>2267</v>
      </c>
      <c r="C314" s="2130"/>
      <c r="D314" s="2130"/>
      <c r="E314" s="2130"/>
      <c r="F314" s="2118">
        <v>0.05</v>
      </c>
    </row>
    <row r="315" spans="1:6" ht="24.75" thickBot="1">
      <c r="A315" s="1528" t="s">
        <v>1546</v>
      </c>
      <c r="B315" s="1522" t="s">
        <v>2268</v>
      </c>
      <c r="C315" s="2130"/>
      <c r="D315" s="2130"/>
      <c r="E315" s="2130"/>
      <c r="F315" s="2118">
        <v>0.05</v>
      </c>
    </row>
    <row r="316" spans="1:6" ht="24.75" thickBot="1">
      <c r="A316" s="1538" t="s">
        <v>1546</v>
      </c>
      <c r="B316" s="1534" t="s">
        <v>2269</v>
      </c>
      <c r="C316" s="2127"/>
      <c r="D316" s="2127"/>
      <c r="E316" s="2127"/>
      <c r="F316" s="2120">
        <v>0.05</v>
      </c>
    </row>
    <row r="317" spans="1:6" ht="14.25" thickBot="1">
      <c r="A317" s="1528" t="s">
        <v>2270</v>
      </c>
      <c r="B317" s="1529" t="s">
        <v>2271</v>
      </c>
      <c r="C317" s="2115">
        <v>0.15</v>
      </c>
      <c r="D317" s="2115">
        <v>0.15</v>
      </c>
      <c r="E317" s="2115">
        <v>0.15</v>
      </c>
      <c r="F317" s="2116">
        <v>0.15</v>
      </c>
    </row>
    <row r="318" spans="1:6" ht="14.25" thickBot="1">
      <c r="A318" s="1528" t="s">
        <v>2270</v>
      </c>
      <c r="B318" s="1522" t="s">
        <v>2272</v>
      </c>
      <c r="C318" s="2117">
        <v>0.107</v>
      </c>
      <c r="D318" s="2117">
        <v>0.11</v>
      </c>
      <c r="E318" s="2117">
        <v>0.112</v>
      </c>
      <c r="F318" s="2129"/>
    </row>
    <row r="319" spans="1:6" ht="14.25" thickBot="1">
      <c r="A319" s="1528" t="s">
        <v>2270</v>
      </c>
      <c r="B319" s="1522" t="s">
        <v>2273</v>
      </c>
      <c r="C319" s="2117">
        <v>0.15</v>
      </c>
      <c r="D319" s="2117">
        <v>0.15</v>
      </c>
      <c r="E319" s="2117">
        <v>0.15</v>
      </c>
      <c r="F319" s="2118">
        <v>0.15</v>
      </c>
    </row>
    <row r="320" spans="1:6" ht="14.25" thickBot="1">
      <c r="A320" s="1528" t="s">
        <v>2270</v>
      </c>
      <c r="B320" s="1522" t="s">
        <v>1235</v>
      </c>
      <c r="C320" s="2117">
        <v>0.15</v>
      </c>
      <c r="D320" s="2117">
        <v>0.15</v>
      </c>
      <c r="E320" s="2117">
        <v>0.15</v>
      </c>
      <c r="F320" s="2129"/>
    </row>
    <row r="321" spans="1:6" ht="14.25" thickBot="1">
      <c r="A321" s="1528" t="s">
        <v>2270</v>
      </c>
      <c r="B321" s="1522" t="s">
        <v>2274</v>
      </c>
      <c r="C321" s="2117">
        <v>0.15</v>
      </c>
      <c r="D321" s="2117">
        <v>0.15</v>
      </c>
      <c r="E321" s="2117">
        <v>0.15</v>
      </c>
      <c r="F321" s="2129"/>
    </row>
    <row r="322" spans="1:6" ht="14.25" thickBot="1">
      <c r="A322" s="1528" t="s">
        <v>2270</v>
      </c>
      <c r="B322" s="1522" t="s">
        <v>2275</v>
      </c>
      <c r="C322" s="2117">
        <v>0.15</v>
      </c>
      <c r="D322" s="2117">
        <v>0.15</v>
      </c>
      <c r="E322" s="2117">
        <v>0.15</v>
      </c>
      <c r="F322" s="2118">
        <v>0.15</v>
      </c>
    </row>
    <row r="323" spans="1:6" ht="14.25" thickBot="1">
      <c r="A323" s="1528" t="s">
        <v>2270</v>
      </c>
      <c r="B323" s="1522" t="s">
        <v>2276</v>
      </c>
      <c r="C323" s="2117">
        <v>0.15</v>
      </c>
      <c r="D323" s="2117">
        <v>0.15</v>
      </c>
      <c r="E323" s="2117">
        <v>0.15</v>
      </c>
      <c r="F323" s="2129"/>
    </row>
    <row r="324" spans="1:6" ht="14.25" thickBot="1">
      <c r="A324" s="1528" t="s">
        <v>2270</v>
      </c>
      <c r="B324" s="1522" t="s">
        <v>2277</v>
      </c>
      <c r="C324" s="2117">
        <v>0.15</v>
      </c>
      <c r="D324" s="2117">
        <v>0.15</v>
      </c>
      <c r="E324" s="2117">
        <v>0.15</v>
      </c>
      <c r="F324" s="2129"/>
    </row>
    <row r="325" spans="1:6" ht="14.25" thickBot="1">
      <c r="A325" s="1528" t="s">
        <v>2270</v>
      </c>
      <c r="B325" s="1522" t="s">
        <v>2278</v>
      </c>
      <c r="C325" s="2117">
        <v>0.15</v>
      </c>
      <c r="D325" s="2117">
        <v>0.15</v>
      </c>
      <c r="E325" s="2117">
        <v>0.15</v>
      </c>
      <c r="F325" s="2118">
        <v>0.14699999999999999</v>
      </c>
    </row>
    <row r="326" spans="1:6" ht="14.25" thickBot="1">
      <c r="A326" s="1528" t="s">
        <v>2270</v>
      </c>
      <c r="B326" s="1522" t="s">
        <v>1302</v>
      </c>
      <c r="C326" s="2117">
        <v>0.15</v>
      </c>
      <c r="D326" s="2117">
        <v>0.15</v>
      </c>
      <c r="E326" s="2117">
        <v>0.15</v>
      </c>
      <c r="F326" s="2129"/>
    </row>
    <row r="327" spans="1:6" ht="14.25" thickBot="1">
      <c r="A327" s="1528" t="s">
        <v>2270</v>
      </c>
      <c r="B327" s="1522" t="s">
        <v>2279</v>
      </c>
      <c r="C327" s="2117">
        <v>0.15</v>
      </c>
      <c r="D327" s="2117">
        <v>0.15</v>
      </c>
      <c r="E327" s="2117">
        <v>0.15</v>
      </c>
      <c r="F327" s="2118">
        <v>0.15</v>
      </c>
    </row>
    <row r="328" spans="1:6" ht="14.25" thickBot="1">
      <c r="A328" s="1528" t="s">
        <v>2270</v>
      </c>
      <c r="B328" s="1522" t="s">
        <v>1322</v>
      </c>
      <c r="C328" s="2117">
        <v>0.15</v>
      </c>
      <c r="D328" s="2117">
        <v>0.15</v>
      </c>
      <c r="E328" s="2117">
        <v>0.15</v>
      </c>
      <c r="F328" s="2118">
        <v>0.14099999999999999</v>
      </c>
    </row>
    <row r="329" spans="1:6" ht="14.25" thickBot="1">
      <c r="A329" s="1528" t="s">
        <v>2270</v>
      </c>
      <c r="B329" s="1522" t="s">
        <v>1332</v>
      </c>
      <c r="C329" s="2117">
        <v>0.15</v>
      </c>
      <c r="D329" s="2117">
        <v>0.15</v>
      </c>
      <c r="E329" s="2117">
        <v>0.15</v>
      </c>
      <c r="F329" s="2118">
        <v>0.15</v>
      </c>
    </row>
    <row r="330" spans="1:6" ht="14.25" thickBot="1">
      <c r="A330" s="1528" t="s">
        <v>2270</v>
      </c>
      <c r="B330" s="1522" t="s">
        <v>1343</v>
      </c>
      <c r="C330" s="2117">
        <v>0.15</v>
      </c>
      <c r="D330" s="2117">
        <v>0.15</v>
      </c>
      <c r="E330" s="2117">
        <v>0.15</v>
      </c>
      <c r="F330" s="2129"/>
    </row>
    <row r="331" spans="1:6" ht="14.25" thickBot="1">
      <c r="A331" s="1528" t="s">
        <v>2270</v>
      </c>
      <c r="B331" s="1522" t="s">
        <v>2280</v>
      </c>
      <c r="C331" s="2117">
        <v>0.15</v>
      </c>
      <c r="D331" s="2117">
        <v>0.15</v>
      </c>
      <c r="E331" s="2117">
        <v>0.15</v>
      </c>
      <c r="F331" s="2118">
        <v>0.15</v>
      </c>
    </row>
    <row r="332" spans="1:6" ht="14.25" thickBot="1">
      <c r="A332" s="1528" t="s">
        <v>2270</v>
      </c>
      <c r="B332" s="1522" t="s">
        <v>1364</v>
      </c>
      <c r="C332" s="2117">
        <v>0.15</v>
      </c>
      <c r="D332" s="2117">
        <v>0.15</v>
      </c>
      <c r="E332" s="2117">
        <v>0.15</v>
      </c>
      <c r="F332" s="2118">
        <v>0.15</v>
      </c>
    </row>
    <row r="333" spans="1:6" ht="14.25" thickBot="1">
      <c r="A333" s="1528" t="s">
        <v>2270</v>
      </c>
      <c r="B333" s="1522" t="s">
        <v>2281</v>
      </c>
      <c r="C333" s="2117">
        <v>0.15</v>
      </c>
      <c r="D333" s="2117">
        <v>0.15</v>
      </c>
      <c r="E333" s="2117">
        <v>0.15</v>
      </c>
      <c r="F333" s="2118">
        <v>0.14099999999999999</v>
      </c>
    </row>
    <row r="334" spans="1:6" ht="14.25" thickBot="1">
      <c r="A334" s="1528" t="s">
        <v>2270</v>
      </c>
      <c r="B334" s="1522" t="s">
        <v>1384</v>
      </c>
      <c r="C334" s="2117">
        <v>0.15</v>
      </c>
      <c r="D334" s="2117">
        <v>0.15</v>
      </c>
      <c r="E334" s="2117">
        <v>0.15</v>
      </c>
      <c r="F334" s="2118">
        <v>0.15</v>
      </c>
    </row>
    <row r="335" spans="1:6" ht="14.25" thickBot="1">
      <c r="A335" s="1528" t="s">
        <v>2270</v>
      </c>
      <c r="B335" s="1522" t="s">
        <v>1394</v>
      </c>
      <c r="C335" s="2117">
        <v>0.15</v>
      </c>
      <c r="D335" s="2117">
        <v>0.15</v>
      </c>
      <c r="E335" s="2117">
        <v>0.15</v>
      </c>
      <c r="F335" s="2129"/>
    </row>
    <row r="336" spans="1:6" ht="14.25" thickBot="1">
      <c r="A336" s="1528" t="s">
        <v>2270</v>
      </c>
      <c r="B336" s="1522" t="s">
        <v>2282</v>
      </c>
      <c r="C336" s="2117">
        <v>0.15</v>
      </c>
      <c r="D336" s="2117">
        <v>0.15</v>
      </c>
      <c r="E336" s="2117">
        <v>0.15</v>
      </c>
      <c r="F336" s="2118">
        <v>0.11799999999999999</v>
      </c>
    </row>
    <row r="337" spans="1:6" ht="14.25" thickBot="1">
      <c r="A337" s="1538" t="s">
        <v>2270</v>
      </c>
      <c r="B337" s="1534" t="s">
        <v>1412</v>
      </c>
      <c r="C337" s="2127"/>
      <c r="D337" s="2127"/>
      <c r="E337" s="2127"/>
      <c r="F337" s="2120">
        <v>0.14299999999999999</v>
      </c>
    </row>
    <row r="338" spans="1:6" ht="14.25" thickBot="1">
      <c r="A338" s="1528" t="s">
        <v>2283</v>
      </c>
      <c r="B338" s="1529" t="s">
        <v>2284</v>
      </c>
      <c r="C338" s="2115">
        <v>0.15</v>
      </c>
      <c r="D338" s="2115">
        <v>0.15</v>
      </c>
      <c r="E338" s="2115">
        <v>0.15</v>
      </c>
      <c r="F338" s="2132"/>
    </row>
    <row r="339" spans="1:6" ht="14.25" thickBot="1">
      <c r="A339" s="1528" t="s">
        <v>2283</v>
      </c>
      <c r="B339" s="1522" t="s">
        <v>2285</v>
      </c>
      <c r="C339" s="2117">
        <v>0.15</v>
      </c>
      <c r="D339" s="2117">
        <v>0.15</v>
      </c>
      <c r="E339" s="2117">
        <v>0.15</v>
      </c>
      <c r="F339" s="2129"/>
    </row>
    <row r="340" spans="1:6" ht="14.25" thickBot="1">
      <c r="A340" s="1528" t="s">
        <v>2283</v>
      </c>
      <c r="B340" s="1522" t="s">
        <v>2286</v>
      </c>
      <c r="C340" s="2117">
        <v>0.15</v>
      </c>
      <c r="D340" s="2117">
        <v>0.15</v>
      </c>
      <c r="E340" s="2117">
        <v>0.15</v>
      </c>
      <c r="F340" s="2129"/>
    </row>
    <row r="341" spans="1:6" ht="14.25" thickBot="1">
      <c r="A341" s="1528" t="s">
        <v>2283</v>
      </c>
      <c r="B341" s="1522" t="s">
        <v>2287</v>
      </c>
      <c r="C341" s="2117">
        <v>0.15</v>
      </c>
      <c r="D341" s="2117">
        <v>0.15</v>
      </c>
      <c r="E341" s="2117">
        <v>0.15</v>
      </c>
      <c r="F341" s="2118">
        <v>0.15</v>
      </c>
    </row>
    <row r="342" spans="1:6" ht="14.25" thickBot="1">
      <c r="A342" s="1528" t="s">
        <v>2283</v>
      </c>
      <c r="B342" s="1522" t="s">
        <v>2288</v>
      </c>
      <c r="C342" s="2117">
        <v>0.15</v>
      </c>
      <c r="D342" s="2117">
        <v>0.15</v>
      </c>
      <c r="E342" s="2117">
        <v>0.15</v>
      </c>
      <c r="F342" s="2118">
        <v>0.15</v>
      </c>
    </row>
    <row r="343" spans="1:6" ht="14.25" thickBot="1">
      <c r="A343" s="1528" t="s">
        <v>2283</v>
      </c>
      <c r="B343" s="1522" t="s">
        <v>2289</v>
      </c>
      <c r="C343" s="2117">
        <v>0.15</v>
      </c>
      <c r="D343" s="2117">
        <v>0.15</v>
      </c>
      <c r="E343" s="2117">
        <v>0.15</v>
      </c>
      <c r="F343" s="2118">
        <v>0.15</v>
      </c>
    </row>
    <row r="344" spans="1:6" ht="14.25" thickBot="1">
      <c r="A344" s="1538" t="s">
        <v>2283</v>
      </c>
      <c r="B344" s="1534" t="s">
        <v>2290</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2905</v>
      </c>
      <c r="C1" s="3194">
        <f>项目基本情况!D3</f>
        <v>42963</v>
      </c>
      <c r="D1" s="3200" t="s">
        <v>2906</v>
      </c>
      <c r="E1" s="3195">
        <f>'数据-取费表'!B22</f>
        <v>2</v>
      </c>
      <c r="F1" s="3200" t="s">
        <v>2907</v>
      </c>
      <c r="G1" s="3196">
        <f ca="1">INDIRECT("d"&amp;$K$1)/100</f>
        <v>4.7500000000000001E-2</v>
      </c>
      <c r="H1" s="3200" t="s">
        <v>2937</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2908</v>
      </c>
      <c r="E2" s="3136"/>
      <c r="F2" s="3136" t="s">
        <v>2909</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2910</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2911</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2912</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2913</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2914</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2915</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2916</v>
      </c>
      <c r="C10" s="3164"/>
      <c r="D10" s="3164"/>
      <c r="E10" s="3164"/>
      <c r="F10" s="3164"/>
      <c r="G10" s="3164"/>
      <c r="H10" s="3164"/>
      <c r="I10" s="3138"/>
      <c r="J10" s="3138"/>
      <c r="K10" s="3164"/>
      <c r="L10" s="3165" t="s">
        <v>2917</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2918</v>
      </c>
      <c r="C11" s="3169" t="s">
        <v>2919</v>
      </c>
      <c r="D11" s="3170" t="s">
        <v>2920</v>
      </c>
      <c r="E11" s="3171"/>
      <c r="F11" s="3170" t="s">
        <v>2921</v>
      </c>
      <c r="G11" s="3172"/>
      <c r="H11" s="3171"/>
      <c r="I11" s="3170" t="s">
        <v>2922</v>
      </c>
      <c r="J11" s="3171"/>
      <c r="K11" s="3167"/>
      <c r="L11" s="3168" t="s">
        <v>2918</v>
      </c>
      <c r="M11" s="3169" t="s">
        <v>2919</v>
      </c>
      <c r="N11" s="3168" t="s">
        <v>2923</v>
      </c>
      <c r="O11" s="3170" t="s">
        <v>2924</v>
      </c>
      <c r="P11" s="3172"/>
      <c r="Q11" s="3172"/>
      <c r="R11" s="3172"/>
      <c r="S11" s="3172"/>
      <c r="T11" s="3171"/>
      <c r="U11" s="3170" t="s">
        <v>2925</v>
      </c>
      <c r="V11" s="3172"/>
      <c r="W11" s="3171"/>
      <c r="X11" s="3168" t="s">
        <v>2926</v>
      </c>
      <c r="Y11" s="3168" t="s">
        <v>2927</v>
      </c>
      <c r="Z11" s="3168" t="s">
        <v>2928</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2929</v>
      </c>
      <c r="E12" s="3177" t="s">
        <v>2930</v>
      </c>
      <c r="F12" s="3177" t="s">
        <v>2931</v>
      </c>
      <c r="G12" s="3177" t="s">
        <v>2932</v>
      </c>
      <c r="H12" s="3177" t="s">
        <v>2914</v>
      </c>
      <c r="I12" s="3178" t="s">
        <v>2933</v>
      </c>
      <c r="J12" s="3178" t="s">
        <v>2933</v>
      </c>
      <c r="K12" s="3174"/>
      <c r="L12" s="3175"/>
      <c r="M12" s="3176"/>
      <c r="N12" s="3175"/>
      <c r="O12" s="3178" t="s">
        <v>2934</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2935</v>
      </c>
      <c r="C13" s="3182">
        <v>42301</v>
      </c>
      <c r="D13" s="3183">
        <v>4.3499999999999996</v>
      </c>
      <c r="E13" s="3183">
        <v>4.3499999999999996</v>
      </c>
      <c r="F13" s="3183">
        <v>4.75</v>
      </c>
      <c r="G13" s="3183">
        <v>4.75</v>
      </c>
      <c r="H13" s="3183">
        <v>4.9000000000000004</v>
      </c>
      <c r="I13" s="3183">
        <v>2.75</v>
      </c>
      <c r="J13" s="3183">
        <v>3.25</v>
      </c>
      <c r="K13" s="3180"/>
      <c r="L13" s="3181" t="s">
        <v>2935</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2936</v>
      </c>
      <c r="Y42" s="3187" t="s">
        <v>2936</v>
      </c>
      <c r="Z42" s="3187" t="s">
        <v>2936</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2936</v>
      </c>
      <c r="Y43" s="3187" t="s">
        <v>2936</v>
      </c>
      <c r="Z43" s="3187" t="s">
        <v>2936</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2936</v>
      </c>
      <c r="Y44" s="3187" t="s">
        <v>2936</v>
      </c>
      <c r="Z44" s="3187" t="s">
        <v>2936</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2936</v>
      </c>
      <c r="Y45" s="3187" t="s">
        <v>2936</v>
      </c>
      <c r="Z45" s="3187" t="s">
        <v>2936</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2936</v>
      </c>
      <c r="Y46" s="3187" t="s">
        <v>2936</v>
      </c>
      <c r="Z46" s="3187" t="s">
        <v>2936</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2936</v>
      </c>
      <c r="Y47" s="3187" t="s">
        <v>2936</v>
      </c>
      <c r="Z47" s="3187" t="s">
        <v>2936</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2936</v>
      </c>
      <c r="Y48" s="3187" t="s">
        <v>2936</v>
      </c>
      <c r="Z48" s="3187" t="s">
        <v>2936</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2936</v>
      </c>
      <c r="Y49" s="3187" t="s">
        <v>2936</v>
      </c>
      <c r="Z49" s="3187" t="s">
        <v>2936</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2936</v>
      </c>
      <c r="Y50" s="3187" t="s">
        <v>2936</v>
      </c>
      <c r="Z50" s="3187" t="s">
        <v>2936</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2936</v>
      </c>
      <c r="V51" s="3187" t="s">
        <v>2936</v>
      </c>
      <c r="W51" s="3187" t="s">
        <v>2936</v>
      </c>
      <c r="X51" s="3187" t="s">
        <v>2936</v>
      </c>
      <c r="Y51" s="3187" t="s">
        <v>2936</v>
      </c>
      <c r="Z51" s="3187" t="s">
        <v>2936</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2936</v>
      </c>
      <c r="J55" s="3187" t="s">
        <v>2936</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7" t="s">
        <v>3037</v>
      </c>
      <c r="E1" s="3321" t="s">
        <v>3041</v>
      </c>
      <c r="F1" s="3322" t="s">
        <v>3045</v>
      </c>
    </row>
    <row r="2" spans="1:13" ht="20.25">
      <c r="A2" s="3328" t="s">
        <v>3038</v>
      </c>
    </row>
    <row r="3" spans="1:13" ht="16.5">
      <c r="A3" s="3329" t="s">
        <v>3039</v>
      </c>
    </row>
    <row r="4" spans="1:13" ht="14.25">
      <c r="A4" s="3319" t="s">
        <v>3040</v>
      </c>
      <c r="B4" s="3324" t="s">
        <v>3042</v>
      </c>
      <c r="C4" s="3325"/>
      <c r="D4" s="3326"/>
      <c r="E4" s="3324" t="s">
        <v>141</v>
      </c>
      <c r="F4" s="3325"/>
      <c r="G4" s="3326"/>
      <c r="H4" s="3324" t="s">
        <v>3043</v>
      </c>
      <c r="I4" s="3325"/>
      <c r="J4" s="3326"/>
      <c r="K4" s="3324" t="s">
        <v>39</v>
      </c>
      <c r="L4" s="3325"/>
      <c r="M4" s="3326"/>
    </row>
    <row r="5" spans="1:13" ht="14.25">
      <c r="A5" s="3320" t="s">
        <v>3044</v>
      </c>
      <c r="B5" s="3319" t="s">
        <v>3046</v>
      </c>
      <c r="C5" s="3319" t="s">
        <v>3047</v>
      </c>
      <c r="D5" s="3319" t="s">
        <v>3048</v>
      </c>
      <c r="E5" s="3319" t="s">
        <v>3046</v>
      </c>
      <c r="F5" s="3319" t="s">
        <v>3047</v>
      </c>
      <c r="G5" s="3319" t="s">
        <v>3048</v>
      </c>
      <c r="H5" s="3319" t="s">
        <v>3046</v>
      </c>
      <c r="I5" s="3319" t="s">
        <v>3047</v>
      </c>
      <c r="J5" s="3319" t="s">
        <v>3048</v>
      </c>
      <c r="K5" s="3319" t="s">
        <v>3046</v>
      </c>
      <c r="L5" s="3319" t="s">
        <v>3047</v>
      </c>
      <c r="M5" s="3319" t="s">
        <v>3048</v>
      </c>
    </row>
    <row r="6" spans="1:13" ht="14.25">
      <c r="A6" s="3323" t="s">
        <v>1224</v>
      </c>
      <c r="B6" s="3330">
        <v>26980</v>
      </c>
      <c r="C6" s="3330">
        <v>32980</v>
      </c>
      <c r="D6" s="3330">
        <v>29980</v>
      </c>
      <c r="E6" s="3330">
        <v>26170</v>
      </c>
      <c r="F6" s="3330">
        <v>31990</v>
      </c>
      <c r="G6" s="3330">
        <v>29080</v>
      </c>
      <c r="H6" s="3330">
        <v>25850</v>
      </c>
      <c r="I6" s="3330">
        <v>31590</v>
      </c>
      <c r="J6" s="3330">
        <v>28720</v>
      </c>
      <c r="K6" s="3330">
        <v>9860</v>
      </c>
      <c r="L6" s="3331">
        <v>13340</v>
      </c>
      <c r="M6" s="3330">
        <v>11600</v>
      </c>
    </row>
    <row r="7" spans="1:13" ht="14.25">
      <c r="A7" s="3323" t="s">
        <v>1281</v>
      </c>
      <c r="B7" s="3330">
        <v>21970</v>
      </c>
      <c r="C7" s="3330">
        <v>28730</v>
      </c>
      <c r="D7" s="3330">
        <v>25350</v>
      </c>
      <c r="E7" s="3330">
        <v>21480</v>
      </c>
      <c r="F7" s="3330">
        <v>28080</v>
      </c>
      <c r="G7" s="3330">
        <v>24780</v>
      </c>
      <c r="H7" s="3330">
        <v>21250</v>
      </c>
      <c r="I7" s="3330">
        <v>27790</v>
      </c>
      <c r="J7" s="3330">
        <v>24520</v>
      </c>
      <c r="K7" s="3330">
        <v>6660</v>
      </c>
      <c r="L7" s="3331">
        <v>10000</v>
      </c>
      <c r="M7" s="3330">
        <v>8330</v>
      </c>
    </row>
    <row r="8" spans="1:13" ht="14.25">
      <c r="A8" s="3323" t="s">
        <v>1454</v>
      </c>
      <c r="B8" s="3330">
        <v>17430</v>
      </c>
      <c r="C8" s="3330">
        <v>24410</v>
      </c>
      <c r="D8" s="3330">
        <v>20920</v>
      </c>
      <c r="E8" s="3330">
        <v>17140</v>
      </c>
      <c r="F8" s="3330">
        <v>24000</v>
      </c>
      <c r="G8" s="3330">
        <v>20570</v>
      </c>
      <c r="H8" s="3330">
        <v>16990</v>
      </c>
      <c r="I8" s="3330">
        <v>23790</v>
      </c>
      <c r="J8" s="3330">
        <v>20390</v>
      </c>
      <c r="K8" s="3330">
        <v>4530</v>
      </c>
      <c r="L8" s="3331">
        <v>6790</v>
      </c>
      <c r="M8" s="3330">
        <v>5660</v>
      </c>
    </row>
    <row r="9" spans="1:13" ht="14.25">
      <c r="A9" s="3323" t="s">
        <v>1135</v>
      </c>
      <c r="B9" s="3330">
        <v>13330</v>
      </c>
      <c r="C9" s="3330">
        <v>19990</v>
      </c>
      <c r="D9" s="3330">
        <v>16660</v>
      </c>
      <c r="E9" s="3330">
        <v>13160</v>
      </c>
      <c r="F9" s="3330">
        <v>19740</v>
      </c>
      <c r="G9" s="3330">
        <v>16450</v>
      </c>
      <c r="H9" s="3330">
        <v>13060</v>
      </c>
      <c r="I9" s="3330">
        <v>19600</v>
      </c>
      <c r="J9" s="3330">
        <v>16330</v>
      </c>
      <c r="K9" s="3330">
        <v>3090</v>
      </c>
      <c r="L9" s="3331">
        <v>4650</v>
      </c>
      <c r="M9" s="3330">
        <v>3870</v>
      </c>
    </row>
    <row r="10" spans="1:13" ht="14.25">
      <c r="A10" s="3323" t="s">
        <v>1535</v>
      </c>
      <c r="B10" s="3330">
        <v>10420</v>
      </c>
      <c r="C10" s="3330">
        <v>15620</v>
      </c>
      <c r="D10" s="3330">
        <v>13020</v>
      </c>
      <c r="E10" s="3330">
        <v>10310</v>
      </c>
      <c r="F10" s="3330">
        <v>15470</v>
      </c>
      <c r="G10" s="3330">
        <v>12890</v>
      </c>
      <c r="H10" s="3330">
        <v>10250</v>
      </c>
      <c r="I10" s="3330">
        <v>15370</v>
      </c>
      <c r="J10" s="3330">
        <v>12810</v>
      </c>
      <c r="K10" s="3330">
        <v>2140</v>
      </c>
      <c r="L10" s="3331">
        <v>3200</v>
      </c>
      <c r="M10" s="3330">
        <v>2670</v>
      </c>
    </row>
    <row r="11" spans="1:13" ht="14.25">
      <c r="A11" s="3323" t="s">
        <v>203</v>
      </c>
      <c r="B11" s="3330">
        <v>8130</v>
      </c>
      <c r="C11" s="3330">
        <v>12190</v>
      </c>
      <c r="D11" s="3330">
        <v>10160</v>
      </c>
      <c r="E11" s="3330">
        <v>8060</v>
      </c>
      <c r="F11" s="3330">
        <v>12080</v>
      </c>
      <c r="G11" s="3330">
        <v>10070</v>
      </c>
      <c r="H11" s="3330">
        <v>8010</v>
      </c>
      <c r="I11" s="3330">
        <v>12010</v>
      </c>
      <c r="J11" s="3330">
        <v>10010</v>
      </c>
      <c r="K11" s="3330">
        <v>1490</v>
      </c>
      <c r="L11" s="3331">
        <v>2250</v>
      </c>
      <c r="M11" s="3330">
        <v>1870</v>
      </c>
    </row>
    <row r="12" spans="1:13" ht="14.25">
      <c r="A12" s="3323" t="s">
        <v>1538</v>
      </c>
      <c r="B12" s="3330">
        <v>5940</v>
      </c>
      <c r="C12" s="3330">
        <v>8900</v>
      </c>
      <c r="D12" s="3330">
        <v>7420</v>
      </c>
      <c r="E12" s="3330">
        <v>5880</v>
      </c>
      <c r="F12" s="3330">
        <v>8820</v>
      </c>
      <c r="G12" s="3330">
        <v>7350</v>
      </c>
      <c r="H12" s="3330">
        <v>5840</v>
      </c>
      <c r="I12" s="3330">
        <v>8760</v>
      </c>
      <c r="J12" s="3330">
        <v>7300</v>
      </c>
      <c r="K12" s="3330">
        <v>1060</v>
      </c>
      <c r="L12" s="3331">
        <v>1600</v>
      </c>
      <c r="M12" s="3330">
        <v>1330</v>
      </c>
    </row>
    <row r="13" spans="1:13" ht="14.25">
      <c r="A13" s="3323" t="s">
        <v>1540</v>
      </c>
      <c r="B13" s="3330">
        <v>3970</v>
      </c>
      <c r="C13" s="3330">
        <v>6330</v>
      </c>
      <c r="D13" s="3330">
        <v>5150</v>
      </c>
      <c r="E13" s="3330">
        <v>3920</v>
      </c>
      <c r="F13" s="3330">
        <v>6260</v>
      </c>
      <c r="G13" s="3330">
        <v>5090</v>
      </c>
      <c r="H13" s="3330">
        <v>3890</v>
      </c>
      <c r="I13" s="3330">
        <v>6210</v>
      </c>
      <c r="J13" s="3330">
        <v>5050</v>
      </c>
      <c r="K13" s="3330">
        <v>780</v>
      </c>
      <c r="L13" s="3331">
        <v>1160</v>
      </c>
      <c r="M13" s="3330">
        <v>970</v>
      </c>
    </row>
    <row r="14" spans="1:13" ht="14.25">
      <c r="A14" s="3323" t="s">
        <v>1542</v>
      </c>
      <c r="B14" s="3330">
        <v>2680</v>
      </c>
      <c r="C14" s="3330">
        <v>4280</v>
      </c>
      <c r="D14" s="3330">
        <v>3480</v>
      </c>
      <c r="E14" s="3330">
        <v>2640</v>
      </c>
      <c r="F14" s="3330">
        <v>4220</v>
      </c>
      <c r="G14" s="3330">
        <v>3430</v>
      </c>
      <c r="H14" s="3330">
        <v>2620</v>
      </c>
      <c r="I14" s="3330">
        <v>4180</v>
      </c>
      <c r="J14" s="3330">
        <v>3400</v>
      </c>
      <c r="K14" s="3330">
        <v>580</v>
      </c>
      <c r="L14" s="3331">
        <v>880</v>
      </c>
      <c r="M14" s="3330">
        <v>730</v>
      </c>
    </row>
    <row r="15" spans="1:13" ht="14.25">
      <c r="A15" s="3323" t="s">
        <v>1546</v>
      </c>
      <c r="B15" s="3330">
        <v>1700</v>
      </c>
      <c r="C15" s="3330">
        <v>2840</v>
      </c>
      <c r="D15" s="3330">
        <v>2270</v>
      </c>
      <c r="E15" s="3330">
        <v>1670</v>
      </c>
      <c r="F15" s="3330">
        <v>2790</v>
      </c>
      <c r="G15" s="3330">
        <v>2230</v>
      </c>
      <c r="H15" s="3330">
        <v>1650</v>
      </c>
      <c r="I15" s="3330">
        <v>2750</v>
      </c>
      <c r="J15" s="3330">
        <v>2200</v>
      </c>
      <c r="K15" s="3330">
        <v>450</v>
      </c>
      <c r="L15" s="3331">
        <v>670</v>
      </c>
      <c r="M15" s="3330">
        <v>560</v>
      </c>
    </row>
    <row r="16" spans="1:13" ht="14.25">
      <c r="A16" s="3323" t="s">
        <v>1944</v>
      </c>
      <c r="B16" s="3330">
        <v>1070</v>
      </c>
      <c r="C16" s="3330">
        <v>1790</v>
      </c>
      <c r="D16" s="3330">
        <v>1430</v>
      </c>
      <c r="E16" s="3330">
        <v>1050</v>
      </c>
      <c r="F16" s="3330">
        <v>1750</v>
      </c>
      <c r="G16" s="3330">
        <v>1400</v>
      </c>
      <c r="H16" s="3330">
        <v>1030</v>
      </c>
      <c r="I16" s="3330">
        <v>1730</v>
      </c>
      <c r="J16" s="3330">
        <v>1380</v>
      </c>
      <c r="K16" s="3330">
        <v>350</v>
      </c>
      <c r="L16" s="3331">
        <v>530</v>
      </c>
      <c r="M16" s="3330">
        <v>440</v>
      </c>
    </row>
    <row r="17" spans="1:13" ht="14.25">
      <c r="A17" s="3323" t="s">
        <v>1945</v>
      </c>
      <c r="B17" s="3330">
        <v>680</v>
      </c>
      <c r="C17" s="3330">
        <v>1120</v>
      </c>
      <c r="D17" s="3330">
        <v>900</v>
      </c>
      <c r="E17" s="3330">
        <v>650</v>
      </c>
      <c r="F17" s="3330">
        <v>1090</v>
      </c>
      <c r="G17" s="3330">
        <v>870</v>
      </c>
      <c r="H17" s="3330">
        <v>630</v>
      </c>
      <c r="I17" s="3330">
        <v>1070</v>
      </c>
      <c r="J17" s="3330">
        <v>850</v>
      </c>
      <c r="K17" s="3330">
        <v>280</v>
      </c>
      <c r="L17" s="3331">
        <v>420</v>
      </c>
      <c r="M17" s="3330">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3" t="str">
        <f>IF(项目基本情况!B9="房地产市场价值","估价结果一览表","结果表-2")</f>
        <v>结果表-2</v>
      </c>
      <c r="B1" s="3403"/>
      <c r="C1" s="3403"/>
      <c r="D1" s="3403"/>
      <c r="E1" s="3403"/>
      <c r="F1" s="3403"/>
      <c r="G1" s="3403"/>
      <c r="H1" s="3403"/>
      <c r="I1" s="3403"/>
    </row>
    <row r="2" spans="1:9" ht="30" customHeight="1" thickTop="1">
      <c r="A2" s="3404" t="s">
        <v>2874</v>
      </c>
      <c r="B2" s="3404" t="s">
        <v>2038</v>
      </c>
      <c r="C2" s="3404" t="s">
        <v>2039</v>
      </c>
      <c r="D2" s="3404" t="str">
        <f>结果表!D116</f>
        <v>出让国有建设用地使用权价值</v>
      </c>
      <c r="E2" s="3404"/>
      <c r="F2" s="3404" t="str">
        <f>结果表!F116</f>
        <v>在建建筑物价值</v>
      </c>
      <c r="G2" s="3404"/>
      <c r="H2" s="3404" t="str">
        <f>IF(项目基本情况!B9="房地产市场价值","房地产市场价值","房地产价值")</f>
        <v>房地产价值</v>
      </c>
      <c r="I2" s="3404"/>
    </row>
    <row r="3" spans="1:9" ht="14.25">
      <c r="A3" s="3405"/>
      <c r="B3" s="3405"/>
      <c r="C3" s="3405"/>
      <c r="D3" s="1911" t="s">
        <v>7</v>
      </c>
      <c r="E3" s="1911" t="s">
        <v>2040</v>
      </c>
      <c r="F3" s="1911" t="s">
        <v>7</v>
      </c>
      <c r="G3" s="1911" t="s">
        <v>8</v>
      </c>
      <c r="H3" s="1911" t="s">
        <v>7</v>
      </c>
      <c r="I3" s="1911" t="s">
        <v>8</v>
      </c>
    </row>
    <row r="4" spans="1:9" ht="28.5">
      <c r="A4" s="1981" t="str">
        <f>项目基本情况!S2</f>
        <v>北京市朝阳区亮马桥路32号房地产</v>
      </c>
      <c r="B4" s="1975">
        <f>项目基本情况!C17</f>
        <v>2099.0100000000002</v>
      </c>
      <c r="C4" s="1975">
        <f>项目基本情况!C18</f>
        <v>215.3</v>
      </c>
      <c r="D4" s="1975">
        <f ca="1">结果表!D118</f>
        <v>5877</v>
      </c>
      <c r="E4" s="1975">
        <f ca="1">结果表!E118</f>
        <v>27999</v>
      </c>
      <c r="F4" s="1975">
        <f ca="1">结果表!F118</f>
        <v>1037</v>
      </c>
      <c r="G4" s="1975">
        <f ca="1">结果表!G118</f>
        <v>4940</v>
      </c>
      <c r="H4" s="1975">
        <f ca="1">结果表!H118</f>
        <v>6914</v>
      </c>
      <c r="I4" s="1975">
        <f ca="1">结果表!I118</f>
        <v>32939</v>
      </c>
    </row>
    <row r="5" spans="1:9" ht="30" customHeight="1">
      <c r="A5" s="3405" t="s">
        <v>9</v>
      </c>
      <c r="B5" s="3405"/>
      <c r="C5" s="3405"/>
      <c r="D5" s="3406" t="str">
        <f ca="1">结果表!D119</f>
        <v>伍仟捌佰柒拾柒万元整</v>
      </c>
      <c r="E5" s="3406"/>
      <c r="F5" s="3406" t="str">
        <f ca="1">结果表!F119</f>
        <v>壹仟零叁拾柒万元整</v>
      </c>
      <c r="G5" s="3406"/>
      <c r="H5" s="3406" t="str">
        <f ca="1">结果表!H119</f>
        <v>陆仟玖佰壹拾肆万元整</v>
      </c>
      <c r="I5" s="3406"/>
    </row>
    <row r="6" spans="1:9" ht="15.75">
      <c r="A6" s="3407" t="str">
        <f>结果表!A120</f>
        <v>估价师知悉的法定优先受偿款</v>
      </c>
      <c r="B6" s="3407"/>
      <c r="C6" s="3407"/>
      <c r="D6" s="3408">
        <f>结果表!D120</f>
        <v>0</v>
      </c>
      <c r="E6" s="3408"/>
      <c r="F6" s="3408"/>
      <c r="G6" s="3408"/>
      <c r="H6" s="3408"/>
      <c r="I6" s="3408"/>
    </row>
    <row r="7" spans="1:9" ht="14.25">
      <c r="A7" s="3405" t="s">
        <v>9</v>
      </c>
      <c r="B7" s="3405"/>
      <c r="C7" s="3405"/>
      <c r="D7" s="3409" t="str">
        <f>结果表!D121</f>
        <v>零元整</v>
      </c>
      <c r="E7" s="3410"/>
      <c r="F7" s="3410"/>
      <c r="G7" s="3410"/>
      <c r="H7" s="3410"/>
      <c r="I7" s="3411"/>
    </row>
    <row r="8" spans="1:9" ht="15.75">
      <c r="A8" s="3407" t="str">
        <f>结果表!A122</f>
        <v>房地产抵押价值</v>
      </c>
      <c r="B8" s="3407"/>
      <c r="C8" s="3407"/>
      <c r="D8" s="3408">
        <f ca="1">结果表!D122</f>
        <v>6914</v>
      </c>
      <c r="E8" s="3408"/>
      <c r="F8" s="3408"/>
      <c r="G8" s="3408"/>
      <c r="H8" s="3408"/>
      <c r="I8" s="3408"/>
    </row>
    <row r="9" spans="1:9" ht="14.25">
      <c r="A9" s="3405" t="s">
        <v>9</v>
      </c>
      <c r="B9" s="3405"/>
      <c r="C9" s="3405"/>
      <c r="D9" s="3406" t="str">
        <f ca="1">结果表!D123</f>
        <v>陆仟玖佰壹拾肆万元整</v>
      </c>
      <c r="E9" s="3406"/>
      <c r="F9" s="3406"/>
      <c r="G9" s="3406"/>
      <c r="H9" s="3406"/>
      <c r="I9" s="3406"/>
    </row>
    <row r="10" spans="1:9" ht="15.75">
      <c r="A10" s="3407" t="str">
        <f>结果表!A124</f>
        <v/>
      </c>
      <c r="B10" s="3407"/>
      <c r="C10" s="3407"/>
      <c r="D10" s="3408" t="str">
        <f>结果表!D124</f>
        <v>——</v>
      </c>
      <c r="E10" s="3408"/>
      <c r="F10" s="3408"/>
      <c r="G10" s="3408"/>
      <c r="H10" s="3408"/>
      <c r="I10" s="3408"/>
    </row>
    <row r="11" spans="1:9" ht="14.25">
      <c r="A11" s="3405" t="s">
        <v>9</v>
      </c>
      <c r="B11" s="3405"/>
      <c r="C11" s="3405"/>
      <c r="D11" s="3406" t="e">
        <f>结果表!D125</f>
        <v>#VALUE!</v>
      </c>
      <c r="E11" s="3406"/>
      <c r="F11" s="3406"/>
      <c r="G11" s="3406"/>
      <c r="H11" s="3406"/>
      <c r="I11" s="3406"/>
    </row>
    <row r="12" spans="1:9" ht="15.75">
      <c r="A12" s="3407" t="str">
        <f>结果表!A126</f>
        <v/>
      </c>
      <c r="B12" s="3407"/>
      <c r="C12" s="3407"/>
      <c r="D12" s="3408" t="str">
        <f>结果表!D126</f>
        <v>——</v>
      </c>
      <c r="E12" s="3408"/>
      <c r="F12" s="3408"/>
      <c r="G12" s="3408"/>
      <c r="H12" s="3408"/>
      <c r="I12" s="3408"/>
    </row>
    <row r="13" spans="1:9" ht="15" thickBot="1">
      <c r="A13" s="3412" t="s">
        <v>9</v>
      </c>
      <c r="B13" s="3412"/>
      <c r="C13" s="3412"/>
      <c r="D13" s="3413" t="e">
        <f>结果表!D127</f>
        <v>#VALUE!</v>
      </c>
      <c r="E13" s="3413"/>
      <c r="F13" s="3413"/>
      <c r="G13" s="3413"/>
      <c r="H13" s="3413"/>
      <c r="I13" s="3413"/>
    </row>
    <row r="14" spans="1:9" ht="14.25" thickTop="1">
      <c r="A14" s="3414" t="s">
        <v>2041</v>
      </c>
      <c r="B14" s="3414"/>
      <c r="C14" s="3414"/>
      <c r="D14" s="3414"/>
      <c r="E14" s="3414"/>
      <c r="F14" s="3414"/>
      <c r="G14" s="3414"/>
      <c r="H14" s="3414"/>
      <c r="I14" s="3414"/>
    </row>
    <row r="16" spans="1:9" ht="18.75">
      <c r="A16" s="1990" t="s">
        <v>2042</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5" t="s">
        <v>2851</v>
      </c>
      <c r="B1" s="3415"/>
      <c r="C1" s="3415"/>
      <c r="D1" s="3415"/>
    </row>
    <row r="2" spans="1:4" ht="18.75">
      <c r="A2" s="3416" t="s">
        <v>2111</v>
      </c>
      <c r="B2" s="3416"/>
      <c r="C2" s="3416"/>
      <c r="D2" s="3416"/>
    </row>
    <row r="3" spans="1:4" ht="18.75">
      <c r="A3" s="2609" t="s">
        <v>2112</v>
      </c>
      <c r="B3" s="2609" t="s">
        <v>2113</v>
      </c>
      <c r="C3" s="2609" t="s">
        <v>2114</v>
      </c>
      <c r="D3" s="2609" t="s">
        <v>2115</v>
      </c>
    </row>
    <row r="4" spans="1:4" ht="56.25" customHeight="1">
      <c r="A4" s="2615" t="str">
        <f>项目基本情况!B4</f>
        <v>欧红伟</v>
      </c>
      <c r="B4" s="2610">
        <f ca="1">项目基本情况!C4</f>
        <v>1120000080</v>
      </c>
      <c r="C4" s="2613"/>
      <c r="D4" s="2611" t="s">
        <v>2116</v>
      </c>
    </row>
    <row r="5" spans="1:4" ht="56.25" customHeight="1">
      <c r="A5" s="2615" t="str">
        <f>项目基本情况!D4</f>
        <v>梁津</v>
      </c>
      <c r="B5" s="2610">
        <f ca="1">项目基本情况!E4</f>
        <v>1119970066</v>
      </c>
      <c r="C5" s="2614"/>
      <c r="D5" s="2611" t="s">
        <v>2116</v>
      </c>
    </row>
    <row r="6" spans="1:4" ht="18.75">
      <c r="A6" s="3416" t="s">
        <v>2613</v>
      </c>
      <c r="B6" s="3416"/>
      <c r="C6" s="3416"/>
      <c r="D6" s="3416"/>
    </row>
    <row r="7" spans="1:4" ht="18.75">
      <c r="A7" s="2609" t="s">
        <v>2112</v>
      </c>
      <c r="B7" s="2610" t="s">
        <v>2117</v>
      </c>
      <c r="C7" s="2609" t="s">
        <v>2114</v>
      </c>
      <c r="D7" s="2609" t="s">
        <v>2115</v>
      </c>
    </row>
    <row r="8" spans="1:4" ht="56.25" customHeight="1">
      <c r="A8" s="2612" t="s">
        <v>2118</v>
      </c>
      <c r="B8" s="2612" t="s">
        <v>23</v>
      </c>
      <c r="C8" s="2613"/>
      <c r="D8" s="2611" t="s">
        <v>2116</v>
      </c>
    </row>
    <row r="9" spans="1:4">
      <c r="A9" s="1494"/>
      <c r="B9" s="1494"/>
      <c r="C9" s="1494"/>
      <c r="D9" s="1494"/>
    </row>
    <row r="10" spans="1:4" ht="18.75">
      <c r="A10" s="2092" t="s">
        <v>2119</v>
      </c>
      <c r="B10" s="1494"/>
      <c r="C10" s="1494"/>
      <c r="D10" s="1494"/>
    </row>
    <row r="11" spans="1:4" ht="30" customHeight="1">
      <c r="A11" s="3417" t="s">
        <v>2706</v>
      </c>
      <c r="B11" s="3418"/>
      <c r="C11" s="3418"/>
      <c r="D11" s="3418"/>
    </row>
    <row r="12" spans="1:4" ht="14.25">
      <c r="A12" s="34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9"/>
      <c r="C12" s="3419"/>
      <c r="D12" s="3419"/>
    </row>
    <row r="13" spans="1:4" ht="30" customHeight="1">
      <c r="A13" s="34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9"/>
      <c r="C13" s="3419"/>
      <c r="D13" s="3419"/>
    </row>
    <row r="14" spans="1:4" ht="15.75" customHeight="1">
      <c r="A14" s="3418" t="str">
        <f>IF(项目基本情况!B8="抵押","4.本次评估估价师所知悉的法定优先受偿款情况说明如下：","——")</f>
        <v>4.本次评估估价师所知悉的法定优先受偿款情况说明如下：</v>
      </c>
      <c r="B14" s="3419"/>
      <c r="C14" s="3419"/>
      <c r="D14" s="3419"/>
    </row>
    <row r="15" spans="1:4" ht="42" customHeight="1">
      <c r="A15" s="3418" t="str">
        <f>IF(项目基本情况!B8="抵押","（1）"&amp;CONCATENATE(项目基本情况!L20,项目基本情况!L21,项目基本情况!L22),"——")</f>
        <v>（1）根据估价对象《房屋所有权证》复印件、《国有土地使用权》复印件，截至价值时点，估价对象抵押权未见登记。</v>
      </c>
      <c r="B15" s="3418"/>
      <c r="C15" s="3418"/>
      <c r="D15" s="3418"/>
    </row>
    <row r="16" spans="1:4" ht="30" customHeight="1">
      <c r="A16" s="3421" t="s">
        <v>2123</v>
      </c>
      <c r="B16" s="3421"/>
      <c r="C16" s="3421"/>
      <c r="D16" s="3421"/>
    </row>
    <row r="17" spans="1:4" ht="144" customHeight="1">
      <c r="A17" s="3421" t="s">
        <v>2124</v>
      </c>
      <c r="B17" s="3421"/>
      <c r="C17" s="3421"/>
      <c r="D17" s="3421"/>
    </row>
    <row r="18" spans="1:4" ht="15.75" customHeight="1">
      <c r="A18" s="3418" t="str">
        <f>IF(项目基本情况!B8="抵押",结果表!K120,"——")</f>
        <v>故，本次评估不存在估价师知悉的法定优先受偿款</v>
      </c>
      <c r="B18" s="3418"/>
      <c r="C18" s="3418"/>
      <c r="D18" s="3418"/>
    </row>
    <row r="19" spans="1:4" ht="46.5" customHeight="1">
      <c r="A19" s="34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8"/>
      <c r="C19" s="3418"/>
      <c r="D19" s="3418"/>
    </row>
    <row r="20" spans="1:4" ht="57.75" customHeight="1">
      <c r="A20" s="34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8"/>
      <c r="C20" s="3418"/>
      <c r="D20" s="3418"/>
    </row>
    <row r="21" spans="1:4" ht="57.75" customHeight="1">
      <c r="A21" s="34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2"/>
      <c r="C21" s="3422"/>
      <c r="D21" s="3422"/>
    </row>
    <row r="22" spans="1:4" ht="18.75" customHeight="1">
      <c r="A22" s="3423" t="s">
        <v>2872</v>
      </c>
      <c r="B22" s="3423"/>
      <c r="C22" s="3423"/>
      <c r="D22" s="3423"/>
    </row>
    <row r="23" spans="1:4">
      <c r="A23" s="1982"/>
      <c r="B23" s="1991"/>
      <c r="C23" s="1991"/>
      <c r="D23" s="1991"/>
    </row>
    <row r="24" spans="1:4">
      <c r="A24" s="1982"/>
      <c r="B24" s="1991"/>
      <c r="C24" s="1991"/>
      <c r="D24" s="1991"/>
    </row>
    <row r="25" spans="1:4" ht="18.75">
      <c r="A25" s="1980" t="s">
        <v>2120</v>
      </c>
    </row>
    <row r="26" spans="1:4" ht="18.75">
      <c r="A26" s="1952"/>
    </row>
    <row r="27" spans="1:4" ht="18.75">
      <c r="A27" s="1952" t="s">
        <v>2121</v>
      </c>
    </row>
    <row r="30" spans="1:4" ht="18.75">
      <c r="D30" s="1980" t="s">
        <v>2122</v>
      </c>
    </row>
    <row r="31" spans="1:4" ht="13.5" customHeight="1">
      <c r="C31" s="3420">
        <v>42551</v>
      </c>
      <c r="D31" s="342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8" t="s">
        <v>2127</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1132</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429" t="s">
        <v>556</v>
      </c>
      <c r="B15" s="3424" t="s">
        <v>1133</v>
      </c>
      <c r="C15" s="3425"/>
    </row>
    <row r="16" spans="1:7" ht="13.5">
      <c r="A16" s="3430"/>
      <c r="B16" s="3424" t="s">
        <v>529</v>
      </c>
      <c r="C16" s="3425"/>
    </row>
    <row r="17" spans="1:3" ht="13.5">
      <c r="A17" s="3430"/>
      <c r="B17" s="3427" t="s">
        <v>557</v>
      </c>
      <c r="C17" s="1150" t="s">
        <v>556</v>
      </c>
    </row>
    <row r="18" spans="1:3" ht="13.5">
      <c r="A18" s="3430"/>
      <c r="B18" s="3427"/>
      <c r="C18" s="1150" t="s">
        <v>558</v>
      </c>
    </row>
    <row r="19" spans="1:3" ht="13.5">
      <c r="A19" s="3430"/>
      <c r="B19" s="3427"/>
      <c r="C19" s="1150" t="s">
        <v>559</v>
      </c>
    </row>
    <row r="20" spans="1:3" ht="13.5">
      <c r="A20" s="3431"/>
      <c r="B20" s="3426" t="s">
        <v>560</v>
      </c>
      <c r="C20" s="3425"/>
    </row>
    <row r="21" spans="1:3" ht="13.5">
      <c r="A21" s="1151" t="s">
        <v>561</v>
      </c>
      <c r="B21" s="1152"/>
      <c r="C21" s="1153"/>
    </row>
    <row r="22" spans="1:3" ht="13.5">
      <c r="A22" s="3428" t="s">
        <v>562</v>
      </c>
      <c r="B22" s="3426" t="s">
        <v>563</v>
      </c>
      <c r="C22" s="3425"/>
    </row>
    <row r="23" spans="1:3" ht="13.5">
      <c r="A23" s="3428"/>
      <c r="B23" s="3426" t="s">
        <v>564</v>
      </c>
      <c r="C23" s="3425"/>
    </row>
    <row r="24" spans="1:3" ht="13.5">
      <c r="A24" s="3428"/>
      <c r="B24" s="3426" t="s">
        <v>565</v>
      </c>
      <c r="C24" s="3425"/>
    </row>
    <row r="25" spans="1:3" ht="13.5">
      <c r="A25" s="3428"/>
      <c r="B25" s="3427" t="s">
        <v>566</v>
      </c>
      <c r="C25" s="1150" t="s">
        <v>567</v>
      </c>
    </row>
    <row r="26" spans="1:3" ht="13.5">
      <c r="A26" s="3428"/>
      <c r="B26" s="3427"/>
      <c r="C26" s="1150" t="s">
        <v>568</v>
      </c>
    </row>
    <row r="27" spans="1:3" ht="13.5">
      <c r="A27" s="3428"/>
      <c r="B27" s="3427"/>
      <c r="C27" s="1150" t="s">
        <v>569</v>
      </c>
    </row>
    <row r="28" spans="1:3" ht="13.5">
      <c r="A28" s="3428"/>
      <c r="B28" s="3427"/>
      <c r="C28" s="1150" t="s">
        <v>570</v>
      </c>
    </row>
    <row r="29" spans="1:3" ht="13.5">
      <c r="A29" s="3428"/>
      <c r="B29" s="3427"/>
      <c r="C29" s="1150" t="s">
        <v>571</v>
      </c>
    </row>
    <row r="30" spans="1:3" ht="13.5">
      <c r="A30" s="3428"/>
      <c r="B30" s="3427"/>
      <c r="C30" s="1150" t="s">
        <v>572</v>
      </c>
    </row>
    <row r="31" spans="1:3" ht="13.5">
      <c r="A31" s="3428"/>
      <c r="B31" s="3427"/>
      <c r="C31" s="1150" t="s">
        <v>573</v>
      </c>
    </row>
    <row r="32" spans="1:3" ht="13.5">
      <c r="A32" s="3428"/>
      <c r="B32" s="3427"/>
      <c r="C32" s="1150" t="s">
        <v>574</v>
      </c>
    </row>
    <row r="33" spans="1:3" ht="13.5">
      <c r="A33" s="3428"/>
      <c r="B33" s="3427"/>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1966</v>
      </c>
      <c r="B2" s="1889">
        <f ca="1">TODAY()</f>
        <v>43019</v>
      </c>
      <c r="C2" s="1890" t="s">
        <v>1967</v>
      </c>
      <c r="D2" s="1890"/>
    </row>
    <row r="3" spans="1:6" ht="24" customHeight="1">
      <c r="A3" s="1891" t="s">
        <v>1968</v>
      </c>
      <c r="B3" s="1892" t="s">
        <v>1969</v>
      </c>
      <c r="C3" s="1892" t="s">
        <v>1970</v>
      </c>
      <c r="D3" s="1893" t="s">
        <v>1971</v>
      </c>
      <c r="E3" s="1894" t="s">
        <v>1972</v>
      </c>
      <c r="F3" s="1892" t="s">
        <v>1970</v>
      </c>
    </row>
    <row r="4" spans="1:6" ht="24" customHeight="1">
      <c r="A4" s="3202" t="s">
        <v>1973</v>
      </c>
      <c r="B4" s="1894">
        <f ca="1">IF(C4&lt;B2,"已过期",1119970066)</f>
        <v>1119970066</v>
      </c>
      <c r="C4" s="3203">
        <v>43849</v>
      </c>
      <c r="D4" s="3202" t="s">
        <v>1973</v>
      </c>
      <c r="E4" s="1894">
        <f ca="1">IF(F4&lt;B2,"已过期",96010014)</f>
        <v>96010014</v>
      </c>
      <c r="F4" s="1903">
        <v>47118</v>
      </c>
    </row>
    <row r="5" spans="1:6" ht="24" customHeight="1">
      <c r="A5" s="3202" t="s">
        <v>1974</v>
      </c>
      <c r="B5" s="1894">
        <f ca="1">IF(C5&lt;B2,"已过期",1119970074)</f>
        <v>1119970074</v>
      </c>
      <c r="C5" s="3203">
        <v>43849</v>
      </c>
      <c r="D5" s="3202" t="s">
        <v>1974</v>
      </c>
      <c r="E5" s="1894">
        <f ca="1">IF(F5&lt;B2,"已过期",2002110027)</f>
        <v>2002110027</v>
      </c>
      <c r="F5" s="1903">
        <v>46752</v>
      </c>
    </row>
    <row r="6" spans="1:6" ht="24" customHeight="1">
      <c r="A6" s="3202" t="s">
        <v>1975</v>
      </c>
      <c r="B6" s="1894">
        <f ca="1">IF(C6&lt;B2,"已过期",1119970111)</f>
        <v>1119970111</v>
      </c>
      <c r="C6" s="3203">
        <v>43849</v>
      </c>
      <c r="D6" s="3202" t="s">
        <v>1975</v>
      </c>
      <c r="E6" s="1894">
        <f ca="1">IF(F6&lt;B2,"已过期",94010078)</f>
        <v>94010078</v>
      </c>
      <c r="F6" s="1903">
        <v>46387</v>
      </c>
    </row>
    <row r="7" spans="1:6" ht="24" customHeight="1">
      <c r="A7" s="3202" t="s">
        <v>1976</v>
      </c>
      <c r="B7" s="1894">
        <f ca="1">IF(C7&lt;B2,"已过期",1120050019)</f>
        <v>1120050019</v>
      </c>
      <c r="C7" s="3203">
        <v>43359</v>
      </c>
      <c r="D7" s="3202" t="s">
        <v>1976</v>
      </c>
      <c r="E7" s="1894">
        <f ca="1">IF(F7&lt;B2,"已过期",2002110030)</f>
        <v>2002110030</v>
      </c>
      <c r="F7" s="1903">
        <v>46387</v>
      </c>
    </row>
    <row r="8" spans="1:6" ht="24" customHeight="1">
      <c r="A8" s="3202" t="s">
        <v>1977</v>
      </c>
      <c r="B8" s="1894">
        <f ca="1">IF(C8&lt;B2,"已过期",1120000080)</f>
        <v>1120000080</v>
      </c>
      <c r="C8" s="3203">
        <v>43849</v>
      </c>
      <c r="D8" s="3202" t="s">
        <v>1977</v>
      </c>
      <c r="E8" s="1894">
        <f ca="1">IF(F8&lt;B2,"已过期",2000110082)</f>
        <v>2000110082</v>
      </c>
      <c r="F8" s="1903">
        <v>46387</v>
      </c>
    </row>
    <row r="9" spans="1:6" ht="24" customHeight="1">
      <c r="A9" s="3202" t="s">
        <v>1978</v>
      </c>
      <c r="B9" s="1894">
        <f ca="1">IF(C9&lt;B2,"已过期",1419970001)</f>
        <v>1419970001</v>
      </c>
      <c r="C9" s="3203">
        <v>43867</v>
      </c>
      <c r="D9" s="3202" t="s">
        <v>1978</v>
      </c>
      <c r="E9" s="1894">
        <f ca="1">IF(F9&lt;B2,"已过期",2002110125)</f>
        <v>2002110125</v>
      </c>
      <c r="F9" s="1903">
        <v>47118</v>
      </c>
    </row>
    <row r="10" spans="1:6" ht="24" customHeight="1">
      <c r="A10" s="3202" t="s">
        <v>1979</v>
      </c>
      <c r="B10" s="1894">
        <f ca="1">IF(C10&lt;B2,"已过期",1120060040)</f>
        <v>1120060040</v>
      </c>
      <c r="C10" s="3203">
        <v>43483</v>
      </c>
      <c r="D10" s="3202" t="s">
        <v>1979</v>
      </c>
      <c r="E10" s="1894">
        <f ca="1">IF(F10&lt;B2,"已过期",2004110096)</f>
        <v>2004110096</v>
      </c>
      <c r="F10" s="1903">
        <v>47118</v>
      </c>
    </row>
    <row r="11" spans="1:6" ht="24" customHeight="1">
      <c r="A11" s="3202" t="s">
        <v>1980</v>
      </c>
      <c r="B11" s="1894">
        <f ca="1">IF(C11&lt;B2,"已过期",1120100036)</f>
        <v>1120100036</v>
      </c>
      <c r="C11" s="3203">
        <v>43622</v>
      </c>
      <c r="D11" s="3202" t="s">
        <v>1980</v>
      </c>
      <c r="E11" s="1894">
        <f ca="1">IF(F11&lt;B2,"已过期",2010110070)</f>
        <v>2010110070</v>
      </c>
      <c r="F11" s="1903">
        <v>47907</v>
      </c>
    </row>
    <row r="12" spans="1:6" ht="24" customHeight="1">
      <c r="A12" s="3202"/>
      <c r="B12" s="1894"/>
      <c r="C12" s="3203"/>
      <c r="D12" s="3202"/>
      <c r="E12" s="1894"/>
      <c r="F12" s="1894"/>
    </row>
    <row r="13" spans="1:6" ht="24" customHeight="1">
      <c r="A13" s="3202" t="s">
        <v>1981</v>
      </c>
      <c r="B13" s="1894">
        <f ca="1">IF(C13&lt;B2,"已过期",1120070131)</f>
        <v>1120070131</v>
      </c>
      <c r="C13" s="3203">
        <v>43814</v>
      </c>
      <c r="D13" s="3202" t="s">
        <v>1981</v>
      </c>
      <c r="E13" s="1894">
        <v>2014110011</v>
      </c>
      <c r="F13" s="1903">
        <v>49302</v>
      </c>
    </row>
    <row r="14" spans="1:6" ht="24" customHeight="1">
      <c r="A14" s="3202" t="s">
        <v>1982</v>
      </c>
      <c r="B14" s="1894">
        <f ca="1">IF(C14&lt;B2,"已过期",1120130020)</f>
        <v>1120130020</v>
      </c>
      <c r="C14" s="3203">
        <v>43622</v>
      </c>
      <c r="D14" s="3202"/>
      <c r="E14" s="1894"/>
      <c r="F14" s="1894"/>
    </row>
    <row r="15" spans="1:6" ht="24" customHeight="1">
      <c r="A15" s="3204" t="s">
        <v>2704</v>
      </c>
      <c r="B15" s="1894">
        <v>1120070085</v>
      </c>
      <c r="C15" s="3203">
        <v>43814</v>
      </c>
      <c r="D15" s="3204" t="s">
        <v>2704</v>
      </c>
      <c r="E15" s="1894">
        <v>2004110128</v>
      </c>
      <c r="F15" s="1895">
        <v>47118</v>
      </c>
    </row>
    <row r="16" spans="1:6" ht="24" customHeight="1">
      <c r="A16" s="3202" t="s">
        <v>1983</v>
      </c>
      <c r="B16" s="1894" t="str">
        <f ca="1">IF(C16&lt;B2,"已过期",1120140022)</f>
        <v>已过期</v>
      </c>
      <c r="C16" s="3203">
        <v>42987</v>
      </c>
      <c r="D16" s="3202" t="s">
        <v>1983</v>
      </c>
      <c r="E16" s="1894">
        <f ca="1">IF(F16&lt;B2,"已过期",2008110059)</f>
        <v>2008110059</v>
      </c>
      <c r="F16" s="1903">
        <v>47177</v>
      </c>
    </row>
    <row r="17" spans="1:7" ht="24" customHeight="1">
      <c r="A17" s="3202" t="s">
        <v>1984</v>
      </c>
      <c r="B17" s="1894" t="str">
        <f ca="1">IF(C17&lt;B2,"已过期",1120140020)</f>
        <v>已过期</v>
      </c>
      <c r="C17" s="3203">
        <v>42987</v>
      </c>
      <c r="D17" s="3202"/>
      <c r="E17" s="1894"/>
      <c r="F17" s="1903"/>
    </row>
    <row r="18" spans="1:7" ht="24" customHeight="1">
      <c r="A18" s="3202" t="s">
        <v>1985</v>
      </c>
      <c r="B18" s="1894" t="str">
        <f ca="1">IF(C18&lt;B2,"已过期",1120140024)</f>
        <v>已过期</v>
      </c>
      <c r="C18" s="3203">
        <v>42987</v>
      </c>
      <c r="D18" s="3202" t="s">
        <v>1985</v>
      </c>
      <c r="E18" s="1894">
        <f ca="1">IF(F18&lt;B2,"已过期",2011110048)</f>
        <v>2011110048</v>
      </c>
      <c r="F18" s="1903">
        <v>48302</v>
      </c>
    </row>
    <row r="19" spans="1:7" ht="24" customHeight="1">
      <c r="A19" s="3202" t="s">
        <v>1986</v>
      </c>
      <c r="B19" s="1894" t="str">
        <f ca="1">IF(C19&lt;B2,"已过期",1120140019)</f>
        <v>已过期</v>
      </c>
      <c r="C19" s="3203">
        <v>42987</v>
      </c>
      <c r="D19" s="3202"/>
      <c r="E19" s="1894"/>
      <c r="F19" s="1894"/>
    </row>
    <row r="20" spans="1:7" ht="24" customHeight="1">
      <c r="A20" s="3202" t="s">
        <v>1987</v>
      </c>
      <c r="B20" s="1894" t="str">
        <f ca="1">IF(C20&lt;B2,"已过期",1120140023)</f>
        <v>已过期</v>
      </c>
      <c r="C20" s="3203">
        <v>42987</v>
      </c>
      <c r="D20" s="3202"/>
      <c r="E20" s="1894"/>
      <c r="F20" s="1894"/>
    </row>
    <row r="21" spans="1:7" ht="24" customHeight="1">
      <c r="A21" s="3202"/>
      <c r="B21" s="1894"/>
      <c r="C21" s="3203"/>
      <c r="D21" s="3202" t="s">
        <v>1988</v>
      </c>
      <c r="E21" s="1894">
        <f ca="1">IF(F21&lt;B2,"已过期",2011110090)</f>
        <v>2011110090</v>
      </c>
      <c r="F21" s="1903">
        <v>48302</v>
      </c>
    </row>
    <row r="22" spans="1:7" ht="24" customHeight="1">
      <c r="A22" s="3202" t="s">
        <v>1989</v>
      </c>
      <c r="B22" s="1894">
        <f ca="1">IF(C22&lt;B2,"已过期",1120020033)</f>
        <v>1120020033</v>
      </c>
      <c r="C22" s="3203">
        <v>43304</v>
      </c>
      <c r="D22" s="3202" t="s">
        <v>1989</v>
      </c>
      <c r="E22" s="1894">
        <f ca="1">IF(F22&lt;B2,"已过期",2000110137)</f>
        <v>2000110137</v>
      </c>
      <c r="F22" s="1903">
        <v>46387</v>
      </c>
    </row>
    <row r="23" spans="1:7" ht="24" customHeight="1">
      <c r="A23" s="3202" t="s">
        <v>1990</v>
      </c>
      <c r="B23" s="1894">
        <f ca="1">IF(C23&lt;B2,"已过期",1120130048)</f>
        <v>1120130048</v>
      </c>
      <c r="C23" s="3203">
        <v>43686</v>
      </c>
      <c r="D23" s="3202"/>
      <c r="E23" s="1894"/>
      <c r="F23" s="1894"/>
    </row>
    <row r="24" spans="1:7" s="1896" customFormat="1" ht="24" customHeight="1">
      <c r="A24" s="3204" t="s">
        <v>2938</v>
      </c>
      <c r="B24" s="3204" t="s">
        <v>2938</v>
      </c>
      <c r="C24" s="3204" t="s">
        <v>2938</v>
      </c>
      <c r="D24" s="3204" t="s">
        <v>2938</v>
      </c>
      <c r="E24" s="3204" t="s">
        <v>2938</v>
      </c>
      <c r="F24" s="3204" t="s">
        <v>2938</v>
      </c>
    </row>
    <row r="25" spans="1:7" ht="24" customHeight="1">
      <c r="A25" s="3432" t="s">
        <v>1991</v>
      </c>
      <c r="B25" s="3432"/>
      <c r="C25" s="3432"/>
      <c r="D25" s="3432"/>
      <c r="E25" s="3432"/>
      <c r="F25" s="3432"/>
      <c r="G25" s="3432"/>
    </row>
    <row r="26" spans="1:7" s="1898" customFormat="1" ht="24" customHeight="1">
      <c r="A26" s="3433" t="s">
        <v>1992</v>
      </c>
      <c r="B26" s="3433"/>
      <c r="C26" s="3433"/>
      <c r="D26" s="1897"/>
      <c r="E26" s="3433" t="s">
        <v>1993</v>
      </c>
      <c r="F26" s="3433"/>
      <c r="G26" s="3433"/>
    </row>
    <row r="27" spans="1:7" s="1900" customFormat="1" ht="24" customHeight="1">
      <c r="A27" s="1899" t="s">
        <v>1994</v>
      </c>
      <c r="B27" s="1892" t="s">
        <v>1995</v>
      </c>
      <c r="C27" s="1892" t="s">
        <v>1996</v>
      </c>
      <c r="D27" s="1892"/>
      <c r="E27" s="1894" t="s">
        <v>1994</v>
      </c>
      <c r="F27" s="1892" t="s">
        <v>1995</v>
      </c>
      <c r="G27" s="1892" t="s">
        <v>1996</v>
      </c>
    </row>
    <row r="28" spans="1:7" s="1900" customFormat="1" ht="24" customHeight="1">
      <c r="A28" s="1901" t="s">
        <v>1997</v>
      </c>
      <c r="B28" s="1902" t="s">
        <v>1998</v>
      </c>
      <c r="C28" s="1903">
        <v>43725</v>
      </c>
      <c r="D28" s="1903"/>
      <c r="E28" s="1901" t="s">
        <v>1999</v>
      </c>
      <c r="F28" s="1901" t="s">
        <v>2000</v>
      </c>
      <c r="G28" s="2111">
        <v>44377</v>
      </c>
    </row>
    <row r="29" spans="1:7" s="1900" customFormat="1" ht="24" customHeight="1">
      <c r="A29" s="1901"/>
      <c r="B29" s="1901"/>
      <c r="C29" s="1904"/>
      <c r="D29" s="1904"/>
      <c r="E29" s="1901" t="s">
        <v>2001</v>
      </c>
      <c r="F29" s="2437" t="s">
        <v>3049</v>
      </c>
      <c r="G29" s="2438">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Sheet1</vt:lpstr>
      <vt:lpstr>结果表</vt:lpstr>
      <vt:lpstr>成本法</vt:lpstr>
      <vt:lpstr>成本法 (元)</vt:lpstr>
      <vt:lpstr>假设开发法</vt:lpstr>
      <vt:lpstr>比较法-办公</vt:lpstr>
      <vt:lpstr>收益法</vt:lpstr>
      <vt:lpstr>收益法-2层</vt:lpstr>
      <vt:lpstr>收益法-1层</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基准地价修正-1层</vt:lpstr>
      <vt:lpstr>基准地价修正-2层</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'收益法-1层'!Print_Area</vt:lpstr>
      <vt:lpstr>'收益法-2层'!Print_Area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2017-10-11T03:03:19Z</dcterms:modified>
</cp:coreProperties>
</file>