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比较法-商业" sheetId="33" state="hidden" r:id="rId26"/>
    <sheet name="收益法" sheetId="15" state="hidden" r:id="rId27"/>
    <sheet name="收益法 (元)" sheetId="67"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 i="43" l="1"/>
  <c r="D33" i="43"/>
  <c r="C6" i="69"/>
  <c r="W22" i="1" l="1"/>
  <c r="AB21" i="1" l="1"/>
  <c r="AA21" i="1"/>
  <c r="V22" i="1" l="1"/>
  <c r="V21" i="1"/>
  <c r="G47" i="33" l="1"/>
  <c r="I47" i="33" s="1"/>
  <c r="AD19" i="1" l="1"/>
  <c r="Z18" i="1"/>
  <c r="E104" i="33" l="1"/>
  <c r="F104" i="33"/>
  <c r="G104" i="33" s="1"/>
  <c r="H104" i="33" s="1"/>
  <c r="D104" i="33"/>
  <c r="G36" i="33" l="1"/>
  <c r="AM6" i="1" l="1"/>
  <c r="I36" i="33"/>
  <c r="E36" i="33"/>
  <c r="N19" i="1"/>
  <c r="L52" i="15" l="1"/>
  <c r="N21" i="1"/>
  <c r="C36" i="33" s="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G29" i="6" s="1"/>
  <c r="AZ343" i="3"/>
  <c r="BK5" i="3"/>
  <c r="BI5" i="3"/>
  <c r="BE5" i="3"/>
  <c r="BC5" i="3"/>
  <c r="G17" i="3"/>
  <c r="BA17" i="3"/>
  <c r="BT5" i="3"/>
  <c r="AZ364" i="3"/>
  <c r="BA15" i="3"/>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S28"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E7" i="76"/>
  <c r="E2" i="68"/>
  <c r="B9" i="76"/>
  <c r="B13" i="76"/>
  <c r="F7" i="73"/>
  <c r="E13" i="76"/>
  <c r="F20" i="31"/>
  <c r="D3" i="73"/>
  <c r="F6" i="73"/>
  <c r="E11" i="76"/>
  <c r="F5" i="73"/>
  <c r="E9" i="76"/>
  <c r="B12" i="76"/>
  <c r="B11" i="76"/>
  <c r="D6" i="73"/>
  <c r="AO13" i="1"/>
  <c r="B10" i="76"/>
  <c r="B8" i="76"/>
  <c r="E8" i="76"/>
  <c r="F4" i="73"/>
  <c r="B7" i="76"/>
  <c r="E10" i="76"/>
  <c r="F3" i="73"/>
  <c r="E12" i="76"/>
  <c r="D4" i="73"/>
  <c r="F19" i="6" l="1"/>
  <c r="E19" i="6"/>
  <c r="BL15" i="3"/>
  <c r="AZ15" i="3" s="1"/>
  <c r="H5" i="3"/>
  <c r="H50" i="43"/>
  <c r="G50" i="43" s="1"/>
  <c r="M50" i="43" s="1"/>
  <c r="N50" i="43" s="1"/>
  <c r="BA14" i="3"/>
  <c r="AZ14" i="3" s="1"/>
  <c r="C7" i="33"/>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G1" i="69"/>
  <c r="G1" i="68"/>
  <c r="G1" i="15"/>
  <c r="B6" i="1"/>
  <c r="E6" i="1" s="1"/>
  <c r="BB5" i="3"/>
  <c r="E15" i="6" s="1"/>
  <c r="E64"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M6" i="67"/>
  <c r="F26" i="67"/>
  <c r="F6" i="15"/>
  <c r="F7" i="67"/>
  <c r="M28" i="15"/>
  <c r="F37" i="15"/>
  <c r="F13" i="67"/>
  <c r="M29" i="15"/>
  <c r="F42" i="67"/>
  <c r="F43" i="15"/>
  <c r="F43" i="67"/>
  <c r="M9" i="15"/>
  <c r="F36" i="15"/>
  <c r="F16" i="67"/>
  <c r="M24" i="15"/>
  <c r="J15" i="67"/>
  <c r="F38" i="67"/>
  <c r="F36" i="67"/>
  <c r="L47" i="67"/>
  <c r="F9" i="15"/>
  <c r="M29" i="67"/>
  <c r="M23" i="67"/>
  <c r="M8" i="67"/>
  <c r="M26" i="15"/>
  <c r="M22" i="67"/>
  <c r="M6" i="15"/>
  <c r="F40" i="67"/>
  <c r="F13" i="15"/>
  <c r="F40" i="15"/>
  <c r="M26" i="67"/>
  <c r="F37" i="67"/>
  <c r="C76" i="67"/>
  <c r="M8" i="15"/>
  <c r="J15" i="15"/>
  <c r="M23" i="15"/>
  <c r="L47" i="15"/>
  <c r="F42" i="15"/>
  <c r="C76" i="15"/>
  <c r="M22" i="15"/>
  <c r="F8" i="67"/>
  <c r="L48" i="67"/>
  <c r="M9" i="67"/>
  <c r="F38" i="15"/>
  <c r="M24" i="67"/>
  <c r="D5" i="73"/>
  <c r="F7" i="15"/>
  <c r="F26" i="15"/>
  <c r="F8" i="15"/>
  <c r="F16" i="15"/>
  <c r="F9" i="67"/>
  <c r="D7" i="73"/>
  <c r="L48" i="15"/>
  <c r="M28" i="67"/>
  <c r="C33" i="33" l="1"/>
  <c r="AP6" i="1"/>
  <c r="Z22" i="1"/>
  <c r="F33" i="33"/>
  <c r="J33" i="33"/>
  <c r="H33" i="33"/>
  <c r="E8" i="6"/>
  <c r="F27" i="6" s="1"/>
  <c r="E10" i="6"/>
  <c r="E13" i="6"/>
  <c r="E11" i="6"/>
  <c r="E60" i="39" s="1"/>
  <c r="F28" i="6"/>
  <c r="P26" i="43"/>
  <c r="F7" i="36"/>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296"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27" i="6" s="1"/>
  <c r="E61" i="43"/>
  <c r="B59" i="43" s="1"/>
  <c r="H7" i="34"/>
  <c r="AB7" i="34" s="1"/>
  <c r="T49" i="34" s="1"/>
  <c r="G49" i="34" s="1"/>
  <c r="J7" i="34"/>
  <c r="W7" i="34" s="1"/>
  <c r="F7" i="34"/>
  <c r="S7" i="34" s="1"/>
  <c r="AA26" i="35"/>
  <c r="S26" i="35"/>
  <c r="AC26" i="35"/>
  <c r="W26" i="35"/>
  <c r="AB26" i="35"/>
  <c r="U26" i="35"/>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F7" i="33"/>
  <c r="E58" i="21"/>
  <c r="W7" i="36"/>
  <c r="F7" i="37"/>
  <c r="M17" i="67"/>
  <c r="M17" i="15"/>
  <c r="P28" i="43"/>
  <c r="B66" i="40" s="1"/>
  <c r="P25" i="43"/>
  <c r="P29" i="43"/>
  <c r="P27" i="43"/>
  <c r="M11" i="67"/>
  <c r="F11" i="15"/>
  <c r="M11" i="15"/>
  <c r="J10" i="15" s="1"/>
  <c r="F11" i="67"/>
  <c r="AE11" i="1"/>
  <c r="AE9" i="1"/>
  <c r="AE7" i="1"/>
  <c r="AE8" i="1"/>
  <c r="AE12" i="1"/>
  <c r="AE10" i="1"/>
  <c r="C36" i="69"/>
  <c r="C16" i="15"/>
  <c r="G1" i="73"/>
  <c r="C16" i="67"/>
  <c r="F6" i="67"/>
  <c r="E51" i="40" l="1"/>
  <c r="E56" i="39"/>
  <c r="AB33" i="33"/>
  <c r="U33" i="33"/>
  <c r="AC33" i="33"/>
  <c r="W33" i="33"/>
  <c r="AA33" i="33"/>
  <c r="S33" i="33"/>
  <c r="C6" i="67"/>
  <c r="C32" i="67" s="1"/>
  <c r="E302" i="3"/>
  <c r="E92" i="3"/>
  <c r="E100" i="3"/>
  <c r="E225" i="3"/>
  <c r="E299" i="3"/>
  <c r="E304" i="3"/>
  <c r="E14" i="3"/>
  <c r="E112" i="3"/>
  <c r="E303" i="3"/>
  <c r="E285" i="3"/>
  <c r="E191" i="3"/>
  <c r="E491" i="3"/>
  <c r="E280" i="3"/>
  <c r="E321" i="3"/>
  <c r="E224" i="3"/>
  <c r="E514" i="3"/>
  <c r="E211" i="3"/>
  <c r="E227" i="3"/>
  <c r="K6" i="3"/>
  <c r="E350" i="3"/>
  <c r="E561" i="3"/>
  <c r="E384" i="3"/>
  <c r="E549" i="3"/>
  <c r="E336" i="3"/>
  <c r="E366" i="3"/>
  <c r="E429" i="3"/>
  <c r="L6" i="3"/>
  <c r="E188" i="3"/>
  <c r="E374" i="3"/>
  <c r="E47" i="3"/>
  <c r="E75" i="3"/>
  <c r="E292" i="3"/>
  <c r="E20" i="3"/>
  <c r="E223" i="3"/>
  <c r="E212" i="3"/>
  <c r="E123" i="3"/>
  <c r="E353" i="3"/>
  <c r="E159" i="3"/>
  <c r="E17" i="3"/>
  <c r="E237" i="3"/>
  <c r="E338" i="3"/>
  <c r="E328" i="3"/>
  <c r="E547" i="3"/>
  <c r="E168" i="3"/>
  <c r="E136" i="3"/>
  <c r="E445" i="3"/>
  <c r="E431" i="3"/>
  <c r="E489" i="3"/>
  <c r="E214" i="3"/>
  <c r="AK6" i="3"/>
  <c r="E180" i="3"/>
  <c r="E143" i="3"/>
  <c r="E162" i="3"/>
  <c r="E72" i="3"/>
  <c r="E117" i="3"/>
  <c r="E121" i="3"/>
  <c r="E177" i="3"/>
  <c r="E178" i="3"/>
  <c r="E284" i="3"/>
  <c r="E542" i="3"/>
  <c r="E436" i="3"/>
  <c r="E494" i="3"/>
  <c r="E38" i="3"/>
  <c r="E462" i="3"/>
  <c r="E94" i="3"/>
  <c r="AN6" i="3"/>
  <c r="E254" i="3"/>
  <c r="E213" i="3"/>
  <c r="E169" i="3"/>
  <c r="E418" i="3"/>
  <c r="E319" i="3"/>
  <c r="E411" i="3"/>
  <c r="E537" i="3"/>
  <c r="E386" i="3"/>
  <c r="E69" i="3"/>
  <c r="E322" i="3"/>
  <c r="E400" i="3"/>
  <c r="E454" i="3"/>
  <c r="E77" i="3"/>
  <c r="E528" i="3"/>
  <c r="E388" i="3"/>
  <c r="AS6" i="3"/>
  <c r="E573" i="3"/>
  <c r="E294" i="3"/>
  <c r="E448" i="3"/>
  <c r="E375" i="3"/>
  <c r="E498" i="3"/>
  <c r="E138" i="3"/>
  <c r="E62" i="3"/>
  <c r="AF6" i="3"/>
  <c r="E510" i="3"/>
  <c r="E517" i="3"/>
  <c r="E59" i="3"/>
  <c r="E267" i="3"/>
  <c r="E8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271" i="3"/>
  <c r="E417" i="3"/>
  <c r="E409" i="3"/>
  <c r="E300" i="3"/>
  <c r="E144" i="3"/>
  <c r="E63"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125" i="3"/>
  <c r="N6" i="3"/>
  <c r="E396" i="3"/>
  <c r="E559" i="3"/>
  <c r="E320" i="3"/>
  <c r="E114" i="3"/>
  <c r="E550" i="3"/>
  <c r="E245" i="3"/>
  <c r="E293" i="3"/>
  <c r="E348" i="3"/>
  <c r="E253" i="3"/>
  <c r="E511" i="3"/>
  <c r="E519" i="3"/>
  <c r="E457" i="3"/>
  <c r="E433" i="3"/>
  <c r="E279" i="3"/>
  <c r="E567" i="3"/>
  <c r="E107" i="3"/>
  <c r="E258" i="3"/>
  <c r="E46" i="3"/>
  <c r="E310" i="3"/>
  <c r="E184" i="3"/>
  <c r="E81" i="3"/>
  <c r="E513" i="3"/>
  <c r="E137" i="3"/>
  <c r="E36" i="3"/>
  <c r="E205" i="3"/>
  <c r="E369" i="3"/>
  <c r="E405" i="3"/>
  <c r="E408" i="3"/>
  <c r="E497" i="3"/>
  <c r="E420" i="3"/>
  <c r="E115" i="3"/>
  <c r="E243" i="3"/>
  <c r="E42" i="3"/>
  <c r="E412" i="3"/>
  <c r="E129" i="3"/>
  <c r="E235" i="3"/>
  <c r="E103" i="3"/>
  <c r="E21" i="3"/>
  <c r="E525" i="3"/>
  <c r="E26" i="3"/>
  <c r="E18" i="3"/>
  <c r="E86" i="3"/>
  <c r="E102" i="3"/>
  <c r="E57" i="3"/>
  <c r="E65" i="3"/>
  <c r="E341" i="3"/>
  <c r="E265" i="3"/>
  <c r="E552" i="3"/>
  <c r="E566" i="3"/>
  <c r="E131" i="3"/>
  <c r="E163" i="3"/>
  <c r="Y6" i="3"/>
  <c r="E116" i="3"/>
  <c r="E507" i="3"/>
  <c r="E419" i="3"/>
  <c r="E119" i="3"/>
  <c r="E60" i="3"/>
  <c r="E339" i="3"/>
  <c r="E113" i="3"/>
  <c r="E330" i="3"/>
  <c r="E496" i="3"/>
  <c r="E32" i="3"/>
  <c r="P6" i="3"/>
  <c r="E166" i="3"/>
  <c r="E553" i="3"/>
  <c r="E151" i="3"/>
  <c r="E230" i="3"/>
  <c r="E290" i="3"/>
  <c r="E583" i="3"/>
  <c r="E85" i="3"/>
  <c r="E458" i="3"/>
  <c r="E111" i="3"/>
  <c r="E269" i="3"/>
  <c r="E414" i="3"/>
  <c r="E476" i="3"/>
  <c r="E186" i="3"/>
  <c r="E44" i="3"/>
  <c r="E343" i="3"/>
  <c r="E555" i="3"/>
  <c r="E270" i="3"/>
  <c r="E538" i="3"/>
  <c r="E216" i="3"/>
  <c r="E183" i="3"/>
  <c r="E91" i="3"/>
  <c r="E586" i="3"/>
  <c r="E347" i="3"/>
  <c r="E568" i="3"/>
  <c r="E228" i="3"/>
  <c r="E560" i="3"/>
  <c r="E587" i="3"/>
  <c r="E106" i="3"/>
  <c r="E315" i="3"/>
  <c r="E368" i="3"/>
  <c r="Z6" i="3"/>
  <c r="E345" i="3"/>
  <c r="E28" i="3"/>
  <c r="E273" i="3"/>
  <c r="E217" i="3"/>
  <c r="AJ6" i="3"/>
  <c r="E247" i="3"/>
  <c r="E570" i="3"/>
  <c r="E335" i="3"/>
  <c r="E278" i="3"/>
  <c r="E535" i="3"/>
  <c r="E263" i="3"/>
  <c r="E246" i="3"/>
  <c r="E13" i="3"/>
  <c r="E352" i="3"/>
  <c r="E313" i="3"/>
  <c r="E438" i="3"/>
  <c r="E471" i="3"/>
  <c r="E208" i="3"/>
  <c r="E93" i="3"/>
  <c r="E145" i="3"/>
  <c r="E548" i="3"/>
  <c r="E403" i="3"/>
  <c r="E126" i="3"/>
  <c r="AM6" i="3"/>
  <c r="E501" i="3"/>
  <c r="O6" i="3"/>
  <c r="E97" i="3"/>
  <c r="E506" i="3"/>
  <c r="E23" i="3"/>
  <c r="E219" i="3"/>
  <c r="E456" i="3"/>
  <c r="E198" i="3"/>
  <c r="E190" i="3"/>
  <c r="E206" i="3"/>
  <c r="E287" i="3"/>
  <c r="E259" i="3"/>
  <c r="E266" i="3"/>
  <c r="E222" i="3"/>
  <c r="E244" i="3"/>
  <c r="E487" i="3"/>
  <c r="E413" i="3"/>
  <c r="E58" i="3"/>
  <c r="E354" i="3"/>
  <c r="E323" i="3"/>
  <c r="E493" i="3"/>
  <c r="E490" i="3"/>
  <c r="E463" i="3"/>
  <c r="E226" i="3"/>
  <c r="E15" i="3"/>
  <c r="E340" i="3"/>
  <c r="E434" i="3"/>
  <c r="E481" i="3"/>
  <c r="E203" i="3"/>
  <c r="E252" i="3"/>
  <c r="E581" i="3"/>
  <c r="E334" i="3"/>
  <c r="E239" i="3"/>
  <c r="E551" i="3"/>
  <c r="E415" i="3"/>
  <c r="E382" i="3"/>
  <c r="E332" i="3"/>
  <c r="E99" i="3"/>
  <c r="E562" i="3"/>
  <c r="E351" i="3"/>
  <c r="E585" i="3"/>
  <c r="E477" i="3"/>
  <c r="E447" i="3"/>
  <c r="E210" i="3"/>
  <c r="E441" i="3"/>
  <c r="E305" i="3"/>
  <c r="E410" i="3"/>
  <c r="E533" i="3"/>
  <c r="E439" i="3"/>
  <c r="E185" i="3"/>
  <c r="E361" i="3"/>
  <c r="E134" i="3"/>
  <c r="E495" i="3"/>
  <c r="E312" i="3"/>
  <c r="E181" i="3"/>
  <c r="E277" i="3"/>
  <c r="E472" i="3"/>
  <c r="E577" i="3"/>
  <c r="E146" i="3"/>
  <c r="E362" i="3"/>
  <c r="E89" i="3"/>
  <c r="AO6" i="3"/>
  <c r="E557" i="3"/>
  <c r="E70" i="3"/>
  <c r="E377" i="3"/>
  <c r="E526" i="3"/>
  <c r="E509" i="3"/>
  <c r="E201" i="3"/>
  <c r="M6" i="3"/>
  <c r="E215" i="3"/>
  <c r="E563" i="3"/>
  <c r="E161" i="3"/>
  <c r="E423" i="3"/>
  <c r="X6" i="3"/>
  <c r="E122" i="3"/>
  <c r="E306" i="3"/>
  <c r="E532" i="3"/>
  <c r="E288" i="3"/>
  <c r="E475" i="3"/>
  <c r="E257" i="3"/>
  <c r="E397" i="3"/>
  <c r="E379" i="3"/>
  <c r="E432" i="3"/>
  <c r="E546" i="3"/>
  <c r="E272" i="3"/>
  <c r="E29" i="3"/>
  <c r="E153" i="3"/>
  <c r="E574" i="3"/>
  <c r="E390" i="3"/>
  <c r="E233" i="3"/>
  <c r="E147" i="3"/>
  <c r="E451" i="3"/>
  <c r="E391" i="3"/>
  <c r="E324" i="3"/>
  <c r="E232" i="3"/>
  <c r="E308" i="3"/>
  <c r="E378" i="3"/>
  <c r="E584" i="3"/>
  <c r="E373" i="3"/>
  <c r="E149" i="3"/>
  <c r="E398" i="3"/>
  <c r="E460" i="3"/>
  <c r="E488" i="3"/>
  <c r="E66" i="3"/>
  <c r="E82" i="3"/>
  <c r="E564" i="3"/>
  <c r="E376" i="3"/>
  <c r="E40" i="3"/>
  <c r="E276" i="3"/>
  <c r="E455" i="3"/>
  <c r="E50" i="3"/>
  <c r="E128" i="3"/>
  <c r="E424" i="3"/>
  <c r="E256" i="3"/>
  <c r="E164" i="3"/>
  <c r="E444" i="3"/>
  <c r="E30" i="3"/>
  <c r="E516" i="3"/>
  <c r="V6" i="3"/>
  <c r="E395" i="3"/>
  <c r="E578" i="3"/>
  <c r="E522" i="3"/>
  <c r="E45" i="3"/>
  <c r="E571" i="3"/>
  <c r="E318" i="3"/>
  <c r="E515" i="3"/>
  <c r="E505" i="3"/>
  <c r="E27" i="3"/>
  <c r="E331" i="3"/>
  <c r="E175" i="3"/>
  <c r="E508" i="3"/>
  <c r="E337" i="3"/>
  <c r="AR6" i="3"/>
  <c r="E380" i="3"/>
  <c r="E261" i="3"/>
  <c r="E503" i="3"/>
  <c r="E301" i="3"/>
  <c r="E124" i="3"/>
  <c r="E141" i="3"/>
  <c r="E545" i="3"/>
  <c r="E133" i="3"/>
  <c r="E406" i="3"/>
  <c r="E468" i="3"/>
  <c r="E171" i="3"/>
  <c r="E74" i="3"/>
  <c r="E204" i="3"/>
  <c r="E485" i="3"/>
  <c r="E531" i="3"/>
  <c r="E182" i="3"/>
  <c r="E572" i="3"/>
  <c r="E268" i="3"/>
  <c r="E579" i="3"/>
  <c r="E311" i="3"/>
  <c r="AB6" i="3"/>
  <c r="E189" i="3"/>
  <c r="E172" i="3"/>
  <c r="E135" i="3"/>
  <c r="AI6" i="3"/>
  <c r="E521" i="3"/>
  <c r="E461" i="3"/>
  <c r="E157" i="3"/>
  <c r="E529" i="3"/>
  <c r="W6" i="3"/>
  <c r="E54" i="3"/>
  <c r="E357" i="3"/>
  <c r="E196" i="3"/>
  <c r="U6" i="3"/>
  <c r="E367" i="3"/>
  <c r="E71" i="3"/>
  <c r="E291" i="3"/>
  <c r="E53" i="3"/>
  <c r="E426" i="3"/>
  <c r="E359" i="3"/>
  <c r="S6" i="3"/>
  <c r="E63" i="39"/>
  <c r="E59" i="40"/>
  <c r="E56" i="40"/>
  <c r="E473" i="3"/>
  <c r="E220" i="3"/>
  <c r="E484" i="3"/>
  <c r="AA6" i="3"/>
  <c r="E402" i="3"/>
  <c r="E221" i="3"/>
  <c r="E565" i="3"/>
  <c r="E298" i="3"/>
  <c r="E523" i="3"/>
  <c r="E317" i="3"/>
  <c r="E207" i="3"/>
  <c r="E474" i="3"/>
  <c r="E385" i="3"/>
  <c r="E387" i="3"/>
  <c r="E109" i="3"/>
  <c r="E327" i="3"/>
  <c r="E465" i="3"/>
  <c r="E399" i="3"/>
  <c r="E231" i="3"/>
  <c r="E530" i="3"/>
  <c r="E478" i="3"/>
  <c r="E453" i="3"/>
  <c r="E229" i="3"/>
  <c r="E580" i="3"/>
  <c r="E234" i="3"/>
  <c r="E486" i="3"/>
  <c r="E90" i="3"/>
  <c r="E250" i="3"/>
  <c r="E35" i="3"/>
  <c r="E264" i="3"/>
  <c r="F30" i="6"/>
  <c r="F31" i="6" s="1"/>
  <c r="E28" i="6"/>
  <c r="K26" i="6" s="1"/>
  <c r="M26" i="6" s="1"/>
  <c r="I26" i="6" s="1"/>
  <c r="S26" i="6" s="1"/>
  <c r="E200" i="3"/>
  <c r="E64" i="3"/>
  <c r="E389" i="3"/>
  <c r="E152" i="3"/>
  <c r="E449" i="3"/>
  <c r="E118" i="3"/>
  <c r="E381" i="3"/>
  <c r="E67" i="3"/>
  <c r="E371" i="3"/>
  <c r="E142" i="3"/>
  <c r="E425" i="3"/>
  <c r="E349" i="3"/>
  <c r="E95" i="3"/>
  <c r="E442" i="3"/>
  <c r="E554" i="3"/>
  <c r="E502" i="3"/>
  <c r="E355" i="3"/>
  <c r="E33" i="3"/>
  <c r="E492" i="3"/>
  <c r="E249" i="3"/>
  <c r="E160" i="3"/>
  <c r="E467" i="3"/>
  <c r="E544" i="3"/>
  <c r="E241" i="3"/>
  <c r="E56" i="3"/>
  <c r="E255" i="3"/>
  <c r="E286"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F27" i="69"/>
  <c r="D9" i="69"/>
  <c r="AE6" i="1"/>
  <c r="H6" i="3" l="1"/>
  <c r="C9" i="69"/>
  <c r="F45" i="69"/>
  <c r="AC6" i="3"/>
  <c r="E6" i="3" s="1"/>
  <c r="E65" i="39"/>
  <c r="E49" i="34"/>
  <c r="K14" i="1"/>
  <c r="E30" i="6"/>
  <c r="E31" i="6" s="1"/>
  <c r="AY6" i="3"/>
  <c r="AY154"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371" i="3"/>
  <c r="AY100" i="3"/>
  <c r="AY329" i="3"/>
  <c r="AY516" i="3"/>
  <c r="AY287" i="3"/>
  <c r="AY140" i="3"/>
  <c r="AY265" i="3"/>
  <c r="AY260" i="3"/>
  <c r="AY573" i="3"/>
  <c r="C17" i="4"/>
  <c r="B4" i="52" s="1"/>
  <c r="B43" i="72" s="1"/>
  <c r="D37" i="11"/>
  <c r="AY119" i="3"/>
  <c r="AY275" i="3"/>
  <c r="AY44" i="3"/>
  <c r="D19" i="11"/>
  <c r="C19" i="11" s="1"/>
  <c r="E6" i="6"/>
  <c r="D20" i="12" s="1"/>
  <c r="C20" i="12" s="1"/>
  <c r="AY547" i="3"/>
  <c r="AY431" i="3"/>
  <c r="AY364" i="3"/>
  <c r="AY112" i="3"/>
  <c r="AY377" i="3"/>
  <c r="E11" i="71"/>
  <c r="E10" i="71" s="1"/>
  <c r="E9" i="71" s="1"/>
  <c r="E8" i="71" s="1"/>
  <c r="E7" i="71" s="1"/>
  <c r="E6" i="71" s="1"/>
  <c r="E5" i="71" s="1"/>
  <c r="V12" i="71"/>
  <c r="AC10" i="39"/>
  <c r="O16" i="1"/>
  <c r="S10" i="39"/>
  <c r="AA10" i="39"/>
  <c r="E50" i="43"/>
  <c r="B48" i="43" s="1"/>
  <c r="C28" i="43" s="1"/>
  <c r="AY111" i="3"/>
  <c r="AY470" i="3"/>
  <c r="AY541" i="3"/>
  <c r="AY210" i="3"/>
  <c r="AY510" i="3"/>
  <c r="AY85" i="3"/>
  <c r="AY325" i="3"/>
  <c r="AY489" i="3"/>
  <c r="AY255" i="3"/>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15"/>
  <c r="C34" i="69"/>
  <c r="F41" i="67"/>
  <c r="C17" i="67"/>
  <c r="M27" i="67"/>
  <c r="C17" i="15"/>
  <c r="C14" i="67"/>
  <c r="AY166" i="3" l="1"/>
  <c r="AY555" i="3"/>
  <c r="AY231" i="3"/>
  <c r="AY160" i="3"/>
  <c r="AY469" i="3"/>
  <c r="AY567" i="3"/>
  <c r="AY571" i="3"/>
  <c r="AY86" i="3"/>
  <c r="AY236" i="3"/>
  <c r="AY374" i="3"/>
  <c r="D10" i="11"/>
  <c r="C10" i="11" s="1"/>
  <c r="D10" i="68"/>
  <c r="D19" i="68" s="1"/>
  <c r="AY449" i="3"/>
  <c r="AY198" i="3"/>
  <c r="AY82" i="3"/>
  <c r="AY186" i="3"/>
  <c r="AY447" i="3"/>
  <c r="BM6" i="3"/>
  <c r="AY177" i="3"/>
  <c r="AY118" i="3"/>
  <c r="AY433" i="3"/>
  <c r="AY204" i="3"/>
  <c r="AY95" i="3"/>
  <c r="AY217" i="3"/>
  <c r="AY495" i="3"/>
  <c r="AY539" i="3"/>
  <c r="AY423" i="3"/>
  <c r="AY587" i="3"/>
  <c r="AY440" i="3"/>
  <c r="AY333" i="3"/>
  <c r="AY345" i="3"/>
  <c r="AY511" i="3"/>
  <c r="AY515" i="3"/>
  <c r="AY369" i="3"/>
  <c r="AY496" i="3"/>
  <c r="AY388" i="3"/>
  <c r="AY50" i="3"/>
  <c r="AY402" i="3"/>
  <c r="AY461" i="3"/>
  <c r="AY331" i="3"/>
  <c r="AY536" i="3"/>
  <c r="AY239" i="3"/>
  <c r="AY283" i="3"/>
  <c r="AY232" i="3"/>
  <c r="AY194" i="3"/>
  <c r="AY220" i="3"/>
  <c r="AY75" i="3"/>
  <c r="AY335" i="3"/>
  <c r="AY26" i="3"/>
  <c r="AY176" i="3"/>
  <c r="AY67" i="3"/>
  <c r="AY300" i="3"/>
  <c r="AY97" i="3"/>
  <c r="AY125" i="3"/>
  <c r="BJ6" i="3"/>
  <c r="AY353" i="3"/>
  <c r="AY585" i="3"/>
  <c r="AY444" i="3"/>
  <c r="AY36" i="3"/>
  <c r="AY150" i="3"/>
  <c r="AY559" i="3"/>
  <c r="AY497" i="3"/>
  <c r="AY193" i="3"/>
  <c r="AY121" i="3"/>
  <c r="AY543" i="3"/>
  <c r="AY137" i="3"/>
  <c r="AY312" i="3"/>
  <c r="AY14" i="3"/>
  <c r="AY46" i="3"/>
  <c r="AY23" i="3"/>
  <c r="AY103" i="3"/>
  <c r="AY245" i="3"/>
  <c r="AY77" i="3"/>
  <c r="AY246" i="3"/>
  <c r="AY242" i="3"/>
  <c r="AY534" i="3"/>
  <c r="AY481" i="3"/>
  <c r="AY93" i="3"/>
  <c r="AY556" i="3"/>
  <c r="AY417" i="3"/>
  <c r="AY72" i="3"/>
  <c r="AY494" i="3"/>
  <c r="AY223" i="3"/>
  <c r="AY579" i="3"/>
  <c r="AY192" i="3"/>
  <c r="AY466" i="3"/>
  <c r="AY27" i="3"/>
  <c r="AY323" i="3"/>
  <c r="AY205" i="3"/>
  <c r="AY399" i="3"/>
  <c r="AY216" i="3"/>
  <c r="AY288" i="3"/>
  <c r="AY113" i="3"/>
  <c r="AY522" i="3"/>
  <c r="AY315" i="3"/>
  <c r="AY386" i="3"/>
  <c r="AY42" i="3"/>
  <c r="AY123" i="3"/>
  <c r="AY342" i="3"/>
  <c r="AY190" i="3"/>
  <c r="AY360" i="3"/>
  <c r="AY348" i="3"/>
  <c r="AY18" i="3"/>
  <c r="AY53" i="3"/>
  <c r="AY226" i="3"/>
  <c r="AY132" i="3"/>
  <c r="AY52" i="3"/>
  <c r="AY370" i="3"/>
  <c r="AY80" i="3"/>
  <c r="AY344" i="3"/>
  <c r="AY521" i="3"/>
  <c r="AY485" i="3"/>
  <c r="AY434" i="3"/>
  <c r="AY474" i="3"/>
  <c r="AY383" i="3"/>
  <c r="AY492" i="3"/>
  <c r="AY416" i="3"/>
  <c r="AY184" i="3"/>
  <c r="AY362" i="3"/>
  <c r="AY509" i="3"/>
  <c r="AY129" i="3"/>
  <c r="AY270" i="3"/>
  <c r="AY435" i="3"/>
  <c r="AY425" i="3"/>
  <c r="AY197" i="3"/>
  <c r="AY544" i="3"/>
  <c r="AY268" i="3"/>
  <c r="AY400" i="3"/>
  <c r="AY359" i="3"/>
  <c r="AY445" i="3"/>
  <c r="AY322" i="3"/>
  <c r="AY233" i="3"/>
  <c r="AY304" i="3"/>
  <c r="AY448"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59" i="3"/>
  <c r="AY289" i="3"/>
  <c r="AY310" i="3"/>
  <c r="AY76" i="3"/>
  <c r="AY263" i="3"/>
  <c r="AY56" i="3"/>
  <c r="AY316" i="3"/>
  <c r="AY546" i="3"/>
  <c r="AY244" i="3"/>
  <c r="AY126" i="3"/>
  <c r="AY393" i="3"/>
  <c r="AY577" i="3"/>
  <c r="AY343" i="3"/>
  <c r="AY291" i="3"/>
  <c r="AY341" i="3"/>
  <c r="AY582" i="3"/>
  <c r="AY251" i="3"/>
  <c r="AY468" i="3"/>
  <c r="AY565" i="3"/>
  <c r="AY156" i="3"/>
  <c r="AY115" i="3"/>
  <c r="AY183" i="3"/>
  <c r="AY327" i="3"/>
  <c r="AY33" i="3"/>
  <c r="AY357" i="3"/>
  <c r="AY317" i="3"/>
  <c r="AY16" i="3"/>
  <c r="AY89" i="3"/>
  <c r="AY279" i="3"/>
  <c r="AY49" i="3"/>
  <c r="AY84" i="3"/>
  <c r="AY215" i="3"/>
  <c r="AY96" i="3"/>
  <c r="AY313" i="3"/>
  <c r="AY524" i="3"/>
  <c r="AY127" i="3"/>
  <c r="AY405" i="3"/>
  <c r="AY159" i="3"/>
  <c r="AY459" i="3"/>
  <c r="AY235" i="3"/>
  <c r="AY537" i="3"/>
  <c r="AY482" i="3"/>
  <c r="AY339" i="3"/>
  <c r="AY361" i="3"/>
  <c r="BP6" i="3"/>
  <c r="AY500" i="3"/>
  <c r="AY443" i="3"/>
  <c r="AY58" i="3"/>
  <c r="AY319" i="3"/>
  <c r="AY513" i="3"/>
  <c r="AY149" i="3"/>
  <c r="AY41" i="3"/>
  <c r="AY462" i="3"/>
  <c r="AY387" i="3"/>
  <c r="AY146" i="3"/>
  <c r="AY454" i="3"/>
  <c r="AY455" i="3"/>
  <c r="AY134" i="3"/>
  <c r="AY406" i="3"/>
  <c r="AY158" i="3"/>
  <c r="AY484" i="3"/>
  <c r="AY351" i="3"/>
  <c r="AY301" i="3"/>
  <c r="AY305" i="3"/>
  <c r="AY272" i="3"/>
  <c r="AY203" i="3"/>
  <c r="AY385" i="3"/>
  <c r="AY338" i="3"/>
  <c r="AY91" i="3"/>
  <c r="AY249" i="3"/>
  <c r="AY506" i="3"/>
  <c r="AY101" i="3"/>
  <c r="AY105" i="3"/>
  <c r="AY130" i="3"/>
  <c r="BG6" i="3"/>
  <c r="AY397" i="3"/>
  <c r="AY372" i="3"/>
  <c r="AY124" i="3"/>
  <c r="AY240" i="3"/>
  <c r="AY151" i="3"/>
  <c r="AY337" i="3"/>
  <c r="AY136" i="3"/>
  <c r="AY30" i="3"/>
  <c r="AY218" i="3"/>
  <c r="AY354" i="3"/>
  <c r="AY281" i="3"/>
  <c r="AY318" i="3"/>
  <c r="AY401" i="3"/>
  <c r="AY206" i="3"/>
  <c r="AY230" i="3"/>
  <c r="AY145" i="3"/>
  <c r="AY457" i="3"/>
  <c r="AY501" i="3"/>
  <c r="AY404" i="3"/>
  <c r="AY254" i="3"/>
  <c r="AY467" i="3"/>
  <c r="AY191" i="3"/>
  <c r="AY557" i="3"/>
  <c r="AY227" i="3"/>
  <c r="AY438" i="3"/>
  <c r="AY65" i="3"/>
  <c r="AY380" i="3"/>
  <c r="AY426" i="3"/>
  <c r="AY570" i="3"/>
  <c r="AY285" i="3"/>
  <c r="AY276" i="3"/>
  <c r="AY209" i="3"/>
  <c r="AY420" i="3"/>
  <c r="AY165" i="3"/>
  <c r="AY73" i="3"/>
  <c r="AY472" i="3"/>
  <c r="AY237" i="3"/>
  <c r="AY178" i="3"/>
  <c r="AY308" i="3"/>
  <c r="AY350" i="3"/>
  <c r="AY173" i="3"/>
  <c r="AY480" i="3"/>
  <c r="AY189" i="3"/>
  <c r="AY471" i="3"/>
  <c r="BR6" i="3"/>
  <c r="AY221" i="3"/>
  <c r="AY512" i="3"/>
  <c r="AY273" i="3"/>
  <c r="AY550" i="3"/>
  <c r="AY321" i="3"/>
  <c r="AY110" i="3"/>
  <c r="AY528" i="3"/>
  <c r="AY413" i="3"/>
  <c r="AY479" i="3"/>
  <c r="AY19" i="3"/>
  <c r="AY71" i="3"/>
  <c r="BT6" i="3"/>
  <c r="AY225" i="3"/>
  <c r="AY529" i="3"/>
  <c r="BE6" i="3"/>
  <c r="AY278" i="3"/>
  <c r="AY114" i="3"/>
  <c r="AY581" i="3"/>
  <c r="AY269" i="3"/>
  <c r="AY222" i="3"/>
  <c r="BN6" i="3"/>
  <c r="AY212" i="3"/>
  <c r="AY373" i="3"/>
  <c r="AY520" i="3"/>
  <c r="AY282" i="3"/>
  <c r="AY164" i="3"/>
  <c r="AY79" i="3"/>
  <c r="AY267" i="3"/>
  <c r="AY39" i="3"/>
  <c r="AY548" i="3"/>
  <c r="AY142" i="3"/>
  <c r="AY224" i="3"/>
  <c r="AY517" i="3"/>
  <c r="AY187" i="3"/>
  <c r="AY458" i="3"/>
  <c r="AY580" i="3"/>
  <c r="AY116" i="3"/>
  <c r="AY302" i="3"/>
  <c r="AY414" i="3"/>
  <c r="AY299" i="3"/>
  <c r="AY460" i="3"/>
  <c r="AY200" i="3"/>
  <c r="AY493" i="3"/>
  <c r="AY153" i="3"/>
  <c r="AY102" i="3"/>
  <c r="AY530" i="3"/>
  <c r="AY32" i="3"/>
  <c r="AY256" i="3"/>
  <c r="AY558" i="3"/>
  <c r="AY35" i="3"/>
  <c r="AY453" i="3"/>
  <c r="AY419" i="3"/>
  <c r="AY412" i="3"/>
  <c r="AY117" i="3"/>
  <c r="AY430" i="3"/>
  <c r="AY133" i="3"/>
  <c r="AY473" i="3"/>
  <c r="AY87" i="3"/>
  <c r="AY152" i="3"/>
  <c r="AY303" i="3"/>
  <c r="AY363" i="3"/>
  <c r="AY228" i="3"/>
  <c r="BK6" i="3"/>
  <c r="AY28" i="3"/>
  <c r="AY294" i="3"/>
  <c r="AY554" i="3"/>
  <c r="AY290" i="3"/>
  <c r="AY488" i="3"/>
  <c r="BF6" i="3"/>
  <c r="AY334" i="3"/>
  <c r="AY574" i="3"/>
  <c r="AY271" i="3"/>
  <c r="AY243" i="3"/>
  <c r="AY527" i="3"/>
  <c r="AY292" i="3"/>
  <c r="AY436" i="3"/>
  <c r="AY141" i="3"/>
  <c r="AY181" i="3"/>
  <c r="AY503" i="3"/>
  <c r="AY258" i="3"/>
  <c r="AY540" i="3"/>
  <c r="AY532" i="3"/>
  <c r="AY211" i="3"/>
  <c r="AY526" i="3"/>
  <c r="AY446" i="3"/>
  <c r="AY104" i="3"/>
  <c r="AY201" i="3"/>
  <c r="AY358" i="3"/>
  <c r="AY196" i="3"/>
  <c r="AY34" i="3"/>
  <c r="AY60" i="3"/>
  <c r="AY562" i="3"/>
  <c r="AY161" i="3"/>
  <c r="AY578" i="3"/>
  <c r="AY128" i="3"/>
  <c r="AY583" i="3"/>
  <c r="BO6" i="3"/>
  <c r="BA6" i="3"/>
  <c r="AY17" i="3"/>
  <c r="AY568" i="3"/>
  <c r="AY514" i="3"/>
  <c r="AY57" i="3"/>
  <c r="AY219" i="3"/>
  <c r="AY207" i="3"/>
  <c r="AY64" i="3"/>
  <c r="AY504" i="3"/>
  <c r="AY94" i="3"/>
  <c r="AY238" i="3"/>
  <c r="AY199" i="3"/>
  <c r="AY533" i="3"/>
  <c r="AY99" i="3"/>
  <c r="AY572" i="3"/>
  <c r="AY525" i="3"/>
  <c r="AY398" i="3"/>
  <c r="AY569" i="3"/>
  <c r="BB6" i="3"/>
  <c r="AY379" i="3"/>
  <c r="AY403" i="3"/>
  <c r="AY157" i="3"/>
  <c r="AY163" i="3"/>
  <c r="AY332" i="3"/>
  <c r="AY381" i="3"/>
  <c r="AY45" i="3"/>
  <c r="AY180" i="3"/>
  <c r="AY382" i="3"/>
  <c r="AY155" i="3"/>
  <c r="AY392" i="3"/>
  <c r="AY40" i="3"/>
  <c r="AY519" i="3"/>
  <c r="AY280" i="3"/>
  <c r="BC6" i="3"/>
  <c r="AY538" i="3"/>
  <c r="AY139" i="3"/>
  <c r="AY81" i="3"/>
  <c r="AY456" i="3"/>
  <c r="AY421" i="3"/>
  <c r="AY29" i="3"/>
  <c r="AY535" i="3"/>
  <c r="AY61" i="3"/>
  <c r="AY143" i="3"/>
  <c r="AY22" i="3"/>
  <c r="AY213" i="3"/>
  <c r="AY442" i="3"/>
  <c r="AY229" i="3"/>
  <c r="AY411" i="3"/>
  <c r="AY428" i="3"/>
  <c r="AY407" i="3"/>
  <c r="AY88" i="3"/>
  <c r="BS6" i="3"/>
  <c r="AY274" i="3"/>
  <c r="AY441" i="3"/>
  <c r="AY395" i="3"/>
  <c r="AY284" i="3"/>
  <c r="AY297" i="3"/>
  <c r="AY51" i="3"/>
  <c r="K16" i="1"/>
  <c r="V23" i="1" s="1"/>
  <c r="W23" i="1" s="1"/>
  <c r="M14" i="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AX18" i="3"/>
  <c r="D17" i="77"/>
  <c r="D16" i="77"/>
  <c r="D9" i="77"/>
  <c r="D10" i="77"/>
  <c r="C23" i="77"/>
  <c r="D15" i="77"/>
  <c r="D18" i="77"/>
  <c r="P3" i="77"/>
  <c r="R3" i="77" s="1"/>
  <c r="U5" i="77" s="1"/>
  <c r="S11" i="77"/>
  <c r="D17" i="71"/>
  <c r="C16" i="71"/>
  <c r="F69" i="67"/>
  <c r="F69" i="15"/>
  <c r="T15" i="43"/>
  <c r="V15" i="43" s="1"/>
  <c r="T10" i="43"/>
  <c r="V10" i="43" s="1"/>
  <c r="T2" i="43"/>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8"/>
  <c r="G65" i="40"/>
  <c r="H63" i="40"/>
  <c r="C43" i="37"/>
  <c r="C42" i="37"/>
  <c r="I48" i="35"/>
  <c r="C48" i="33"/>
  <c r="C49" i="33"/>
  <c r="H58" i="21"/>
  <c r="E47" i="37"/>
  <c r="F47" i="37" s="1"/>
  <c r="E46" i="37"/>
  <c r="F46" i="37" s="1"/>
  <c r="I47" i="37"/>
  <c r="J47" i="37" s="1"/>
  <c r="E53" i="33"/>
  <c r="F53" i="33" s="1"/>
  <c r="E52" i="33"/>
  <c r="F52" i="33" s="1"/>
  <c r="C33" i="15"/>
  <c r="C33" i="67"/>
  <c r="J19" i="67"/>
  <c r="D10" i="69"/>
  <c r="C14" i="15"/>
  <c r="V2" i="43" l="1"/>
  <c r="C10" i="69"/>
  <c r="D19" i="69"/>
  <c r="E2" i="70"/>
  <c r="M16" i="1"/>
  <c r="N16" i="1"/>
  <c r="H23" i="6"/>
  <c r="D22" i="6"/>
  <c r="D6" i="6"/>
  <c r="D29" i="6"/>
  <c r="D5" i="6"/>
  <c r="D28" i="6"/>
  <c r="D21" i="6"/>
  <c r="R21" i="6" s="1"/>
  <c r="R8" i="1" s="1"/>
  <c r="D26" i="6"/>
  <c r="D9" i="6"/>
  <c r="D19" i="6"/>
  <c r="D12" i="6"/>
  <c r="E61" i="40"/>
  <c r="D25" i="6"/>
  <c r="D24" i="6"/>
  <c r="D8" i="6"/>
  <c r="D10" i="6"/>
  <c r="C18" i="4"/>
  <c r="D11" i="6"/>
  <c r="H26" i="6"/>
  <c r="D15" i="6"/>
  <c r="D20" i="6"/>
  <c r="D14" i="6"/>
  <c r="D23" i="6"/>
  <c r="D13" i="6"/>
  <c r="H24" i="6"/>
  <c r="H20" i="6"/>
  <c r="H25" i="6"/>
  <c r="H22" i="6"/>
  <c r="H67" i="39"/>
  <c r="G69" i="39"/>
  <c r="C22" i="11"/>
  <c r="C31" i="11" s="1"/>
  <c r="D23" i="77"/>
  <c r="C29" i="77"/>
  <c r="M23" i="43"/>
  <c r="D16" i="71"/>
  <c r="U16" i="71" s="1"/>
  <c r="C15" i="71"/>
  <c r="T16" i="71"/>
  <c r="V3" i="43"/>
  <c r="W3" i="43"/>
  <c r="C7" i="69"/>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R25" i="6" l="1"/>
  <c r="R12" i="1" s="1"/>
  <c r="R23" i="6"/>
  <c r="R10" i="1" s="1"/>
  <c r="R22" i="6"/>
  <c r="R9" i="1" s="1"/>
  <c r="F50" i="68"/>
  <c r="F50" i="69"/>
  <c r="F50" i="11"/>
  <c r="L16" i="1"/>
  <c r="C34" i="68"/>
  <c r="R24" i="6"/>
  <c r="R11" i="1" s="1"/>
  <c r="C4" i="52"/>
  <c r="B45" i="72" s="1"/>
  <c r="A10" i="51"/>
  <c r="B9" i="72" s="1"/>
  <c r="A7" i="51"/>
  <c r="B7" i="72" s="1"/>
  <c r="R20" i="6"/>
  <c r="R7" i="1" s="1"/>
  <c r="R26" i="6"/>
  <c r="D16" i="6"/>
  <c r="M19" i="9"/>
  <c r="C118" i="9" s="1"/>
  <c r="B2" i="74" s="1"/>
  <c r="L19" i="9"/>
  <c r="D27" i="6"/>
  <c r="D30" i="6"/>
  <c r="H69" i="39"/>
  <c r="I67" i="39"/>
  <c r="C14" i="71"/>
  <c r="D15" i="71"/>
  <c r="D29" i="77"/>
  <c r="E23" i="77"/>
  <c r="C5" i="69"/>
  <c r="C23" i="69" s="1"/>
  <c r="C8" i="68"/>
  <c r="C18" i="12"/>
  <c r="C21" i="12" s="1"/>
  <c r="C22" i="12" s="1"/>
  <c r="C30" i="12" s="1"/>
  <c r="C28" i="12" s="1"/>
  <c r="F7" i="21"/>
  <c r="S7" i="21" s="1"/>
  <c r="J7" i="21"/>
  <c r="AC7" i="21" s="1"/>
  <c r="V48" i="21" s="1"/>
  <c r="I48" i="21" s="1"/>
  <c r="C23" i="67"/>
  <c r="C29" i="67" s="1"/>
  <c r="J59" i="67" s="1"/>
  <c r="J60" i="67" s="1"/>
  <c r="Q48" i="67" s="1"/>
  <c r="C19" i="15"/>
  <c r="C20" i="15" s="1"/>
  <c r="C26" i="15" s="1"/>
  <c r="C38" i="11"/>
  <c r="C35" i="11"/>
  <c r="H27" i="6"/>
  <c r="R19" i="6"/>
  <c r="C24" i="68"/>
  <c r="C39" i="69"/>
  <c r="C43" i="69" s="1"/>
  <c r="C42" i="69"/>
  <c r="U7" i="21"/>
  <c r="AB7" i="21"/>
  <c r="T48" i="21" s="1"/>
  <c r="G48" i="21" s="1"/>
  <c r="J63" i="40"/>
  <c r="I65" i="40"/>
  <c r="K48" i="35"/>
  <c r="L48" i="35" s="1"/>
  <c r="M48" i="35" s="1"/>
  <c r="N48" i="35" s="1"/>
  <c r="O48" i="35" s="1"/>
  <c r="H7" i="35" s="1"/>
  <c r="C38" i="68" l="1"/>
  <c r="C35" i="68"/>
  <c r="D31" i="6"/>
  <c r="J67" i="39"/>
  <c r="I69" i="39"/>
  <c r="D14" i="71"/>
  <c r="C13" i="71"/>
  <c r="E26" i="77"/>
  <c r="E29" i="77"/>
  <c r="C20" i="69"/>
  <c r="C28" i="69" s="1"/>
  <c r="C27" i="69" s="1"/>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23" i="15"/>
  <c r="C29" i="15" s="1"/>
  <c r="D13" i="77" s="1"/>
  <c r="C41" i="69"/>
  <c r="R27" i="6"/>
  <c r="R6" i="1"/>
  <c r="C46" i="69"/>
  <c r="C45" i="69" s="1"/>
  <c r="J65" i="40"/>
  <c r="K63" i="40"/>
  <c r="I52" i="21"/>
  <c r="J52" i="21" s="1"/>
  <c r="U7" i="35"/>
  <c r="AB7" i="35"/>
  <c r="T38" i="35" s="1"/>
  <c r="G38" i="35" s="1"/>
  <c r="G52" i="21"/>
  <c r="H52" i="21" s="1"/>
  <c r="G53" i="21"/>
  <c r="H53" i="21" s="1"/>
  <c r="F7" i="35"/>
  <c r="F35" i="15"/>
  <c r="M21" i="15"/>
  <c r="M21" i="67"/>
  <c r="F35" i="67"/>
  <c r="C33" i="68" l="1"/>
  <c r="C42" i="68"/>
  <c r="I5" i="6"/>
  <c r="I6" i="6"/>
  <c r="I7" i="6" s="1"/>
  <c r="G3" i="43" s="1"/>
  <c r="J69" i="39"/>
  <c r="K67" i="39"/>
  <c r="E32" i="77"/>
  <c r="E38" i="77" s="1"/>
  <c r="E39" i="77" s="1"/>
  <c r="D13" i="71"/>
  <c r="C12" i="71"/>
  <c r="W7" i="35"/>
  <c r="C25" i="69"/>
  <c r="C22" i="69" s="1"/>
  <c r="C31" i="69" s="1"/>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39" i="68" l="1"/>
  <c r="C43" i="68" s="1"/>
  <c r="C41" i="68" s="1"/>
  <c r="H26" i="43"/>
  <c r="B116" i="43"/>
  <c r="Z7" i="43"/>
  <c r="F26" i="43"/>
  <c r="J26" i="43"/>
  <c r="N94" i="46"/>
  <c r="N370" i="46"/>
  <c r="E26" i="43"/>
  <c r="G26" i="43"/>
  <c r="L67" i="39"/>
  <c r="K69" i="39"/>
  <c r="T12" i="71"/>
  <c r="D12" i="71"/>
  <c r="U12" i="71" s="1"/>
  <c r="C11" i="71"/>
  <c r="C51" i="69"/>
  <c r="C52" i="69" s="1"/>
  <c r="B2" i="69" s="1"/>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46" i="68" l="1"/>
  <c r="C45" i="68" s="1"/>
  <c r="C49" i="68" s="1"/>
  <c r="C51" i="68" s="1"/>
  <c r="D26" i="43"/>
  <c r="C25" i="43" s="1"/>
  <c r="C33" i="43" s="1"/>
  <c r="G121" i="43"/>
  <c r="H121" i="43" s="1"/>
  <c r="I120" i="43"/>
  <c r="J120" i="43" s="1"/>
  <c r="K120" i="43" s="1"/>
  <c r="L120" i="43" s="1"/>
  <c r="M120" i="43" s="1"/>
  <c r="D120" i="43"/>
  <c r="E120" i="43" s="1"/>
  <c r="F120" i="43" s="1"/>
  <c r="G120" i="43" s="1"/>
  <c r="H120" i="43" s="1"/>
  <c r="B120" i="43"/>
  <c r="C120" i="43" s="1"/>
  <c r="D122" i="43"/>
  <c r="E122" i="43" s="1"/>
  <c r="F122" i="43" s="1"/>
  <c r="G122" i="43" s="1"/>
  <c r="H122" i="43" s="1"/>
  <c r="D118" i="43"/>
  <c r="E118" i="43" s="1"/>
  <c r="F118" i="43" s="1"/>
  <c r="G118" i="43" s="1"/>
  <c r="H118" i="43" s="1"/>
  <c r="B118" i="43"/>
  <c r="C118" i="43" s="1"/>
  <c r="B122" i="43"/>
  <c r="C122" i="43" s="1"/>
  <c r="I122" i="43"/>
  <c r="J122" i="43" s="1"/>
  <c r="K122" i="43" s="1"/>
  <c r="L122" i="43" s="1"/>
  <c r="M122" i="43" s="1"/>
  <c r="I121" i="43"/>
  <c r="J121" i="43" s="1"/>
  <c r="K121" i="43" s="1"/>
  <c r="L121" i="43" s="1"/>
  <c r="M121" i="43" s="1"/>
  <c r="D119" i="43"/>
  <c r="E119" i="43" s="1"/>
  <c r="F119" i="43" s="1"/>
  <c r="G119" i="43" s="1"/>
  <c r="H119" i="43" s="1"/>
  <c r="I119" i="43"/>
  <c r="J119" i="43" s="1"/>
  <c r="K119" i="43" s="1"/>
  <c r="L119" i="43" s="1"/>
  <c r="M119" i="43" s="1"/>
  <c r="I118" i="43"/>
  <c r="J118" i="43" s="1"/>
  <c r="K118" i="43" s="1"/>
  <c r="L118" i="43" s="1"/>
  <c r="M118" i="43" s="1"/>
  <c r="D121" i="43"/>
  <c r="E121" i="43" s="1"/>
  <c r="F121" i="43" s="1"/>
  <c r="B121" i="43"/>
  <c r="C121" i="43" s="1"/>
  <c r="B119" i="43"/>
  <c r="C119" i="43" s="1"/>
  <c r="L69" i="39"/>
  <c r="M67" i="39"/>
  <c r="D11" i="71"/>
  <c r="C10" i="71"/>
  <c r="D7" i="77"/>
  <c r="C26" i="77" s="1"/>
  <c r="C32" i="77" s="1"/>
  <c r="C38" i="77" s="1"/>
  <c r="C39" i="77" s="1"/>
  <c r="E11" i="77"/>
  <c r="Q69" i="67"/>
  <c r="Q68" i="67" s="1"/>
  <c r="H39" i="67"/>
  <c r="C57" i="69"/>
  <c r="C56" i="69" s="1"/>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B3" i="69"/>
  <c r="D2" i="33"/>
  <c r="L51" i="67"/>
  <c r="D116" i="43" l="1"/>
  <c r="E33" i="43"/>
  <c r="C30" i="43" s="1"/>
  <c r="C34" i="43"/>
  <c r="E34" i="43" s="1"/>
  <c r="C31" i="43"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D2" i="37"/>
  <c r="L51" i="15"/>
  <c r="D2" i="35"/>
  <c r="D2" i="36"/>
  <c r="D2" i="34"/>
  <c r="E6" i="76"/>
  <c r="E2" i="76" l="1"/>
  <c r="B2" i="43"/>
  <c r="O67" i="39"/>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10" i="1"/>
  <c r="B6" i="76"/>
  <c r="AO11" i="1"/>
  <c r="AO9" i="1"/>
  <c r="AO8" i="1"/>
  <c r="AO12" i="1"/>
  <c r="AO7" i="1"/>
  <c r="B2" i="76" l="1"/>
  <c r="B3" i="76" s="1"/>
  <c r="B3" i="43"/>
  <c r="H7" i="39"/>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C28" i="68" s="1"/>
  <c r="C27" i="68" s="1"/>
  <c r="B3" i="39"/>
  <c r="L49" i="15"/>
  <c r="Q58" i="15" s="1"/>
  <c r="Q57" i="15"/>
  <c r="Q62" i="15" s="1"/>
  <c r="L46" i="15"/>
  <c r="Q66" i="15"/>
  <c r="Q75" i="15" s="1"/>
  <c r="C25" i="68" l="1"/>
  <c r="C22" i="68" s="1"/>
  <c r="B2" i="15"/>
  <c r="E2" i="77"/>
  <c r="B2" i="77" s="1"/>
  <c r="C31" i="68"/>
  <c r="C52" i="68" s="1"/>
  <c r="C57" i="68" s="1"/>
  <c r="C56" i="68" s="1"/>
  <c r="D19" i="9"/>
  <c r="AO6" i="1"/>
  <c r="B6" i="70" l="1"/>
  <c r="B2" i="70" s="1"/>
  <c r="B3" i="70" s="1"/>
  <c r="D21" i="9"/>
  <c r="D102" i="9"/>
  <c r="B3" i="15"/>
  <c r="B3" i="77"/>
  <c r="B2" i="68"/>
  <c r="B3" i="68" s="1"/>
  <c r="D20" i="9"/>
  <c r="C19" i="9"/>
  <c r="C20" i="9"/>
  <c r="D35" i="9"/>
  <c r="D34"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<sst xmlns="http://schemas.openxmlformats.org/spreadsheetml/2006/main" count="8103" uniqueCount="3526">
  <si>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</si>
  <si>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</si>
  <si>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</si>
  <si>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</si>
  <si>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</si>
  <si>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</si>
  <si>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</si>
  <si>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</si>
  <si>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</si>
  <si>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</si>
  <si>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</si>
  <si>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</si>
  <si>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</si>
  <si>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</si>
  <si>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</si>
  <si>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</si>
  <si>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</si>
  <si>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</si>
  <si>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</si>
  <si>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</si>
  <si>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</si>
  <si>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</si>
  <si>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</si>
  <si>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</si>
  <si>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</si>
  <si>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</si>
  <si>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</si>
  <si>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</si>
  <si>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</si>
  <si>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</si>
  <si>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</si>
  <si>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</si>
  <si>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</si>
  <si>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</si>
  <si>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</si>
  <si>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</si>
  <si>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</si>
  <si>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</si>
  <si>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</si>
  <si>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</si>
  <si>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</si>
  <si>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</si>
  <si>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</si>
  <si>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</si>
  <si>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</si>
  <si>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</si>
  <si>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</si>
  <si>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</si>
  <si>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</si>
  <si>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</si>
  <si>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</si>
  <si>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</si>
  <si>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</si>
  <si>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</si>
  <si>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</si>
  <si>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</si>
  <si>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</si>
  <si>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</si>
  <si>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</si>
  <si>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</si>
  <si>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</si>
  <si>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</si>
  <si>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</si>
  <si>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</si>
  <si>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</si>
  <si>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</si>
  <si>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</si>
  <si>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</si>
  <si>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</si>
  <si>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</si>
  <si>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</si>
  <si>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</si>
  <si>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</si>
  <si>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</si>
  <si>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</si>
  <si>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</si>
  <si>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</si>
  <si>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</si>
  <si>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</si>
  <si>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</si>
  <si>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</si>
  <si>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</si>
  <si>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</si>
  <si>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</si>
  <si>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</si>
  <si>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</si>
  <si>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</si>
  <si>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</si>
  <si>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</si>
  <si>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</si>
  <si>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</si>
  <si>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</si>
  <si>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</si>
  <si>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</si>
  <si>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</si>
  <si>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</si>
  <si>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</si>
  <si>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</si>
  <si>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</si>
  <si>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</si>
  <si>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</si>
  <si>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</si>
  <si>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</si>
  <si>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</si>
  <si>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</si>
  <si>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</si>
  <si>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</si>
  <si>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</si>
  <si>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</si>
  <si>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</si>
  <si>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</si>
  <si>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</si>
  <si>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</si>
  <si>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</si>
  <si>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</si>
  <si>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</si>
  <si>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</si>
  <si>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</si>
  <si>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</si>
  <si>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</si>
  <si>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</si>
  <si>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</si>
  <si>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</si>
  <si>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</si>
  <si>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</si>
  <si>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</si>
  <si>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</si>
  <si>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</si>
  <si>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</si>
  <si>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</si>
  <si>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</si>
  <si>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</si>
  <si>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</si>
  <si>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</si>
  <si>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</si>
  <si>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</si>
  <si>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</si>
  <si>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</si>
  <si>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</si>
  <si>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</si>
  <si>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</si>
  <si>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</si>
  <si>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</si>
  <si>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</si>
  <si>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</si>
  <si>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</si>
  <si>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</si>
  <si>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</si>
  <si>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</si>
  <si>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</si>
  <si>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</si>
  <si>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</si>
  <si>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</si>
  <si>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</si>
  <si>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</si>
  <si>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</si>
  <si>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</si>
  <si>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</si>
  <si>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</si>
  <si>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</si>
  <si>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</si>
  <si>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</si>
  <si>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</si>
  <si>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</si>
  <si>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</si>
  <si>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</si>
  <si>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</si>
  <si>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</si>
  <si>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</si>
  <si>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</si>
  <si>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</si>
  <si>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</si>
  <si>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</si>
  <si>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</si>
  <si>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</si>
  <si>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</si>
  <si>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</si>
  <si>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</si>
  <si>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</si>
  <si>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</si>
  <si>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</si>
  <si>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</si>
  <si>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</si>
  <si>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</si>
  <si>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</si>
  <si>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</si>
  <si>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</si>
  <si>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</si>
  <si>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</si>
  <si>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</si>
  <si>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</si>
  <si>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</si>
  <si>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</si>
  <si>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</si>
  <si>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</si>
  <si>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</si>
  <si>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</si>
  <si>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</si>
  <si>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</si>
  <si>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</si>
  <si>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</si>
  <si>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</si>
  <si>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</si>
  <si>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</si>
  <si>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</si>
  <si>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</si>
  <si>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</si>
  <si>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</si>
  <si>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</si>
  <si>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</si>
  <si>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</si>
  <si>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</si>
  <si>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</si>
  <si>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</si>
  <si>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</si>
  <si>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</si>
  <si>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</si>
  <si>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</si>
  <si>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</si>
  <si>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</si>
  <si>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</si>
  <si>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</si>
  <si>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</si>
  <si>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</si>
  <si>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</si>
  <si>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</si>
  <si>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</si>
  <si>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</si>
  <si>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</si>
  <si>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</si>
  <si>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</si>
  <si>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</si>
  <si>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</si>
  <si>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</si>
  <si>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</si>
  <si>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</si>
  <si>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</si>
  <si>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</si>
  <si>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</si>
  <si>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</si>
  <si>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</si>
  <si>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</si>
  <si>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</si>
  <si>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</si>
  <si>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</si>
  <si>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</si>
  <si>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</si>
  <si>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</si>
  <si>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</si>
  <si>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</si>
  <si>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</si>
  <si>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</si>
  <si>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</si>
  <si>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</si>
  <si>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</si>
  <si>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</si>
  <si>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</si>
  <si>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</si>
  <si>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</si>
  <si>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</si>
  <si>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</si>
  <si>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</si>
  <si>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</si>
  <si>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</si>
  <si>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</si>
  <si>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</si>
  <si>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</si>
  <si>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</si>
  <si>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</si>
  <si>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</si>
  <si>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</si>
  <si>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</si>
  <si>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</si>
  <si>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</si>
  <si>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</si>
  <si>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</si>
  <si>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</si>
  <si>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</si>
  <si>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</si>
  <si>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</si>
  <si>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</si>
  <si>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</si>
  <si>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</si>
  <si>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</si>
  <si>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</si>
  <si>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</si>
  <si>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</si>
  <si>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</si>
  <si>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</si>
  <si>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</si>
  <si>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</si>
  <si>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</si>
  <si>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</si>
  <si>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</si>
  <si>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</si>
  <si>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</si>
  <si>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</si>
  <si>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</si>
  <si>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</si>
  <si>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</si>
  <si>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</si>
  <si>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</si>
  <si>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</si>
  <si>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</si>
  <si>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</si>
  <si>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</si>
  <si>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</si>
  <si>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</si>
  <si>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</si>
  <si>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</si>
  <si>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</si>
  <si>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</si>
  <si>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</si>
  <si>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</si>
  <si>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</si>
  <si>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</si>
  <si>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</si>
  <si>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</si>
  <si>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</si>
  <si>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</si>
  <si>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</si>
  <si>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</si>
  <si>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</si>
  <si>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</si>
  <si>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</si>
  <si>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</si>
  <si>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</si>
  <si>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</si>
  <si>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</si>
  <si>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</si>
  <si>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</si>
  <si>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</si>
  <si>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</si>
  <si>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</si>
  <si>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</si>
  <si>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</si>
  <si>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</si>
  <si>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</si>
  <si>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</si>
  <si>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</si>
  <si>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</si>
  <si>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</si>
  <si>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</si>
  <si>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</si>
  <si>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</si>
  <si>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</si>
  <si>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</si>
  <si>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</si>
  <si>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</si>
  <si>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</si>
  <si>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</si>
  <si>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</si>
  <si>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</si>
  <si>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</si>
  <si>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</si>
  <si>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</si>
  <si>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</si>
  <si>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</si>
  <si>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</si>
  <si>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</si>
  <si>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</si>
  <si>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</si>
  <si>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</si>
  <si>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</si>
  <si>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</si>
  <si>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</si>
  <si>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</si>
  <si>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</si>
  <si>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</si>
  <si>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</si>
  <si>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</si>
  <si>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</si>
  <si>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</si>
  <si>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</si>
  <si>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</si>
  <si>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</si>
  <si>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</si>
  <si>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</si>
  <si>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</si>
  <si>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</si>
  <si>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</si>
  <si>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</si>
  <si>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</si>
  <si>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</si>
  <si>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</si>
  <si>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</si>
  <si>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</si>
  <si>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</si>
  <si>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</si>
  <si>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</si>
  <si>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</si>
  <si>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</si>
  <si>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</si>
  <si>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</si>
  <si>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</si>
  <si>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</si>
  <si>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</si>
  <si>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</si>
  <si>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</si>
  <si>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</si>
  <si>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</si>
  <si>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</si>
  <si>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</si>
  <si>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</si>
  <si>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</si>
  <si>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</si>
  <si>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</si>
  <si>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</si>
  <si>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</si>
  <si>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</si>
  <si>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</si>
  <si>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</si>
  <si>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</si>
  <si>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</si>
  <si>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</si>
  <si>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</si>
  <si>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</si>
  <si>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</si>
  <si>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</si>
  <si>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</si>
  <si>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</si>
  <si>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</si>
  <si>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</si>
  <si>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</si>
  <si>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</si>
  <si>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</si>
  <si>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</si>
  <si>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</si>
  <si>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</si>
  <si>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</si>
  <si>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</si>
  <si>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</si>
  <si>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</si>
  <si>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</si>
  <si>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</si>
  <si>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</si>
  <si>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</si>
  <si>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</si>
  <si>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</si>
  <si>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</si>
  <si>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</si>
  <si>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</si>
  <si>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</si>
  <si>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</si>
  <si>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</si>
  <si>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</si>
  <si>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</si>
  <si>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</si>
  <si>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</si>
  <si>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</si>
  <si>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</si>
  <si>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</si>
  <si>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</si>
  <si>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</si>
  <si>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</si>
  <si>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</si>
  <si>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</si>
  <si>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</si>
  <si>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</si>
  <si>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</si>
  <si>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</si>
  <si>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</si>
  <si>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</si>
  <si>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</si>
  <si>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</si>
  <si>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</si>
  <si>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</si>
  <si>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</si>
  <si>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</si>
  <si>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</si>
  <si>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</si>
  <si>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</si>
  <si>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</si>
  <si>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</si>
  <si>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</si>
  <si>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</si>
  <si>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</si>
  <si>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</si>
  <si>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</si>
  <si>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</si>
  <si>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</si>
  <si>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</si>
  <si>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</si>
  <si>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</si>
  <si>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</si>
  <si>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</si>
  <si>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</si>
  <si>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</si>
  <si>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</si>
  <si>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</si>
  <si>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</si>
  <si>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</si>
  <si>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</si>
  <si>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</si>
  <si>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</si>
  <si>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</si>
  <si>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</si>
  <si>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</si>
  <si>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</si>
  <si>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</si>
  <si>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</si>
  <si>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</si>
  <si>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</si>
  <si>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</si>
  <si>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</si>
  <si>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</si>
  <si>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</si>
  <si>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</si>
  <si>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</si>
  <si>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</si>
  <si>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</si>
  <si>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</si>
  <si>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</si>
  <si>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</si>
  <si>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</si>
  <si>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</si>
  <si>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</si>
  <si>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</si>
  <si>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</si>
  <si>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</si>
  <si>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</si>
  <si>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</si>
  <si>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</si>
  <si>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</si>
  <si>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</si>
  <si>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</si>
  <si>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</si>
  <si>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</si>
  <si>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</si>
  <si>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</si>
  <si>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</si>
  <si>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</si>
  <si>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</si>
  <si>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</si>
  <si>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</si>
  <si>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</si>
  <si>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</si>
  <si>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</si>
  <si>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</si>
  <si>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</si>
  <si>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</si>
  <si>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</si>
  <si>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</si>
  <si>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</si>
  <si>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</si>
  <si>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</si>
  <si>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</si>
  <si>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</si>
  <si>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</si>
  <si>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</si>
  <si>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</si>
  <si>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</si>
  <si>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</si>
  <si>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</si>
  <si>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</si>
  <si>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</si>
  <si>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</si>
  <si>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</si>
  <si>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</si>
  <si>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</si>
  <si>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</si>
  <si>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</si>
  <si>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</si>
  <si>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</si>
  <si>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</si>
  <si>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</si>
  <si>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</si>
  <si>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</si>
  <si>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</si>
  <si>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</si>
  <si>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</si>
  <si>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</si>
  <si>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</si>
  <si>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</si>
  <si>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</si>
  <si>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</si>
  <si>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</si>
  <si>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</si>
  <si>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</si>
  <si>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</si>
  <si>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</si>
  <si>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</si>
  <si>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</si>
  <si>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</si>
  <si>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</si>
  <si>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</si>
  <si>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</si>
  <si>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</si>
  <si>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</si>
  <si>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</si>
  <si>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</si>
  <si>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</si>
  <si>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</si>
  <si>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</si>
  <si>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</si>
  <si>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</si>
  <si>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</si>
  <si>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</si>
  <si>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</si>
  <si>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</si>
  <si>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</si>
  <si>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</si>
  <si>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</si>
  <si>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</si>
  <si>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</si>
  <si>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</si>
  <si>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</si>
  <si>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</si>
  <si>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</si>
  <si>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</si>
  <si>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</si>
  <si>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</si>
  <si>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</si>
  <si>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</si>
  <si>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</si>
  <si>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</si>
  <si>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</si>
  <si>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</si>
  <si>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</si>
  <si>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</si>
  <si>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</si>
  <si>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</si>
  <si>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</si>
  <si>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</si>
  <si>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</si>
  <si>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</si>
  <si>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</si>
  <si>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</si>
  <si>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</si>
  <si>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</si>
  <si>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</si>
  <si>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</si>
  <si>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</si>
  <si>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</si>
  <si>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</si>
  <si>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</si>
  <si>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</si>
  <si>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</si>
  <si>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</si>
  <si>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</si>
  <si>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</si>
  <si>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</si>
  <si>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</si>
  <si>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</si>
  <si>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</si>
  <si>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</si>
  <si>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</si>
  <si>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</si>
  <si>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</si>
  <si>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</si>
  <si>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</si>
  <si>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</si>
  <si>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</si>
  <si>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</si>
  <si>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</si>
  <si>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</si>
  <si>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</si>
  <si>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</si>
  <si>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</si>
  <si>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</si>
  <si>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</si>
  <si>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</si>
  <si>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</si>
  <si>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</si>
  <si>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</si>
  <si>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</si>
  <si>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</si>
  <si>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</si>
  <si>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</si>
  <si>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</si>
  <si>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</si>
  <si>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</si>
  <si>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</si>
  <si>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</si>
  <si>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</si>
  <si>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</si>
  <si>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</si>
  <si>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</si>
  <si>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</si>
  <si>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</si>
  <si>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</si>
  <si>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</si>
  <si>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</si>
  <si>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</si>
  <si>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</si>
  <si>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</si>
  <si>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</si>
  <si>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</si>
  <si>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</si>
  <si>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</si>
  <si>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</si>
  <si>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</si>
  <si>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</si>
  <si>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</si>
  <si>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</si>
  <si>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</si>
  <si>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</si>
  <si>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</si>
  <si>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</si>
  <si>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</si>
  <si>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</si>
  <si>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</si>
  <si>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</si>
  <si>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</si>
  <si>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</si>
  <si>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</si>
  <si>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</si>
  <si>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</si>
  <si>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</si>
  <si>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</si>
  <si>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</si>
  <si>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</si>
  <si>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</si>
  <si>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</si>
  <si>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</si>
  <si>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</si>
  <si>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</si>
  <si>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</si>
  <si>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</si>
  <si>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</si>
  <si>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</si>
  <si>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</si>
  <si>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</si>
  <si>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</si>
  <si>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</si>
  <si>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</si>
  <si>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</si>
  <si>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</si>
  <si>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</si>
  <si>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</si>
  <si>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</si>
  <si>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</si>
  <si>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</si>
  <si>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</si>
  <si>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</si>
  <si>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</si>
  <si>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</si>
  <si>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</si>
  <si>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</si>
  <si>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</si>
  <si>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</si>
  <si>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</si>
  <si>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</si>
  <si>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</si>
  <si>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</si>
  <si>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</si>
  <si>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</si>
  <si>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</si>
  <si>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</si>
  <si>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</si>
  <si>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</si>
  <si>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</si>
  <si>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</si>
  <si>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</si>
  <si>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</si>
  <si>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</si>
  <si>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</si>
  <si>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</si>
  <si>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</si>
  <si>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</si>
  <si>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</si>
  <si>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</si>
  <si>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</si>
  <si>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</si>
  <si>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</si>
  <si>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</si>
  <si>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</si>
  <si>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</si>
  <si>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</si>
  <si>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</si>
  <si>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</si>
  <si>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</si>
  <si>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</si>
  <si>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</si>
  <si>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</si>
  <si>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</si>
  <si>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</si>
  <si>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</si>
  <si>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</si>
  <si>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</si>
  <si>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</si>
  <si>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</si>
  <si>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</si>
  <si>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</si>
  <si>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</si>
  <si>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</si>
  <si>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</si>
  <si>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</si>
  <si>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</si>
  <si>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</si>
  <si>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</si>
  <si>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</si>
  <si>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</si>
  <si>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</si>
  <si>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</si>
  <si>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</si>
  <si>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</si>
  <si>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</si>
  <si>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</si>
  <si>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</si>
  <si>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</si>
  <si>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</si>
  <si>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</si>
  <si>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</si>
  <si>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</si>
  <si>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</si>
  <si>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</si>
  <si>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</si>
  <si>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</si>
  <si>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</si>
  <si>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</si>
  <si>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</si>
  <si>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</si>
  <si>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</si>
  <si>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</si>
  <si>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</si>
  <si>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</si>
  <si>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</si>
  <si>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</si>
  <si>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</si>
  <si>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</si>
  <si>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</si>
  <si>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</si>
  <si>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</si>
  <si>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</si>
  <si>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</si>
  <si>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</si>
  <si>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</si>
  <si>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</si>
  <si>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</si>
  <si>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</si>
  <si>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</si>
  <si>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</si>
  <si>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</si>
  <si>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</si>
  <si>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</si>
  <si>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</si>
  <si>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</si>
  <si>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</si>
  <si>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</si>
  <si>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</si>
  <si>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</si>
  <si>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</si>
  <si>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</si>
  <si>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</si>
  <si>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</si>
  <si>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</si>
  <si>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</si>
  <si>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</si>
  <si>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</si>
  <si>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</si>
  <si>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</si>
  <si>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</si>
  <si>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</si>
  <si>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</si>
  <si>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</si>
  <si>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</si>
  <si>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</si>
  <si>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</si>
  <si>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</si>
  <si>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</si>
  <si>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</si>
  <si>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</si>
  <si>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</si>
  <si>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</si>
  <si>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</si>
  <si>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</si>
  <si>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</si>
  <si>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</si>
  <si>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</si>
  <si>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</si>
  <si>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</si>
  <si>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</si>
  <si>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</si>
  <si>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</si>
  <si>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</si>
  <si>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</si>
  <si>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</si>
  <si>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</si>
  <si>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</si>
  <si>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</si>
  <si>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</si>
  <si>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</si>
  <si>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</si>
  <si>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</si>
  <si>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</si>
  <si>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</si>
  <si>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</si>
  <si>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</si>
  <si>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</si>
  <si>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</si>
  <si>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</si>
  <si>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</si>
  <si>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</si>
  <si>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</si>
  <si>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</si>
  <si>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</si>
  <si>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</si>
  <si>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</si>
  <si>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</si>
  <si>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</si>
  <si>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</si>
  <si>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</si>
  <si>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</si>
  <si>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</si>
  <si>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</si>
  <si>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</si>
  <si>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</si>
  <si>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</si>
  <si>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</si>
  <si>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</si>
  <si>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</si>
  <si>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</si>
  <si>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</si>
  <si>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</si>
  <si>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</si>
  <si>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</si>
  <si>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</si>
  <si>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</si>
  <si>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</si>
  <si>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</si>
  <si>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</si>
  <si>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</si>
  <si>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</si>
  <si>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</si>
  <si>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</si>
  <si>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</si>
  <si>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</si>
  <si>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</si>
  <si>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</si>
  <si>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</si>
  <si>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</si>
  <si>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</si>
  <si>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</si>
  <si>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</si>
  <si>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</si>
  <si>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</si>
  <si>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</si>
  <si>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</si>
  <si>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</si>
  <si>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</si>
  <si>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</si>
  <si>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</si>
  <si>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</si>
  <si>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</si>
  <si>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</si>
  <si>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</si>
  <si>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</si>
  <si>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</si>
  <si>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</si>
  <si>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</si>
  <si>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</si>
  <si>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</si>
  <si>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</si>
  <si>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</si>
  <si>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</si>
  <si>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</si>
  <si>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</si>
  <si>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</si>
  <si>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</si>
  <si>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</si>
  <si>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</si>
  <si>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</si>
  <si>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</si>
  <si>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</si>
  <si>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</si>
  <si>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</si>
  <si>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</si>
  <si>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</si>
  <si>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</si>
  <si>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</si>
  <si>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</si>
  <si>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</si>
  <si>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</si>
  <si>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</si>
  <si>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</si>
  <si>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</si>
  <si>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</si>
  <si>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</si>
  <si>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</si>
  <si>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</si>
  <si>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</si>
  <si>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</si>
  <si>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</si>
  <si>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</si>
  <si>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</si>
  <si>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</si>
  <si>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</si>
  <si>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</si>
  <si>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</si>
  <si>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</si>
  <si>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</si>
  <si>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</si>
  <si>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</si>
  <si>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</si>
  <si>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</si>
  <si>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</si>
  <si>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</si>
  <si>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</si>
  <si>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</si>
  <si>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</si>
  <si>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</si>
  <si>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</si>
  <si>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</si>
  <si>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</si>
  <si>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</si>
  <si>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</si>
  <si>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</si>
  <si>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</si>
  <si>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</si>
  <si>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</si>
  <si>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</si>
  <si>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</si>
  <si>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</si>
  <si>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</si>
  <si>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</si>
  <si>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</si>
  <si>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</si>
  <si>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</si>
  <si>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</si>
  <si>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</si>
  <si>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</si>
  <si>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</si>
  <si>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</si>
  <si>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</si>
  <si>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</si>
  <si>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</si>
  <si>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</si>
  <si>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</si>
  <si>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</si>
  <si>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</si>
  <si>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</si>
  <si>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</si>
  <si>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</si>
  <si>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</si>
  <si>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</si>
  <si>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</si>
  <si>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</si>
  <si>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</si>
  <si>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</si>
  <si>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</si>
  <si>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</si>
  <si>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</si>
  <si>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</si>
  <si>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</si>
  <si>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</si>
  <si>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</si>
  <si>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</si>
  <si>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</si>
  <si>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</si>
  <si>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</si>
  <si>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</si>
  <si>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</si>
  <si>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</si>
  <si>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</si>
  <si>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</si>
  <si>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</si>
  <si>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</si>
  <si>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</si>
  <si>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</si>
  <si>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</si>
  <si>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</si>
  <si>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</si>
  <si>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</si>
  <si>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</si>
  <si>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</si>
  <si>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</si>
  <si>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</si>
  <si>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</si>
  <si>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</si>
  <si>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</si>
  <si>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</si>
  <si>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</si>
  <si>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</si>
  <si>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</si>
  <si>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</si>
  <si>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</si>
  <si>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</si>
  <si>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</si>
  <si>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</si>
  <si>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</si>
  <si>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</si>
  <si>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</si>
  <si>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</si>
  <si>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</si>
  <si>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</si>
  <si>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</si>
  <si>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</si>
  <si>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</si>
  <si>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</si>
  <si>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</si>
  <si>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</si>
  <si>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</si>
  <si>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</si>
  <si>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</si>
  <si>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</si>
  <si>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</si>
  <si>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</si>
  <si>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</si>
  <si>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</si>
  <si>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</si>
  <si>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</si>
  <si>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</si>
  <si>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</si>
  <si>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</si>
  <si>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</si>
  <si>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</si>
  <si>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</si>
  <si>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</si>
  <si>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</si>
  <si>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</si>
  <si>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</si>
  <si>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</si>
  <si>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</si>
  <si>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</si>
  <si>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</si>
  <si>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</si>
  <si>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</si>
  <si>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</si>
  <si>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</si>
  <si>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</si>
  <si>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</si>
  <si>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</si>
  <si>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</si>
  <si>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</si>
  <si>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</si>
  <si>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</si>
  <si>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</si>
  <si>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</si>
  <si>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</si>
  <si>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</si>
  <si>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</si>
  <si>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</si>
  <si>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</si>
  <si>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</si>
  <si>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</si>
  <si>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</si>
  <si>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</si>
  <si>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</si>
  <si>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</si>
  <si>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</si>
  <si>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</si>
  <si>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</si>
  <si>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</si>
  <si>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</si>
  <si>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</si>
  <si>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</si>
  <si>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</si>
  <si>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</si>
  <si>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</si>
  <si>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</si>
  <si>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</si>
  <si>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</si>
  <si>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</si>
  <si>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</si>
  <si>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</si>
  <si>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</si>
  <si>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</si>
  <si>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</si>
  <si>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</si>
  <si>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</si>
  <si>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</si>
  <si>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</si>
  <si>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</si>
  <si>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</si>
  <si>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</si>
  <si>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</si>
  <si>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</si>
  <si>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</si>
  <si>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</si>
  <si>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</si>
  <si>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</si>
  <si>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</si>
  <si>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</si>
  <si>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</si>
  <si>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</si>
  <si>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</si>
  <si>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</si>
  <si>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</si>
  <si>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</si>
  <si>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</si>
  <si>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</si>
  <si>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</si>
  <si>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</si>
  <si>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</si>
  <si>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</si>
  <si>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</si>
  <si>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</si>
  <si>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</si>
  <si>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</si>
  <si>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</si>
  <si>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</si>
  <si>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</si>
  <si>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</si>
  <si>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</si>
  <si>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</si>
  <si>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</si>
  <si>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</si>
  <si>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</si>
  <si>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</si>
  <si>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</si>
  <si>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</si>
  <si>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</si>
  <si>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</si>
  <si>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</si>
  <si>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</si>
  <si>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</si>
  <si>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</si>
  <si>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</si>
  <si>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</si>
  <si>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</si>
  <si>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</si>
  <si>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</si>
  <si>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</si>
  <si>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</si>
  <si>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</si>
  <si>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</si>
  <si>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</si>
  <si>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</si>
  <si>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</si>
  <si>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</si>
  <si>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</si>
  <si>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</si>
  <si>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</si>
  <si>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</si>
  <si>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</si>
  <si>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</si>
  <si>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</si>
  <si>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</si>
  <si>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</si>
  <si>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</si>
  <si>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</si>
  <si>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</si>
  <si>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</si>
  <si>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</si>
  <si>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</si>
  <si>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</si>
  <si>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</si>
  <si>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</si>
  <si>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</si>
  <si>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</si>
  <si>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</si>
  <si>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</si>
  <si>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</si>
  <si>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</si>
  <si>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</si>
  <si>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</si>
  <si>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</si>
  <si>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</si>
  <si>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</si>
  <si>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</si>
  <si>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</si>
  <si>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</si>
  <si>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</si>
  <si>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</si>
  <si>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</si>
  <si>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</si>
  <si>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</si>
  <si>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</si>
  <si>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</si>
  <si>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</si>
  <si>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</si>
  <si>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</si>
  <si>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</si>
  <si>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</si>
  <si>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</si>
  <si>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</si>
  <si>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</si>
  <si>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</si>
  <si>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</si>
  <si>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</si>
  <si>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</si>
  <si>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</si>
  <si>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</si>
  <si>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</si>
  <si>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</si>
  <si>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</si>
  <si>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</si>
  <si>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</si>
  <si>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</si>
  <si>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</si>
  <si>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</si>
  <si>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</si>
  <si>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</si>
  <si>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</si>
  <si>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</si>
  <si>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</si>
  <si>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</si>
  <si>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</si>
  <si>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</si>
  <si>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</si>
  <si>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</si>
  <si>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</si>
  <si>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</si>
  <si>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</si>
  <si>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</si>
  <si>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</si>
  <si>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</si>
  <si>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</si>
  <si>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</si>
  <si>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</si>
  <si>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</si>
  <si>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</si>
  <si>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</si>
  <si>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</si>
  <si>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</si>
  <si>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</si>
  <si>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</si>
  <si>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</si>
  <si>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</si>
  <si>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</si>
  <si>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</si>
  <si>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</si>
  <si>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</si>
  <si>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</si>
  <si>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</si>
  <si>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</si>
  <si>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</si>
  <si>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</si>
  <si>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</si>
  <si>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</si>
  <si>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</si>
  <si>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</si>
  <si>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</si>
  <si>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</si>
  <si>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</si>
  <si>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</si>
  <si>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</si>
  <si>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</si>
  <si>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</si>
  <si>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</si>
  <si>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</si>
  <si>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</si>
  <si>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</si>
  <si>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</si>
  <si>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</si>
  <si>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</si>
  <si>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</si>
  <si>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</si>
  <si>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</si>
  <si>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</si>
  <si>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</si>
  <si>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</si>
  <si>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</si>
  <si>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</si>
  <si>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</si>
  <si>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</si>
  <si>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</si>
  <si>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</si>
  <si>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</si>
  <si>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</si>
  <si>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</si>
  <si>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</si>
  <si>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</si>
  <si>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</si>
  <si>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</si>
  <si>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</si>
  <si>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</si>
  <si>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</si>
  <si>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</si>
  <si>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</si>
  <si>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</si>
  <si>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</si>
  <si>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</si>
  <si>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</si>
  <si>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</si>
  <si>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</si>
  <si>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</si>
  <si>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</si>
  <si>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</si>
  <si>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</si>
  <si>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</si>
  <si>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</si>
  <si>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</si>
  <si>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</si>
  <si>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</si>
  <si>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</si>
  <si>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</si>
  <si>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</si>
  <si>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</si>
  <si>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</si>
  <si>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</si>
  <si>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</si>
  <si>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</si>
  <si>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</si>
  <si>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</si>
  <si>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</si>
  <si>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</si>
  <si>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</si>
  <si>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</si>
  <si>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</si>
  <si>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</si>
  <si>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</si>
  <si>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</si>
  <si>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</si>
  <si>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</si>
  <si>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</si>
  <si>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</si>
  <si>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</si>
  <si>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</si>
  <si>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</si>
  <si>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</si>
  <si>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</si>
  <si>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</si>
  <si>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</si>
  <si>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</si>
  <si>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</si>
  <si>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</si>
  <si>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</si>
  <si>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</si>
  <si>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</si>
  <si>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</si>
  <si>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</si>
  <si>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</si>
  <si>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</si>
  <si>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</si>
  <si>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</si>
  <si>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</si>
  <si>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</si>
  <si>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</si>
  <si>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</si>
  <si>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</si>
  <si>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</si>
  <si>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</si>
  <si>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</si>
  <si>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</si>
  <si>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</si>
  <si>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</si>
  <si>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</si>
  <si>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</si>
  <si>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</si>
  <si>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</si>
  <si>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</si>
  <si>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</si>
  <si>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</si>
  <si>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</si>
  <si>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</si>
  <si>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</si>
  <si>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</si>
  <si>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</si>
  <si>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</si>
  <si>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</si>
  <si>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</si>
  <si>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</si>
  <si>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</si>
  <si>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</si>
  <si>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</si>
  <si>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</si>
  <si>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</si>
  <si>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</si>
  <si>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</si>
  <si>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</si>
  <si>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</si>
  <si>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</si>
  <si>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</si>
  <si>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</si>
  <si>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</si>
  <si>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</si>
  <si>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</si>
  <si>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</si>
  <si>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</si>
  <si>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</si>
  <si>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</si>
  <si>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</si>
  <si>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</si>
  <si>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</si>
  <si>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</si>
  <si>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</si>
  <si>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</si>
  <si>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</si>
  <si>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</si>
  <si>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</si>
  <si>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</si>
  <si>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</si>
  <si>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</si>
  <si>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</si>
  <si>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</si>
  <si>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</si>
  <si>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</si>
  <si>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</si>
  <si>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</si>
  <si>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</si>
  <si>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</si>
  <si>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</si>
  <si>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</si>
  <si>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</si>
  <si>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</si>
  <si>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</si>
  <si>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</si>
  <si>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</si>
  <si>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</si>
  <si>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</si>
  <si>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</si>
  <si>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</si>
  <si>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</si>
  <si>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</si>
  <si>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</si>
  <si>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</si>
  <si>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</si>
  <si>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</si>
  <si>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</si>
  <si>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</si>
  <si>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</si>
  <si>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</si>
  <si>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</si>
  <si>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</si>
  <si>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</si>
  <si>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</si>
  <si>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</si>
  <si>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</si>
  <si>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</si>
  <si>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</si>
  <si>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</si>
  <si>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</si>
  <si>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</si>
  <si>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</si>
  <si>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</si>
  <si>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</si>
  <si>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</si>
  <si>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</si>
  <si>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</si>
  <si>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</si>
  <si>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</si>
  <si>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</si>
  <si>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</si>
  <si>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</si>
  <si>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</si>
  <si>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</si>
  <si>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</si>
  <si>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</si>
  <si>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</si>
  <si>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</si>
  <si>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</si>
  <si>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</si>
  <si>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</si>
  <si>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</si>
  <si>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</si>
  <si>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</si>
  <si>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</si>
  <si>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</si>
  <si>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</si>
  <si>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</si>
  <si>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</si>
  <si>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</si>
  <si>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</si>
  <si>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</si>
  <si>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</si>
  <si>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</si>
  <si>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</si>
  <si>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</si>
  <si>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</si>
  <si>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</si>
  <si>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</si>
  <si>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</si>
  <si>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</si>
  <si>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</si>
  <si>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</si>
  <si>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</si>
  <si>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</si>
  <si>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</si>
  <si>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</si>
  <si>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</si>
  <si>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</si>
  <si>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</si>
  <si>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</si>
  <si>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</si>
  <si>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</si>
  <si>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</si>
  <si>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</si>
  <si>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</si>
  <si>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</si>
  <si>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</si>
  <si>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</si>
  <si>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</si>
  <si>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</si>
  <si>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</si>
  <si>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</si>
  <si>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</si>
  <si>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</si>
  <si>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</si>
  <si>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</si>
  <si>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</si>
  <si>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</si>
  <si>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</si>
  <si>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</si>
  <si>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</si>
  <si>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</si>
  <si>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</si>
  <si>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</si>
  <si>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</si>
  <si>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</si>
  <si>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</si>
  <si>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</si>
  <si>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</si>
  <si>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</si>
  <si>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</si>
  <si>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</si>
  <si>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</si>
  <si>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</si>
  <si>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</si>
  <si>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</si>
  <si>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</si>
  <si>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</si>
  <si>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</si>
  <si>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</si>
  <si>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</si>
  <si>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</si>
  <si>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</si>
  <si>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</si>
  <si>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</si>
  <si>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</si>
  <si>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</si>
  <si>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</si>
  <si>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</si>
  <si>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</si>
  <si>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</si>
  <si>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</si>
  <si>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</si>
  <si>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</si>
  <si>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</si>
  <si>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</si>
  <si>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</si>
  <si>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</si>
  <si>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</si>
  <si>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</si>
  <si>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</si>
  <si>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</si>
  <si>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</si>
  <si>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</si>
  <si>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</si>
  <si>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</si>
  <si>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</si>
  <si>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</si>
  <si>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</si>
  <si>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</si>
  <si>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</si>
  <si>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</si>
  <si>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</si>
  <si>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</si>
  <si>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</si>
  <si>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</si>
  <si>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</si>
  <si>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</si>
  <si>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</si>
  <si>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</si>
  <si>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</si>
  <si>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</si>
  <si>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</si>
  <si>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</si>
  <si>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</si>
  <si>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</si>
  <si>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</si>
  <si>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</si>
  <si>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</si>
  <si>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</si>
  <si>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</si>
  <si>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</si>
  <si>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</si>
  <si>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</si>
  <si>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</si>
  <si>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</si>
  <si>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</si>
  <si>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</si>
  <si>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</si>
  <si>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</si>
  <si>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</si>
  <si>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</si>
  <si>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</si>
  <si>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</si>
  <si>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</si>
  <si>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</si>
  <si>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</si>
  <si>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</si>
  <si>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</si>
  <si>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</si>
  <si>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</si>
  <si>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</si>
  <si>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</si>
  <si>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</si>
  <si>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</si>
  <si>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</si>
  <si>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</si>
  <si>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</si>
  <si>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</si>
  <si>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</si>
  <si>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</si>
  <si>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</si>
  <si>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</si>
  <si>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</si>
  <si>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</si>
  <si>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</si>
  <si>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</si>
  <si>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</si>
  <si>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</si>
  <si>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</si>
  <si>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</si>
  <si>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</si>
  <si>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</si>
  <si>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</si>
  <si>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</si>
  <si>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</si>
  <si>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</si>
  <si>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</si>
  <si>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</si>
  <si>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</si>
  <si>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</si>
  <si>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</si>
  <si>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</si>
  <si>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</si>
  <si>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</si>
  <si>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</si>
  <si>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</si>
  <si>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</si>
  <si>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</si>
  <si>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</si>
  <si>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</si>
  <si>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</si>
  <si>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</si>
  <si>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</si>
  <si>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</si>
  <si>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</si>
  <si>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</si>
  <si>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</si>
  <si>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</si>
  <si>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</si>
  <si>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</si>
  <si>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</si>
  <si>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</si>
  <si>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</si>
  <si>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</si>
  <si>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</si>
  <si>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</si>
  <si>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</si>
  <si>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</si>
  <si>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</si>
  <si>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</si>
  <si>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</si>
  <si>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</si>
  <si>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</si>
  <si>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</si>
  <si>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</si>
  <si>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</si>
  <si>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</si>
  <si>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</si>
  <si>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</si>
  <si>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</si>
  <si>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</si>
  <si>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</si>
  <si>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</si>
  <si>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</si>
  <si>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</si>
  <si>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</si>
  <si>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</si>
  <si>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</si>
  <si>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</si>
  <si>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</si>
  <si>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</si>
  <si>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</si>
  <si>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</si>
  <si>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</si>
  <si>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</si>
  <si>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</si>
  <si>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</si>
  <si>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</si>
  <si>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</si>
  <si>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</si>
  <si>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</si>
  <si>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</si>
  <si>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</si>
  <si>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</si>
  <si>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</si>
  <si>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</si>
  <si>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</si>
  <si>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</si>
  <si>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</si>
  <si>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</si>
  <si>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</si>
  <si>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</si>
  <si>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</si>
  <si>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</si>
  <si>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</si>
  <si>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</si>
  <si>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</si>
  <si>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</si>
  <si>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</si>
  <si>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</si>
  <si>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</si>
  <si>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</si>
  <si>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</si>
  <si>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</si>
  <si>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</si>
  <si>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</si>
  <si>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</si>
  <si>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</si>
  <si>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</si>
  <si>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</si>
  <si>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</si>
  <si>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</si>
  <si>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</si>
  <si>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</si>
  <si>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</si>
  <si>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</si>
  <si>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</si>
  <si>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</si>
  <si>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</si>
  <si>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</si>
  <si>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</si>
  <si>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</si>
  <si>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</si>
  <si>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</si>
  <si>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</si>
  <si>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</si>
  <si>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</si>
  <si>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</si>
  <si>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</si>
  <si>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</si>
  <si>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</si>
  <si>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</si>
  <si>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</si>
  <si>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</si>
  <si>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</si>
  <si>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</si>
  <si>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</si>
  <si>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</si>
  <si>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</si>
  <si>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</si>
  <si>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</si>
  <si>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</si>
  <si>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</si>
  <si>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</si>
  <si>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</si>
  <si>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</si>
  <si>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</si>
  <si>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</si>
  <si>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</si>
  <si>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</si>
  <si>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</si>
  <si>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</si>
  <si>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</si>
  <si>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</si>
  <si>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</si>
  <si>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</si>
  <si>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</si>
  <si>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</si>
  <si>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</si>
  <si>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</si>
  <si>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</si>
  <si>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</si>
  <si>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</si>
  <si>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</si>
  <si>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</si>
  <si>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</si>
  <si>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</si>
  <si>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</si>
  <si>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</si>
  <si>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</si>
  <si>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</si>
  <si>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</si>
  <si>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</si>
  <si>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</si>
  <si>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</si>
  <si>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</si>
  <si>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</si>
  <si>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</si>
  <si>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</si>
  <si>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</si>
  <si>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</si>
  <si>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</si>
  <si>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</si>
  <si>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</si>
  <si>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</si>
  <si>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</si>
  <si>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</si>
  <si>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</si>
  <si>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</si>
  <si>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</si>
  <si>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</si>
  <si>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</si>
  <si>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</si>
  <si>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</si>
  <si>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</si>
  <si>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</si>
  <si>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</si>
  <si>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</si>
  <si>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</si>
  <si>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</si>
  <si>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</si>
  <si>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</si>
  <si>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</si>
  <si>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</si>
  <si>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</si>
  <si>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</si>
  <si>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</si>
  <si>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</si>
  <si>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</si>
  <si>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</si>
  <si>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</si>
  <si>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</si>
  <si>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</si>
  <si>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</si>
  <si>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</si>
  <si>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</si>
  <si>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</si>
  <si>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</si>
  <si>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</si>
  <si>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</si>
  <si>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</si>
  <si>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</si>
  <si>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</si>
  <si>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</si>
  <si>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</si>
  <si>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</si>
  <si>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</si>
  <si>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</si>
  <si>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</si>
  <si>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</si>
  <si>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</si>
  <si>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</si>
  <si>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</si>
  <si>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</si>
  <si>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</si>
  <si>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</si>
  <si>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</si>
  <si>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</si>
  <si>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</si>
  <si>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</si>
  <si>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</si>
  <si>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</si>
  <si>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</si>
  <si>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</si>
  <si>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</si>
  <si>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</si>
  <si>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</si>
  <si>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</si>
  <si>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</si>
  <si>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</si>
  <si>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</si>
  <si>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</si>
  <si>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</si>
  <si>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</si>
  <si>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</si>
  <si>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</si>
  <si>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</si>
  <si>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</si>
  <si>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</si>
  <si>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</si>
  <si>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</si>
  <si>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</si>
  <si>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</si>
  <si>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</si>
  <si>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</si>
  <si>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</si>
  <si>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</si>
  <si>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</si>
  <si>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</si>
  <si>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</si>
  <si>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</si>
  <si>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</si>
  <si>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</si>
  <si>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</si>
  <si>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</si>
  <si>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</si>
  <si>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</si>
  <si>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</si>
  <si>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</si>
  <si>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</si>
  <si>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</si>
  <si>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</si>
  <si>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</si>
  <si>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</si>
  <si>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</si>
  <si>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</si>
  <si>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</si>
  <si>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</si>
  <si>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</si>
  <si>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</si>
  <si>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</si>
  <si>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</si>
  <si>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</si>
  <si>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</si>
  <si>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</si>
  <si>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</si>
  <si>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</si>
  <si>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</si>
  <si>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</si>
  <si>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</si>
  <si>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</si>
  <si>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</si>
  <si>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</si>
  <si>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</si>
  <si>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</si>
  <si>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</si>
  <si>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</si>
  <si>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</si>
  <si>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</si>
  <si>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</si>
  <si>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</si>
  <si>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</si>
  <si>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</si>
  <si>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</si>
  <si>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</si>
  <si>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</si>
  <si>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</si>
  <si>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</si>
  <si>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</si>
  <si>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</si>
  <si>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</si>
  <si>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</si>
  <si>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</si>
  <si>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</si>
  <si>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</si>
  <si>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</si>
  <si>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</si>
  <si>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</si>
  <si>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</si>
  <si>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</si>
  <si>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</si>
  <si>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</si>
  <si>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</si>
  <si>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</si>
  <si>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</si>
  <si>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</si>
  <si>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</si>
  <si>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</si>
  <si>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</si>
  <si>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</si>
  <si>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</si>
  <si>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</si>
  <si>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</si>
  <si>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</si>
  <si>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</si>
  <si>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</si>
  <si>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</si>
  <si>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</si>
  <si>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</si>
  <si>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</si>
  <si>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</si>
  <si>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</si>
  <si>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</si>
  <si>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</si>
  <si>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</si>
  <si>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</si>
  <si>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</si>
  <si>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</si>
  <si>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</si>
  <si>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</si>
  <si>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</si>
  <si>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</si>
  <si>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</si>
  <si>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</si>
  <si>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</si>
  <si>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</si>
  <si>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</si>
  <si>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</si>
  <si>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</si>
  <si>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</si>
  <si>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</si>
  <si>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</si>
  <si>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</si>
  <si>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</si>
  <si>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</si>
  <si>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</si>
  <si>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</si>
  <si>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</si>
  <si>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</si>
  <si>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</si>
  <si>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</si>
  <si>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</si>
  <si>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</si>
  <si>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</si>
  <si>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</si>
  <si>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</si>
  <si>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</si>
  <si>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</si>
  <si>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</si>
  <si>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</si>
  <si>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</si>
  <si>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</si>
  <si>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</si>
  <si>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</si>
  <si>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</si>
  <si>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</si>
  <si>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</si>
  <si>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</si>
  <si>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</si>
  <si>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</si>
  <si>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</si>
  <si>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</si>
  <si>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</si>
  <si>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</si>
  <si>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</si>
  <si>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</si>
  <si>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</si>
  <si>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</si>
  <si>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</si>
  <si>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</si>
  <si>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</si>
  <si>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</si>
  <si>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</si>
  <si>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</si>
  <si>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</si>
  <si>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</si>
  <si>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</si>
  <si>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</si>
  <si>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</si>
  <si>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</si>
  <si>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</si>
  <si>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</si>
  <si>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</si>
  <si>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</si>
  <si>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</si>
  <si>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</si>
  <si>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</si>
  <si>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</si>
  <si>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</si>
  <si>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</si>
  <si>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</si>
  <si>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</si>
  <si>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</si>
  <si>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</si>
  <si>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</si>
  <si>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</si>
  <si>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</si>
  <si>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</si>
  <si>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</si>
  <si>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</si>
  <si>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</si>
  <si>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</si>
  <si>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</si>
  <si>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</si>
  <si>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</si>
  <si>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</si>
  <si>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</si>
  <si>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</si>
  <si>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</si>
  <si>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</si>
  <si>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</si>
  <si>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</si>
  <si>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</si>
  <si>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</si>
  <si>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</si>
  <si>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</si>
  <si>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</si>
  <si>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</si>
  <si>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</si>
  <si>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</si>
  <si>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</si>
  <si>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</si>
  <si>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</si>
  <si>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</si>
  <si>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</si>
  <si>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</si>
  <si>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</si>
  <si>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</si>
  <si>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</si>
  <si>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</si>
  <si>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</si>
  <si>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</si>
  <si>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</si>
  <si>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</si>
  <si>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</si>
  <si>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</si>
  <si>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</si>
  <si>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</si>
  <si>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</si>
  <si>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</si>
  <si>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</si>
  <si>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</si>
  <si>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</si>
  <si>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</si>
  <si>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</si>
  <si>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</si>
  <si>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</si>
  <si>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</si>
  <si>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</si>
  <si>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</si>
  <si>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</si>
  <si>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</si>
  <si>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</si>
  <si>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</si>
  <si>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</si>
  <si>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</si>
  <si>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</si>
  <si>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</si>
  <si>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</si>
  <si>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</si>
  <si>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</si>
  <si>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</si>
  <si>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</si>
  <si>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</si>
  <si>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</si>
  <si>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</si>
  <si>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</si>
  <si>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</si>
  <si>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</si>
  <si>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</si>
  <si>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</si>
  <si>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</si>
  <si>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</si>
  <si>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</si>
  <si>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</si>
  <si>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</si>
  <si>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</si>
  <si>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</si>
  <si>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</si>
  <si>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</si>
  <si>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</si>
  <si>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</si>
  <si>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</si>
  <si>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</si>
  <si>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</si>
  <si>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</si>
  <si>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</si>
  <si>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</si>
  <si>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</si>
  <si>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</si>
  <si>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</si>
  <si>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</si>
  <si>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</si>
  <si>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</si>
  <si>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</si>
  <si>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</si>
  <si>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</si>
  <si>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</si>
  <si>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</si>
  <si>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</si>
  <si>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</si>
  <si>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</si>
  <si>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</si>
  <si>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</si>
  <si>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</si>
  <si>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</si>
  <si>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</si>
  <si>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</si>
  <si>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</si>
  <si>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</si>
  <si>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</si>
  <si>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</si>
  <si>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</si>
  <si>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</si>
  <si>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</si>
  <si>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</si>
  <si>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</si>
  <si>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</si>
  <si>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</si>
  <si>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</si>
  <si>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</si>
  <si>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</si>
  <si>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</si>
  <si>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</si>
  <si>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</si>
  <si>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</si>
  <si>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</si>
  <si>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</si>
  <si>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</si>
  <si>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</si>
  <si>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</si>
  <si>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</si>
  <si>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</si>
  <si>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</si>
  <si>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</si>
  <si>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</si>
  <si>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</si>
  <si>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</si>
  <si>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</si>
  <si>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</si>
  <si>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</si>
  <si>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</si>
  <si>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</si>
  <si>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</si>
  <si>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</si>
  <si>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</si>
  <si>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</si>
  <si>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</si>
  <si>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</si>
  <si>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</si>
  <si>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</si>
  <si>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</si>
  <si>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</si>
  <si>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</si>
  <si>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</si>
  <si>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</si>
  <si>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</si>
  <si>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</si>
  <si>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</si>
  <si>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</si>
  <si>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</si>
  <si>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</si>
  <si>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</si>
  <si>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</si>
  <si>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</si>
  <si>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</si>
  <si>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</si>
  <si>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</si>
  <si>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</si>
  <si>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</si>
  <si>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</si>
  <si>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</si>
  <si>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</si>
  <si>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</si>
  <si>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</si>
  <si>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</si>
  <si>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</si>
  <si>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</si>
  <si>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</si>
  <si>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</si>
  <si>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</si>
  <si>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</si>
  <si>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</si>
  <si>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</si>
  <si>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</si>
  <si>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</si>
  <si>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</si>
  <si>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</si>
  <si>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</si>
  <si>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</si>
  <si>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</si>
  <si>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</si>
  <si>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</si>
  <si>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</si>
  <si>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</si>
  <si>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</si>
  <si>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</si>
  <si>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</si>
  <si>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</si>
  <si>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</si>
  <si>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</si>
  <si>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</si>
  <si>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</si>
  <si>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</si>
  <si>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</si>
  <si>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</si>
  <si>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</si>
  <si>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</si>
  <si>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</si>
  <si>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</si>
  <si>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</si>
  <si>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</si>
  <si>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</si>
  <si>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</si>
  <si>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</si>
  <si>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</si>
  <si>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</si>
  <si>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</si>
  <si>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</si>
  <si>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</si>
  <si>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</si>
  <si>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</si>
  <si>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</si>
  <si>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</si>
  <si>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</si>
  <si>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</si>
  <si>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</si>
  <si>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</si>
  <si>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</si>
  <si>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</si>
  <si>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</si>
  <si>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</si>
  <si>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</si>
  <si>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</si>
  <si>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</si>
  <si>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</si>
  <si>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</si>
  <si>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</si>
  <si>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</si>
  <si>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</si>
  <si>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</si>
  <si>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</si>
  <si>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</si>
  <si>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</si>
  <si>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</si>
  <si>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</si>
  <si>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</si>
  <si>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</si>
  <si>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</si>
  <si>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</si>
  <si>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</si>
  <si>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</si>
  <si>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</si>
  <si>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</si>
  <si>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</si>
  <si>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</si>
  <si>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</si>
  <si>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</si>
  <si>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</si>
  <si>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</si>
  <si>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</si>
  <si>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</si>
  <si>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</si>
  <si>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</si>
  <si>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</si>
  <si>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</si>
  <si>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</si>
  <si>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</si>
  <si>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</si>
  <si>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</si>
  <si>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</si>
  <si>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</si>
  <si>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</si>
  <si>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</si>
  <si>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</si>
  <si>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</si>
  <si>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</si>
  <si>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</si>
  <si>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</si>
  <si>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</si>
  <si>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</si>
  <si>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</si>
  <si>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</si>
  <si>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</si>
  <si>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</si>
  <si>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</si>
  <si>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</si>
  <si>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</si>
  <si>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</si>
  <si>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</si>
  <si>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</si>
  <si>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</si>
  <si>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</si>
  <si>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</si>
  <si>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</si>
  <si>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</si>
  <si>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</si>
  <si>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</si>
  <si>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</si>
  <si>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</si>
  <si>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</si>
  <si>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</si>
  <si>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</si>
  <si>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</si>
  <si>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</si>
  <si>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</si>
  <si>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</si>
  <si>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</si>
  <si>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</si>
  <si>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</si>
  <si>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</si>
  <si>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</si>
  <si>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</si>
  <si>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</si>
  <si>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</si>
  <si>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</si>
  <si>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</si>
  <si>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</si>
  <si>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</si>
  <si>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</si>
  <si>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</si>
  <si>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</si>
  <si>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</si>
  <si>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</si>
  <si>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</si>
  <si>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</si>
  <si>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</si>
  <si>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</si>
  <si>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</si>
  <si>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</si>
  <si>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</si>
  <si>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</si>
  <si>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</si>
  <si>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</si>
  <si>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</si>
  <si>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</si>
  <si>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</si>
  <si>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</si>
  <si>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</si>
  <si>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</si>
  <si>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</si>
  <si>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</si>
  <si>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</si>
  <si>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</si>
  <si>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</si>
  <si>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</si>
  <si>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</si>
  <si>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</si>
  <si>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</si>
  <si>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</si>
  <si>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</si>
  <si>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</si>
  <si>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</si>
  <si>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</si>
  <si>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</si>
  <si>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</si>
  <si>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</si>
  <si>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</si>
  <si>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</si>
  <si>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</si>
  <si>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</si>
  <si>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</si>
  <si>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</si>
  <si>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</si>
  <si>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</si>
  <si>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</si>
  <si>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</si>
  <si>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</si>
  <si>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</si>
  <si>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</si>
  <si>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</si>
  <si>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</si>
  <si>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</si>
  <si>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</si>
  <si>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</si>
  <si>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</si>
  <si>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</si>
  <si>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</si>
  <si>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</si>
  <si>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</si>
  <si>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</si>
  <si>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</si>
  <si>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</si>
  <si>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</si>
  <si>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</si>
  <si>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</si>
  <si>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</si>
  <si>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</si>
  <si>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</si>
  <si>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</si>
  <si>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</si>
  <si>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</si>
  <si>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</si>
  <si>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</si>
  <si>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</si>
  <si>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</si>
  <si>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</si>
  <si>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</si>
  <si>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</si>
  <si>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</si>
  <si>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</si>
  <si>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</si>
  <si>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</si>
  <si>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</si>
  <si>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</si>
  <si>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</si>
  <si>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</si>
  <si>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</si>
  <si>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</si>
  <si>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</si>
  <si>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</si>
  <si>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</si>
  <si>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</si>
  <si>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</si>
  <si>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</si>
  <si>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</si>
  <si>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</si>
  <si>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</si>
  <si>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</si>
  <si>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</si>
  <si>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</si>
  <si>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</si>
  <si>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</si>
  <si>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</si>
  <si>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</si>
  <si>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</si>
  <si>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</si>
  <si>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</si>
  <si>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</si>
  <si>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</si>
  <si>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</si>
  <si>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</si>
  <si>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</si>
  <si>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</si>
  <si>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</si>
  <si>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</si>
  <si>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</si>
  <si>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</si>
  <si>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</si>
  <si>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</si>
  <si>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</si>
  <si>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</si>
  <si>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</si>
  <si>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</si>
  <si>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</si>
  <si>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</si>
  <si>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</si>
  <si>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</si>
  <si>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</si>
  <si>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</si>
  <si>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</si>
  <si>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</si>
  <si>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</si>
  <si>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</si>
  <si>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</si>
  <si>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</si>
  <si>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</si>
  <si>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</si>
  <si>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</si>
  <si>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</si>
  <si>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</si>
  <si>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</si>
  <si>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</si>
  <si>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</si>
  <si>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</si>
  <si>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</si>
  <si>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</si>
  <si>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</si>
  <si>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</si>
  <si>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</si>
  <si>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</si>
  <si>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</si>
  <si>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</si>
  <si>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</si>
  <si>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</si>
  <si>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</si>
  <si>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</si>
  <si>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</si>
  <si>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</si>
  <si>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</si>
  <si>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</si>
  <si>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</si>
  <si>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</si>
  <si>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</si>
  <si>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</si>
  <si>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</si>
  <si>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</si>
  <si>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</si>
  <si>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</si>
  <si>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</si>
  <si>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</si>
  <si>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</si>
  <si>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</si>
  <si>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</si>
  <si>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</si>
  <si>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</si>
  <si>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</si>
  <si>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</si>
  <si>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</si>
  <si>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</si>
  <si>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</si>
  <si>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</si>
  <si>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</si>
  <si>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</si>
  <si>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</si>
  <si>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</si>
  <si>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</si>
  <si>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</si>
  <si>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</si>
  <si>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</si>
  <si>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</si>
  <si>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</si>
  <si>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</si>
  <si>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</si>
  <si>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</si>
  <si>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</si>
  <si>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</si>
  <si>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</si>
  <si>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</si>
  <si>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</si>
  <si>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</si>
  <si>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</si>
  <si>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</si>
  <si>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</si>
  <si>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</si>
  <si>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</si>
  <si>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</si>
  <si>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</si>
  <si>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</si>
  <si>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</si>
  <si>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</si>
  <si>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</si>
  <si>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</si>
  <si>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</si>
  <si>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</si>
  <si>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</si>
  <si>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</si>
  <si>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</si>
  <si>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</si>
  <si>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</si>
  <si>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</si>
  <si>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</si>
  <si>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</si>
  <si>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</si>
  <si>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</si>
  <si>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</si>
  <si>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</si>
  <si>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</si>
  <si>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</si>
  <si>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</si>
  <si>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</si>
  <si>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</si>
  <si>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</si>
  <si>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</si>
  <si>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</si>
  <si>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</si>
  <si>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</si>
  <si>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</si>
  <si>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</si>
  <si>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</si>
  <si>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</si>
  <si>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</si>
  <si>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</si>
  <si>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</si>
  <si>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</si>
  <si>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</si>
  <si>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</si>
  <si>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</si>
  <si>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</si>
  <si>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</si>
  <si>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</si>
  <si>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</si>
  <si>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</si>
  <si>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</si>
  <si>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</si>
  <si>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</si>
  <si>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</si>
  <si>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</si>
  <si>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</si>
  <si>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</si>
  <si>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</si>
  <si>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</si>
  <si>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</si>
  <si>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</si>
  <si>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</si>
  <si>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</si>
  <si>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</si>
  <si>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</si>
  <si>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</si>
  <si>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</si>
  <si>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</si>
  <si>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</si>
  <si>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</si>
  <si>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</si>
  <si>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</si>
  <si>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</si>
  <si>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</si>
  <si>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</si>
  <si>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</si>
  <si>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</si>
  <si>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</si>
  <si>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</si>
  <si>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</si>
  <si>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</si>
  <si>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</si>
  <si>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</si>
  <si>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</si>
  <si>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</si>
  <si>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</si>
  <si>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</si>
  <si>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</si>
  <si>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</si>
  <si>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</si>
  <si>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</si>
  <si>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</si>
  <si>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</si>
  <si>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</si>
  <si>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</si>
  <si>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</si>
  <si>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</si>
  <si>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</si>
  <si>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</si>
  <si>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</si>
  <si>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</si>
  <si>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</si>
  <si>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</si>
  <si>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</si>
  <si>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</si>
  <si>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</si>
  <si>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</si>
  <si>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</si>
  <si>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</si>
  <si>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</si>
  <si>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</si>
  <si>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</si>
  <si>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</si>
  <si>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</si>
  <si>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</si>
  <si>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</si>
  <si>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</si>
  <si>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</si>
  <si>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</si>
  <si>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</si>
  <si>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</si>
  <si>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</si>
  <si>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</si>
  <si>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</si>
  <si>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</si>
  <si>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</si>
  <si>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</si>
  <si>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</si>
  <si>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</si>
  <si>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</si>
  <si>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</si>
  <si>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</si>
  <si>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</si>
  <si>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</si>
  <si>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</si>
  <si>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</si>
  <si>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</si>
  <si>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</si>
  <si>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</si>
  <si>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</si>
  <si>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</si>
  <si>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</si>
  <si>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</si>
  <si>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</si>
  <si>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</si>
  <si>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</si>
  <si>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</si>
  <si>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</si>
  <si>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</si>
  <si>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</si>
  <si>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</si>
  <si>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</si>
  <si>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</si>
  <si>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</si>
  <si>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</si>
  <si>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</si>
  <si>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</si>
  <si>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</si>
  <si>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</si>
  <si>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</si>
  <si>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</si>
  <si>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</si>
  <si>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</si>
  <si>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</si>
  <si>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</si>
  <si>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</si>
  <si>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</si>
  <si>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</si>
  <si>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</si>
  <si>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</si>
  <si>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</si>
  <si>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</si>
  <si>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</si>
  <si>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</si>
  <si>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</si>
  <si>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</si>
  <si>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</si>
  <si>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</si>
  <si>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</si>
  <si>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</si>
  <si>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</si>
  <si>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</si>
  <si>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</si>
  <si>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</si>
  <si>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</si>
  <si>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</si>
  <si>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</si>
  <si>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</si>
  <si>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</si>
  <si>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</si>
  <si>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</si>
  <si>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</si>
  <si>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</si>
  <si>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</si>
  <si>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</si>
  <si>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</si>
  <si>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</si>
  <si>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</si>
  <si>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</si>
  <si>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</si>
  <si>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</si>
  <si>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</si>
  <si>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</si>
  <si>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</si>
  <si>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</si>
  <si>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</si>
  <si>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</si>
  <si>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</si>
  <si>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</si>
  <si>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</si>
  <si>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</si>
  <si>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</si>
  <si>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</si>
  <si>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</si>
  <si>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</si>
  <si>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</si>
  <si>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</si>
  <si>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</si>
  <si>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</si>
  <si>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</si>
  <si>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</si>
  <si>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</si>
  <si>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</si>
  <si>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</si>
  <si>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</si>
  <si>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</si>
  <si>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</si>
  <si>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</si>
  <si>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</si>
  <si>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</si>
  <si>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</si>
  <si>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</si>
  <si>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</si>
  <si>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</si>
  <si>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</si>
  <si>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</si>
  <si>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</si>
  <si>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</si>
  <si>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</si>
  <si>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</si>
  <si>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</si>
  <si>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</si>
  <si>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</si>
  <si>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</si>
  <si>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</si>
  <si>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</si>
  <si>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</si>
  <si>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</si>
  <si>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</si>
  <si>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</si>
  <si>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</si>
  <si>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</si>
  <si>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</si>
  <si>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</si>
  <si>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</si>
  <si>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</si>
  <si>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</si>
  <si>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</si>
  <si>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</si>
  <si>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</si>
  <si>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</si>
  <si>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</si>
  <si>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</si>
  <si>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</si>
  <si>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</si>
  <si>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</si>
  <si>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</si>
  <si>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</si>
  <si>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</si>
  <si>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</si>
  <si>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</si>
  <si>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</si>
  <si>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</si>
  <si>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</si>
  <si>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</si>
  <si>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</si>
  <si>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</si>
  <si>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</si>
  <si>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</si>
  <si>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</si>
  <si>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</si>
  <si>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</si>
  <si>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</si>
  <si>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</si>
  <si>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</si>
  <si>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</si>
  <si>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</si>
  <si>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</si>
  <si>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</si>
  <si>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</si>
  <si>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</si>
  <si>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</si>
  <si>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</si>
  <si>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</si>
  <si>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</si>
  <si>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</si>
  <si>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</si>
  <si>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</si>
  <si>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</si>
  <si>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</si>
  <si>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</si>
  <si>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</si>
  <si>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</si>
  <si>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</si>
  <si>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</si>
  <si>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</si>
  <si>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</si>
  <si>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</si>
  <si>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</si>
  <si>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</si>
  <si>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</si>
  <si>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</si>
  <si>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</si>
  <si>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</si>
  <si>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</si>
  <si>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</si>
  <si>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</si>
  <si>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</si>
  <si>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</si>
  <si>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</si>
  <si>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</si>
  <si>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</si>
  <si>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</si>
  <si>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</si>
  <si>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</si>
  <si>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</si>
  <si>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</si>
  <si>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</si>
  <si>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</si>
  <si>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</si>
  <si>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</si>
  <si>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</si>
  <si>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</si>
  <si>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</si>
  <si>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</si>
  <si>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</si>
  <si>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</si>
  <si>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</si>
  <si>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</si>
  <si>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</si>
  <si>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</si>
  <si>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</si>
  <si>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</si>
  <si>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</si>
  <si>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</si>
  <si>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</si>
  <si>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</si>
  <si>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</si>
  <si>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</si>
  <si>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</si>
  <si>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</si>
  <si>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</si>
  <si>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</si>
  <si>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</si>
  <si>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</si>
  <si>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</si>
  <si>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</si>
  <si>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</si>
  <si>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</si>
  <si>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</si>
  <si>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</si>
  <si>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</si>
  <si>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</si>
  <si>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</si>
  <si>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</si>
  <si>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</si>
  <si>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</si>
  <si>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</si>
  <si>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</si>
  <si>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</si>
  <si>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</si>
  <si>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</si>
  <si>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</si>
  <si>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</si>
  <si>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</si>
  <si>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</si>
  <si>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</si>
  <si>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</si>
  <si>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</si>
  <si>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</si>
  <si>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</si>
  <si>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</si>
  <si>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</si>
  <si>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</si>
  <si>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</si>
  <si>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</si>
  <si>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</si>
  <si>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</si>
  <si>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</si>
  <si>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</si>
  <si>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</si>
  <si>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</si>
  <si>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</si>
  <si>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</si>
  <si>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</si>
  <si>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</si>
  <si>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</si>
  <si>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</si>
  <si>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</si>
  <si>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</si>
  <si>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</si>
  <si>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</si>
  <si>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</si>
  <si>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</si>
  <si>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</si>
  <si>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</si>
  <si>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</si>
  <si>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</si>
  <si>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</si>
  <si>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</si>
  <si>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</si>
  <si>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</si>
  <si>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</si>
  <si>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</si>
  <si>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</si>
  <si>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</si>
  <si>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</si>
  <si>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</si>
  <si>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</si>
  <si>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</si>
  <si>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</si>
  <si>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</si>
  <si>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</si>
  <si>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</si>
  <si>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</si>
  <si>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</si>
  <si>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</si>
  <si>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</si>
  <si>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</si>
  <si>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</si>
  <si>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</si>
  <si>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</si>
  <si>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</si>
  <si>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</si>
  <si>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</si>
  <si>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</si>
  <si>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</si>
  <si>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</si>
  <si>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</si>
  <si>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</si>
  <si>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</si>
  <si>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</si>
  <si>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</si>
  <si>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</si>
  <si>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</si>
  <si>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</si>
  <si>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</si>
  <si>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</si>
  <si>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</si>
  <si>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</si>
  <si>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</si>
  <si>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</si>
  <si>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</si>
  <si>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</si>
  <si>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</si>
  <si>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</si>
  <si>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</si>
  <si>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</si>
  <si>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</si>
  <si>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</si>
  <si>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</si>
  <si>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</si>
  <si>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</si>
  <si>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</si>
  <si>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</si>
  <si>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</si>
  <si>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</si>
  <si>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</si>
  <si>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</si>
  <si>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</si>
  <si>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</si>
  <si>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</si>
  <si>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</si>
  <si>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</si>
  <si>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</si>
  <si>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</si>
  <si>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</si>
  <si>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</si>
  <si>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</si>
  <si>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</si>
  <si>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</si>
  <si>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</si>
  <si>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</si>
  <si>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</si>
  <si>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</si>
  <si>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</si>
  <si>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</si>
  <si>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</si>
  <si>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</si>
  <si>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</si>
  <si>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</si>
  <si>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</si>
  <si>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</si>
  <si>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</si>
  <si>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</si>
  <si>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</si>
  <si>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</si>
  <si>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</si>
  <si>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</si>
  <si>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</si>
  <si>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</si>
  <si>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</si>
  <si>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</si>
  <si>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</si>
  <si>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</si>
  <si>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</si>
  <si>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</si>
  <si>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</si>
  <si>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</si>
  <si>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</si>
  <si>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</si>
  <si>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</si>
  <si>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</si>
  <si>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</si>
  <si>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</si>
  <si>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</si>
  <si>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</si>
  <si>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</si>
  <si>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</si>
  <si>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</si>
  <si>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</si>
  <si>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</si>
  <si>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</si>
  <si>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</si>
  <si>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</si>
  <si>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</si>
  <si>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</si>
  <si>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</si>
  <si>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</si>
  <si>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</si>
  <si>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</si>
  <si>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</si>
  <si>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</si>
  <si>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</si>
  <si>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</si>
  <si>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</si>
  <si>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</si>
  <si>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</si>
  <si>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</si>
  <si>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</si>
  <si>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</si>
  <si>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</si>
  <si>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</si>
  <si>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</si>
  <si>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</si>
  <si>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</si>
  <si>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</si>
  <si>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</si>
  <si>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</si>
  <si>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</si>
  <si>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</si>
  <si>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</si>
  <si>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</si>
  <si>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</si>
  <si>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</si>
  <si>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</si>
  <si>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</si>
  <si>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</si>
  <si>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</si>
  <si>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</si>
  <si>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</si>
  <si>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</si>
  <si>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</si>
  <si>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</si>
  <si>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</si>
  <si>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</si>
  <si>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</si>
  <si>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</si>
  <si>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</si>
  <si>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</si>
  <si>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</si>
  <si>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</si>
  <si>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</si>
  <si>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</si>
  <si>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</si>
  <si>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</si>
  <si>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</si>
  <si>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</si>
  <si>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</si>
  <si>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</si>
  <si>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</si>
  <si>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</si>
  <si>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</si>
  <si>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</si>
  <si>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</si>
  <si>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</si>
  <si>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</si>
  <si>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</si>
  <si>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</si>
  <si>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</si>
  <si>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</si>
  <si>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</si>
  <si>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</si>
  <si>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</si>
  <si>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</si>
  <si>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</si>
  <si>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</si>
  <si>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</si>
  <si>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</si>
  <si>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</si>
  <si>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</si>
  <si>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</si>
  <si>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</si>
  <si>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</si>
  <si>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</si>
  <si>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</si>
  <si>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</si>
  <si>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</si>
  <si>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</si>
  <si>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</si>
  <si>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</si>
  <si>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</si>
  <si>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</si>
  <si>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</si>
  <si>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</si>
  <si>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</si>
  <si>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</si>
  <si>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</si>
  <si>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</si>
  <si>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</si>
  <si>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</si>
  <si>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</si>
  <si>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</si>
  <si>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</si>
  <si>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</si>
  <si>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</si>
  <si>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</si>
  <si>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</si>
  <si>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</si>
  <si>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</si>
  <si>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</si>
  <si>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</si>
  <si>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</si>
  <si>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</si>
  <si>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</si>
  <si>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</si>
  <si>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</si>
  <si>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</si>
  <si>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</si>
  <si>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</si>
  <si>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</si>
  <si>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</si>
  <si>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</si>
  <si>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</si>
  <si>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</si>
  <si>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</si>
  <si>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</si>
  <si>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</si>
  <si>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</si>
  <si>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</si>
  <si>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</si>
  <si>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</si>
  <si>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</si>
  <si>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</si>
  <si>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</si>
  <si>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</si>
  <si>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</si>
  <si>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</si>
  <si>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</si>
  <si>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</si>
  <si>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</si>
  <si>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</si>
  <si>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</si>
  <si>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</si>
  <si>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</si>
  <si>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</si>
  <si>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</si>
  <si>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</si>
  <si>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</si>
  <si>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</si>
  <si>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</si>
  <si>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</si>
  <si>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</si>
  <si>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</si>
  <si>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</si>
  <si>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</si>
  <si>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</si>
  <si>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</si>
  <si>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</si>
  <si>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</si>
  <si>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</si>
  <si>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</si>
  <si>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</si>
  <si>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</si>
  <si>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</si>
  <si>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</si>
  <si>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</si>
  <si>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</si>
  <si>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</si>
  <si>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</si>
  <si>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</si>
  <si>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</si>
  <si>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</si>
  <si>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</si>
  <si>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</si>
  <si>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</si>
  <si>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</si>
  <si>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</si>
  <si>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</si>
  <si>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</si>
  <si>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</si>
  <si>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</si>
  <si>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</si>
  <si>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</si>
  <si>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</si>
  <si>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</si>
  <si>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</si>
  <si>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</si>
  <si>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</si>
  <si>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</si>
  <si>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</si>
  <si>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</si>
  <si>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</si>
  <si>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</si>
  <si>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</si>
  <si>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</si>
  <si>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</si>
  <si>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</si>
  <si>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</si>
  <si>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</si>
  <si>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</si>
  <si>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</si>
  <si>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</si>
  <si>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</si>
  <si>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</si>
  <si>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</si>
  <si>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</si>
  <si>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</si>
  <si>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</si>
  <si>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</si>
  <si>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</si>
  <si>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</si>
  <si>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</si>
  <si>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</si>
  <si>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</si>
  <si>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</si>
  <si>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</si>
  <si>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</si>
  <si>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</si>
  <si>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</si>
  <si>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</si>
  <si>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</si>
  <si>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</si>
  <si>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</si>
  <si>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</si>
  <si>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</si>
  <si>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</si>
  <si>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</si>
  <si>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</si>
  <si>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</si>
  <si>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</si>
  <si>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</si>
  <si>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</si>
  <si>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</si>
  <si>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</si>
  <si>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</si>
  <si>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</si>
  <si>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</si>
  <si>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</si>
  <si>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</si>
  <si>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</si>
  <si>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</si>
  <si>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</si>
  <si>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</si>
  <si>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</si>
  <si>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</si>
  <si>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</si>
  <si>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</si>
  <si>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</si>
  <si>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</si>
  <si>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</si>
  <si>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</si>
  <si>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</si>
  <si>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</si>
  <si>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</si>
  <si>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</si>
  <si>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</si>
  <si>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</si>
  <si>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</si>
  <si>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</si>
  <si>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</si>
  <si>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</si>
  <si>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</si>
  <si>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</si>
  <si>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</si>
  <si>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中心城区以外</t>
  </si>
  <si>
    <t>好</t>
  </si>
  <si>
    <t>未包含在土地购买价格中</t>
  </si>
  <si>
    <t>已包含在土地取得成本中</t>
  </si>
  <si>
    <t>楼层</t>
    <phoneticPr fontId="3" type="noConversion"/>
  </si>
  <si>
    <t>系数</t>
    <phoneticPr fontId="3" type="noConversion"/>
  </si>
  <si>
    <t>租金</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</si>
  <si>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</si>
  <si>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</si>
  <si>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</si>
  <si>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</si>
  <si>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</si>
  <si>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</si>
  <si>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</si>
  <si>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</si>
  <si>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</si>
  <si>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</si>
  <si>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</si>
  <si>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</si>
  <si>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</si>
  <si>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</si>
  <si>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</si>
  <si>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</si>
  <si>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</si>
  <si>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</si>
  <si>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</si>
  <si>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</si>
  <si>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</si>
  <si>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</si>
  <si>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</si>
  <si>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</si>
  <si>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</si>
  <si>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</si>
  <si>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</si>
  <si>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</si>
  <si>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</si>
  <si>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</si>
  <si>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</si>
  <si>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</si>
  <si>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</si>
  <si>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</si>
  <si>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</si>
  <si>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</si>
  <si>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</si>
  <si>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</si>
  <si>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</si>
  <si>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</si>
  <si>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</si>
  <si>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</si>
  <si>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</si>
  <si>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</si>
  <si>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</si>
  <si>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</si>
  <si>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</si>
  <si>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</si>
  <si>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</si>
  <si>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</si>
  <si>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</si>
  <si>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</si>
  <si>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</si>
  <si>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</si>
  <si>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</si>
  <si>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</si>
  <si>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</si>
  <si>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</si>
  <si>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</si>
  <si>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</si>
  <si>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</si>
  <si>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</si>
  <si>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</si>
  <si>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</si>
  <si>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</si>
  <si>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</si>
  <si>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</si>
  <si>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</si>
  <si>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</si>
  <si>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</si>
  <si>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</si>
  <si>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</si>
  <si>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</si>
  <si>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</si>
  <si>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</si>
  <si>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</si>
  <si>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r>
      <t>1</t>
    </r>
    <r>
      <rPr>
        <sz val="10"/>
        <color indexed="8"/>
        <rFont val="宋体"/>
        <family val="3"/>
        <charset val="134"/>
      </rPr>
      <t>层</t>
    </r>
    <phoneticPr fontId="3" type="noConversion"/>
  </si>
  <si>
    <t>与级别开发程度不一致</t>
  </si>
  <si>
    <t>燃气</t>
  </si>
  <si>
    <t>一般</t>
    <phoneticPr fontId="30" type="noConversion"/>
  </si>
  <si>
    <t>差</t>
  </si>
  <si>
    <t>商业</t>
    <phoneticPr fontId="7" type="noConversion"/>
  </si>
  <si>
    <t>1-2层</t>
  </si>
  <si>
    <t>楼层修正</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</si>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</sst>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183" fontId="47" fillId="0" borderId="1" xfId="0" applyNumberFormat="1" applyFont="1" applyFill="1" applyBorder="1" applyAlignment="1" applyProtection="1">
      <alignment horizontal="center" vertical="center" shrinkToFi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估价对象为北京市房地产，为所有。根据《国有土地使用证》[]，估价对象（分摊）出让国有建设用地使用权面积为0平方米，建筑面积为236.66平方米。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估价对象为北京市房地产,属开发建设的居住项目，该项目尚在开发建设中。根据《国有土地使用证》[]，估价对象（分摊）出让国有建设用地使用权面积为0平方米，规划建筑面积为236.66平方米。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2024年4月10日（评估专业人员实地查勘之日）</v>
      </c>
    </row>
    <row r="13" spans="1:2">
      <c r="A13" s="1116" t="s">
        <v>529</v>
      </c>
      <c r="B13" s="1117" t="str">
        <f>'预评函-1'!A18</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498</v>
      </c>
    </row>
    <row r="21" spans="1:2">
      <c r="A21" s="1116" t="s">
        <v>537</v>
      </c>
      <c r="B21" s="1117">
        <f ca="1">'预评函-2'!D7</f>
        <v>21048</v>
      </c>
    </row>
    <row r="22" spans="1:2">
      <c r="A22" s="1116" t="s">
        <v>538</v>
      </c>
      <c r="B22" s="1117" t="str">
        <f ca="1">'预评函-2'!D6</f>
        <v>肆佰玖拾捌万元整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498</v>
      </c>
    </row>
    <row r="31" spans="1:2">
      <c r="A31" s="1116" t="s">
        <v>576</v>
      </c>
      <c r="B31" s="1117">
        <f ca="1">'预评函-2'!D15</f>
        <v>21048</v>
      </c>
    </row>
    <row r="32" spans="1:2">
      <c r="A32" s="1116" t="s">
        <v>543</v>
      </c>
      <c r="B32" s="1117" t="str">
        <f ca="1">'预评函-2'!D14</f>
        <v>肆佰玖拾捌万元整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236.66</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298</v>
      </c>
    </row>
    <row r="48" spans="1:2">
      <c r="A48" s="1116" t="s">
        <v>549</v>
      </c>
      <c r="B48" s="1117">
        <f ca="1">'预评函-3'!E4</f>
        <v>12587</v>
      </c>
    </row>
    <row r="49" spans="1:2">
      <c r="A49" s="1116" t="s">
        <v>550</v>
      </c>
      <c r="B49" s="1117" t="str">
        <f ca="1">'预评函-3'!D5</f>
        <v>贰佰玖拾捌万元整</v>
      </c>
    </row>
    <row r="50" spans="1:2">
      <c r="A50" s="1116" t="s">
        <v>574</v>
      </c>
      <c r="B50" s="1117" t="str">
        <f>'预评函-3'!F2</f>
        <v>在建建筑物价值</v>
      </c>
    </row>
    <row r="51" spans="1:2">
      <c r="A51" s="1116" t="s">
        <v>551</v>
      </c>
      <c r="B51" s="1117">
        <f ca="1">'预评函-3'!F4</f>
        <v>200</v>
      </c>
    </row>
    <row r="52" spans="1:2">
      <c r="A52" s="1116" t="s">
        <v>552</v>
      </c>
      <c r="B52" s="1117">
        <f ca="1">'预评函-3'!G4</f>
        <v>8461</v>
      </c>
    </row>
    <row r="53" spans="1:2">
      <c r="A53" s="1116" t="s">
        <v>580</v>
      </c>
      <c r="B53" s="1117" t="str">
        <f ca="1">'预评函-3'!F5</f>
        <v>贰佰万元整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4" t="s">
        <v>385</v>
      </c>
      <c r="C54" s="1442" t="s">
        <v>583</v>
      </c>
    </row>
    <row r="55" spans="1:4">
      <c r="A55" s="3229"/>
      <c r="B55" s="1444" t="s">
        <v>386</v>
      </c>
      <c r="C55" s="1442" t="s">
        <v>584</v>
      </c>
    </row>
    <row r="56" spans="1:4">
      <c r="A56" s="3229"/>
      <c r="B56" s="1444" t="s">
        <v>387</v>
      </c>
      <c r="C56" s="1442" t="s">
        <v>588</v>
      </c>
    </row>
    <row r="57" spans="1:4">
      <c r="A57" s="322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30" t="s">
        <v>2576</v>
      </c>
      <c r="J2" s="3230"/>
      <c r="K2" s="3230"/>
      <c r="L2" s="3230"/>
      <c r="M2" s="3230"/>
      <c r="N2" s="3230"/>
      <c r="O2" s="3230"/>
      <c r="P2" s="3230"/>
      <c r="Q2" s="3230"/>
      <c r="R2" s="3230"/>
    </row>
    <row r="3" spans="1:18">
      <c r="A3" s="2751" t="s">
        <v>2497</v>
      </c>
      <c r="B3" s="2752">
        <f>项目基本情况!D3</f>
        <v>45392</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2.69</v>
      </c>
      <c r="D5" s="2756">
        <f>IF(ISERROR(ROUND(POWER(1+E5,A5-C5)*(POWER(1+E5,C5)-1)/(POWER(1+E5,A5)-1),3)),0,ROUND(POWER(1+E5,A5-C5)*(POWER(1+E5,C5)-1)/(POWER(1+E5,A5)-1),4))</f>
        <v>0.1265</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12.7</v>
      </c>
      <c r="D6" s="2756">
        <f>IF(ISERROR(ROUND(POWER(1+E6,A6-C6)*(POWER(1+E6,C6)-1)/(POWER(1+E6,A6)-1),3)),0,ROUND(POWER(1+E6,A6-C6)*(POWER(1+E6,C6)-1)/(POWER(1+E6,A6)-1),4))</f>
        <v>0.45660000000000001</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32.71</v>
      </c>
      <c r="D7" s="2756">
        <f>IF(ISERROR(ROUND(POWER(1+E7,A7-C7)*(POWER(1+E7,C7)-1)/(POWER(1+E7,A7)-1),3)),0,ROUND(POWER(1+E7,A7-C7)*(POWER(1+E7,C7)-1)/(POWER(1+E7,A7)-1),4))</f>
        <v>0.77239999999999998</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D42" sqref="D42"/>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2169</v>
      </c>
      <c r="B3" s="2179">
        <v>45392</v>
      </c>
      <c r="C3" s="2180" t="s">
        <v>2170</v>
      </c>
      <c r="D3" s="2179">
        <f>B3</f>
        <v>45392</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3483</v>
      </c>
      <c r="C4" s="2182">
        <f ca="1">SUMIF(注册房地产估价师,B4,估价师及机构信息!B3:B24)</f>
        <v>1120070131</v>
      </c>
      <c r="D4" s="2181" t="s">
        <v>3484</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41"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42"/>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3188">
        <v>54518</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25</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8"/>
      <c r="C16" s="3249"/>
      <c r="D16" s="3250"/>
      <c r="E16" s="2216" t="s">
        <v>2193</v>
      </c>
      <c r="F16" s="3251"/>
      <c r="G16" s="3252"/>
      <c r="H16" s="3252"/>
      <c r="I16" s="3253"/>
      <c r="J16" s="2239"/>
      <c r="K16" s="2394"/>
      <c r="L16" s="1667"/>
      <c r="M16" s="1667"/>
      <c r="N16" s="2239"/>
      <c r="O16" s="1667"/>
      <c r="P16" s="2239"/>
      <c r="Q16" s="2239"/>
      <c r="R16" s="2239"/>
    </row>
    <row r="17" spans="1:28">
      <c r="A17" s="304" t="s">
        <v>2194</v>
      </c>
      <c r="B17" s="293" t="s">
        <v>2195</v>
      </c>
      <c r="C17" s="8">
        <f>'数据-汇总表'!E3</f>
        <v>236.66</v>
      </c>
      <c r="D17" s="1253" t="s">
        <v>2196</v>
      </c>
      <c r="E17" s="3254" t="s">
        <v>2197</v>
      </c>
      <c r="F17" s="3255"/>
      <c r="G17" s="3255"/>
      <c r="H17" s="3255"/>
      <c r="I17" s="3256"/>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0</v>
      </c>
      <c r="D18" s="1027" t="s">
        <v>2200</v>
      </c>
      <c r="E18" s="3257" t="s">
        <v>2201</v>
      </c>
      <c r="F18" s="3258"/>
      <c r="G18" s="3258"/>
      <c r="H18" s="3258"/>
      <c r="I18" s="3259"/>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44" t="s">
        <v>2205</v>
      </c>
      <c r="C20" s="3245"/>
      <c r="D20" s="3246" t="s">
        <v>2206</v>
      </c>
      <c r="E20" s="3247"/>
      <c r="F20" s="2421" t="s">
        <v>1056</v>
      </c>
      <c r="G20" s="2433"/>
      <c r="H20" s="2433"/>
      <c r="I20" s="2433"/>
      <c r="J20" s="2239"/>
      <c r="K20" s="3243"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4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4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32"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32"/>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32"/>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33"/>
      <c r="B30" s="293" t="s">
        <v>2217</v>
      </c>
      <c r="C30" s="3234"/>
      <c r="D30" s="3235"/>
      <c r="E30" s="2433"/>
      <c r="F30" s="2433"/>
      <c r="G30" s="2433"/>
      <c r="H30" s="2433"/>
      <c r="I30" s="2433"/>
      <c r="J30" s="2239"/>
      <c r="K30" s="2393"/>
      <c r="L30" s="2390"/>
      <c r="M30" s="2390"/>
      <c r="N30" s="2239"/>
      <c r="O30" s="1667"/>
      <c r="P30" s="2239"/>
      <c r="Q30" s="2239"/>
      <c r="R30" s="2239"/>
      <c r="S30" s="2239"/>
      <c r="T30" s="2239"/>
      <c r="U30" s="2239"/>
      <c r="V30" s="2239"/>
    </row>
    <row r="31" spans="1:28">
      <c r="A31" s="3236"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37"/>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37"/>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31" t="s">
        <v>2227</v>
      </c>
      <c r="T34" s="314" t="str">
        <f>NUMBERSTRING(7-K34,1)&amp;"通"</f>
        <v>七通</v>
      </c>
      <c r="U34" s="2239"/>
      <c r="V34" s="2239"/>
    </row>
    <row r="35" spans="1:30">
      <c r="A35" s="2230"/>
      <c r="B35" s="3231" t="s">
        <v>2228</v>
      </c>
      <c r="C35" s="3231"/>
      <c r="D35" s="3231"/>
      <c r="E35" s="3231"/>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1"/>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t="s">
        <v>110</v>
      </c>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t="s">
        <v>246</v>
      </c>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236.66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236.66</v>
      </c>
      <c r="H5" s="13">
        <f t="shared" ref="H5:AT5" si="0">SUM(H13:H656)</f>
        <v>236.66</v>
      </c>
      <c r="I5" s="13">
        <f t="shared" si="0"/>
        <v>236.66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236.66</v>
      </c>
      <c r="BA5" s="15">
        <f t="shared" si="1"/>
        <v>236.66</v>
      </c>
      <c r="BB5" s="15">
        <f t="shared" si="1"/>
        <v>236.66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3517</v>
      </c>
      <c r="D13" s="1510" t="s">
        <v>3377</v>
      </c>
      <c r="E13" s="13">
        <f>IF($C$3="是",ROUND($A$3*G13/$B$3,2),ROUND($A$3*(G13-AT13)/$B$3,2))</f>
        <v>0</v>
      </c>
      <c r="F13" s="29"/>
      <c r="G13" s="30">
        <f>H13+AC13+AT13</f>
        <v>236.66</v>
      </c>
      <c r="H13" s="17">
        <f>SUMIF(I$12:AB$12,"总值",I13:AB13)</f>
        <v>236.66</v>
      </c>
      <c r="I13" s="1511">
        <v>236.66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1层</v>
      </c>
      <c r="AY13" s="1257">
        <f>ROUND($AY$6*AZ13/$AZ$5,2)</f>
        <v>0</v>
      </c>
      <c r="AZ13" s="13">
        <f>BA13+BL13</f>
        <v>236.66</v>
      </c>
      <c r="BA13" s="13">
        <f>SUM(BB13:BK13)</f>
        <v>236.66</v>
      </c>
      <c r="BB13" s="13">
        <f>IF($D13="是",I13-J13,0)</f>
        <v>236.66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1459"/>
      <c r="D14" s="1510" t="s">
        <v>3377</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626"/>
      <c r="D15" s="1510" t="s">
        <v>3377</v>
      </c>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t="s">
        <v>3377</v>
      </c>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9" t="s">
        <v>1131</v>
      </c>
      <c r="B2" s="3269"/>
      <c r="C2" s="3269"/>
      <c r="D2" s="746" t="s">
        <v>1107</v>
      </c>
      <c r="E2" s="1520" t="s">
        <v>1108</v>
      </c>
      <c r="F2" s="2430"/>
      <c r="G2" s="2423"/>
      <c r="H2" s="2424"/>
      <c r="I2" s="2140" t="s">
        <v>1132</v>
      </c>
      <c r="J2" s="2430"/>
      <c r="K2" s="2430"/>
      <c r="L2" s="2430"/>
      <c r="M2" s="2430"/>
      <c r="N2" s="2431"/>
      <c r="O2" s="2430"/>
      <c r="P2" s="2430"/>
    </row>
    <row r="3" spans="1:16" ht="15.75" thickBot="1">
      <c r="A3" s="3270" t="s">
        <v>1105</v>
      </c>
      <c r="B3" s="3270"/>
      <c r="C3" s="3270"/>
      <c r="D3" s="41">
        <f>'数据-基础表'!AY6</f>
        <v>0</v>
      </c>
      <c r="E3" s="41">
        <f>'数据-基础表'!AZ5</f>
        <v>236.66</v>
      </c>
      <c r="F3" s="2430"/>
      <c r="G3" s="42"/>
      <c r="H3" s="43" t="s">
        <v>1106</v>
      </c>
      <c r="I3" s="800" t="e">
        <f>ROUND('数据-基础表'!B3/'数据-基础表'!A3,2)</f>
        <v>#DIV/0!</v>
      </c>
      <c r="J3" s="2430"/>
      <c r="K3" s="2430"/>
      <c r="L3" s="2430"/>
      <c r="M3" s="2430"/>
      <c r="N3" s="2431"/>
      <c r="O3" s="2430"/>
      <c r="P3" s="2430"/>
    </row>
    <row r="4" spans="1:16" ht="15">
      <c r="A4" s="3271"/>
      <c r="B4" s="3272"/>
      <c r="C4" s="3273"/>
      <c r="D4" s="1521" t="s">
        <v>1107</v>
      </c>
      <c r="E4" s="1522" t="s">
        <v>1108</v>
      </c>
      <c r="F4" s="2430"/>
      <c r="G4" s="2425" t="s">
        <v>1133</v>
      </c>
      <c r="H4" s="43" t="s">
        <v>1113</v>
      </c>
      <c r="I4" s="800" t="e">
        <f>ROUND(SUMIF('数据-基础表'!I9:AS9,"地上",'数据-基础表'!I5:AS5)/'数据-基础表'!A3,2)</f>
        <v>#DIV/0!</v>
      </c>
      <c r="J4" s="2430"/>
      <c r="K4" s="2430"/>
      <c r="L4" s="2430"/>
      <c r="M4" s="2430"/>
      <c r="N4" s="2431"/>
      <c r="O4" s="2430"/>
      <c r="P4" s="2430"/>
    </row>
    <row r="5" spans="1:16">
      <c r="A5" s="42" t="s">
        <v>1109</v>
      </c>
      <c r="B5" s="3274" t="s">
        <v>1110</v>
      </c>
      <c r="C5" s="3274"/>
      <c r="D5" s="43">
        <f>ROUND($D$3*E5/$E$3,2)</f>
        <v>0</v>
      </c>
      <c r="E5" s="44">
        <f>SUMIF('数据-基础表'!$11:$11,"住宅",'数据-基础表'!$5:$5)</f>
        <v>0</v>
      </c>
      <c r="F5" s="2430"/>
      <c r="G5" s="42"/>
      <c r="H5" s="43" t="s">
        <v>1106</v>
      </c>
      <c r="I5" s="800" t="e">
        <f>ROUND(E31/D31,2)</f>
        <v>#DIV/0!</v>
      </c>
      <c r="J5" s="2430"/>
      <c r="K5" s="2430"/>
      <c r="L5" s="2430"/>
      <c r="M5" s="2430"/>
      <c r="N5" s="2430"/>
      <c r="O5" s="2430"/>
      <c r="P5" s="2430"/>
    </row>
    <row r="6" spans="1:16" ht="15" thickBot="1">
      <c r="A6" s="1524"/>
      <c r="B6" s="3274" t="s">
        <v>1111</v>
      </c>
      <c r="C6" s="3274"/>
      <c r="D6" s="43">
        <f>ROUND($D$3*E6/$E$3,2)</f>
        <v>0</v>
      </c>
      <c r="E6" s="44">
        <f>E3-E5</f>
        <v>236.66</v>
      </c>
      <c r="F6" s="2430"/>
      <c r="G6" s="1526" t="s">
        <v>1112</v>
      </c>
      <c r="H6" s="45" t="s">
        <v>1113</v>
      </c>
      <c r="I6" s="2426" t="e">
        <f>ROUND(F31/D31,2)</f>
        <v>#DIV/0!</v>
      </c>
      <c r="J6" s="2430"/>
      <c r="K6" s="2430"/>
      <c r="L6" s="2430"/>
      <c r="M6" s="2430"/>
      <c r="N6" s="2430"/>
      <c r="O6" s="2430"/>
      <c r="P6" s="2430"/>
    </row>
    <row r="7" spans="1:16" ht="15.75" thickBot="1">
      <c r="A7" s="3266"/>
      <c r="B7" s="3267"/>
      <c r="C7" s="3268"/>
      <c r="D7" s="1521" t="s">
        <v>1107</v>
      </c>
      <c r="E7" s="1525" t="s">
        <v>1114</v>
      </c>
      <c r="F7" s="2430"/>
      <c r="G7" s="2427" t="s">
        <v>1115</v>
      </c>
      <c r="H7" s="95"/>
      <c r="I7" s="2428" t="e">
        <f>I6</f>
        <v>#DIV/0!</v>
      </c>
      <c r="J7" s="2430"/>
      <c r="K7" s="2430"/>
      <c r="L7" s="2430"/>
      <c r="M7" s="2430"/>
      <c r="N7" s="2430"/>
      <c r="O7" s="2430"/>
      <c r="P7" s="2430"/>
    </row>
    <row r="8" spans="1:16">
      <c r="A8" s="42" t="s">
        <v>1116</v>
      </c>
      <c r="B8" s="45" t="s">
        <v>1117</v>
      </c>
      <c r="C8" s="43" t="s">
        <v>1118</v>
      </c>
      <c r="D8" s="43">
        <f t="shared" ref="D8:D15" si="0">ROUND($D$3*E8/$E$3,2)</f>
        <v>0</v>
      </c>
      <c r="E8" s="46">
        <f>SUMIF('数据-基础表'!BB10:BK10,"地上",'数据-基础表'!BB5:BK5)</f>
        <v>236.66</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0</v>
      </c>
      <c r="E16" s="48">
        <f>SUM(E8:E15)</f>
        <v>236.66</v>
      </c>
      <c r="F16" s="2430"/>
      <c r="G16" s="2430"/>
      <c r="H16" s="1528" t="s">
        <v>1135</v>
      </c>
      <c r="I16" s="1529"/>
      <c r="J16" s="1069"/>
      <c r="K16" s="3263" t="s">
        <v>1135</v>
      </c>
      <c r="L16" s="3264"/>
      <c r="M16" s="3264"/>
      <c r="N16" s="3264"/>
      <c r="O16" s="3264"/>
      <c r="P16" s="3265"/>
    </row>
    <row r="17" spans="1:19" ht="15">
      <c r="A17" s="1530" t="s">
        <v>1136</v>
      </c>
      <c r="B17" s="1531" t="s">
        <v>1137</v>
      </c>
      <c r="C17" s="1532" t="s">
        <v>1138</v>
      </c>
      <c r="D17" s="1533" t="s">
        <v>1126</v>
      </c>
      <c r="E17" s="1534" t="s">
        <v>1127</v>
      </c>
      <c r="F17" s="1535"/>
      <c r="G17" s="1536"/>
      <c r="H17" s="1537" t="s">
        <v>1139</v>
      </c>
      <c r="I17" s="1538" t="s">
        <v>1124</v>
      </c>
      <c r="J17" s="1069"/>
      <c r="K17" s="3260" t="s">
        <v>1140</v>
      </c>
      <c r="L17" s="3261"/>
      <c r="M17" s="3262"/>
      <c r="N17" s="3260" t="s">
        <v>1141</v>
      </c>
      <c r="O17" s="3261"/>
      <c r="P17" s="3262"/>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3522</v>
      </c>
      <c r="D19" s="43">
        <f>ROUND($D$3*E19/$E$3,2)</f>
        <v>0</v>
      </c>
      <c r="E19" s="51">
        <f t="shared" ref="E19:E26" si="1">SUM(F19:G19)</f>
        <v>236.66</v>
      </c>
      <c r="F19" s="2548">
        <f>'数据-基础表'!I5</f>
        <v>236.66</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236.66</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236.66</v>
      </c>
      <c r="F27" s="1070">
        <f>IF(SUM(F19:F26)=E8,SUM(F19:F26),"地上面积有误")</f>
        <v>236.66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236.66</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0</v>
      </c>
      <c r="E31" s="641">
        <f>E27+E30</f>
        <v>236.66</v>
      </c>
      <c r="F31" s="642">
        <f>F27+F30</f>
        <v>236.66</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H24" sqref="H24"/>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45392</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54518</v>
      </c>
      <c r="F6" s="61">
        <f>SUMIF(项目基本情况!C$12:I$12,C6,项目基本情况!C$15:I$15)</f>
        <v>25</v>
      </c>
      <c r="G6" s="62">
        <f>IF(ISERROR(ROUND(POWER(1+H6,D6-F6)*(POWER(1+H6,F6)-1)/(POWER(1+H6,D6)-1),3)),0,ROUND(POWER(1+H6,D6-F6)*(POWER(1+H6,F6)-1)/(POWER(1+H6,D6)-1),3))</f>
        <v>0.82099999999999995</v>
      </c>
      <c r="H6" s="689">
        <v>0.05</v>
      </c>
      <c r="I6" s="689">
        <v>0.06</v>
      </c>
      <c r="J6" s="63">
        <v>7.0000000000000007E-2</v>
      </c>
      <c r="K6" s="968">
        <f>SUMIF('数据-汇总表'!C$19:C$33,A6,'数据-汇总表'!E$19:E$33)</f>
        <v>236.66</v>
      </c>
      <c r="L6" s="690">
        <v>4500</v>
      </c>
      <c r="M6" s="64">
        <f t="shared" ref="M6:M14" si="0">ROUND(K6*L6/10000,0)</f>
        <v>106</v>
      </c>
      <c r="N6" s="3141">
        <v>0.75</v>
      </c>
      <c r="O6" s="64" t="str">
        <f>IF($N$5="成新度","——",ROUND(M6*N6,0))</f>
        <v>——</v>
      </c>
      <c r="P6" s="65" t="str">
        <f>IF($N$5="成新度","——",M6-O6)</f>
        <v>——</v>
      </c>
      <c r="Q6" s="3152">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5">
        <v>3.5</v>
      </c>
      <c r="V6" s="67">
        <v>0.02</v>
      </c>
      <c r="W6" s="3142">
        <v>0.1</v>
      </c>
      <c r="X6" s="977"/>
      <c r="Y6" s="68">
        <f>N6</f>
        <v>0.75</v>
      </c>
      <c r="Z6" s="69"/>
      <c r="AA6" s="63"/>
      <c r="AB6" s="63"/>
      <c r="AC6" s="977"/>
      <c r="AD6" s="70"/>
      <c r="AE6" s="978">
        <f ca="1">IF(AN6="",0,SUMIF(INDIRECT("'"&amp;AN6&amp;"'"&amp;"!E:E"),$AE$5,INDIRECT("'"&amp;AN6&amp;"'"&amp;"!F:F")))</f>
        <v>25</v>
      </c>
      <c r="AF6" s="74"/>
      <c r="AG6" s="129">
        <f>IF(AF6="",0,AE6-AF6)</f>
        <v>0</v>
      </c>
      <c r="AH6" s="71"/>
      <c r="AI6" s="73">
        <v>365</v>
      </c>
      <c r="AJ6" s="74"/>
      <c r="AK6" s="3143">
        <v>1.4999999999999999E-2</v>
      </c>
      <c r="AL6" s="3144">
        <v>1.5E-3</v>
      </c>
      <c r="AM6" s="3145">
        <f>AK6</f>
        <v>1.4999999999999999E-2</v>
      </c>
      <c r="AN6" s="1586" t="s">
        <v>3487</v>
      </c>
      <c r="AO6" s="50">
        <f ca="1">SUMIF(INDIRECT("'"&amp;AN6&amp;"'"&amp;"!A:A"),"总价",INDIRECT("'"&amp;AN6&amp;"'"&amp;"!B:B"))</f>
        <v>316.13560000000001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0.82099999999999995</v>
      </c>
      <c r="H16" s="84">
        <f>ROUND(SUMPRODUCT(H6:H13,K6:K13)/SUMPRODUCT((H6:H13&gt;0)*(K6:K13)),3)</f>
        <v>0.05</v>
      </c>
      <c r="I16" s="85"/>
      <c r="J16" s="85"/>
      <c r="K16" s="86">
        <f>SUM(K6:K15)</f>
        <v>236.66</v>
      </c>
      <c r="L16" s="87">
        <f>ROUND(M16*10000/SUM(K6:K14),0)</f>
        <v>4479</v>
      </c>
      <c r="M16" s="87">
        <f>SUM(M6:M14)</f>
        <v>106</v>
      </c>
      <c r="N16" s="88">
        <f>ROUND(SUMPRODUCT(M6:M14,N6:N14)/M16,3)</f>
        <v>0.75</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2004</v>
      </c>
      <c r="O18" s="2439"/>
      <c r="P18" s="2439"/>
      <c r="Q18" s="2439">
        <f>Q16/B20</f>
        <v>7.4999999999999997E-2</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3442</v>
      </c>
      <c r="N19" s="2439">
        <f>ROUND(1-(1-0%)*(2024-N18)/60,2)</f>
        <v>0.67</v>
      </c>
      <c r="O19" s="2439">
        <v>0.3</v>
      </c>
      <c r="P19" s="2439"/>
      <c r="Q19" s="2439"/>
      <c r="R19" s="2439"/>
      <c r="S19" s="2439"/>
      <c r="T19" s="2439"/>
      <c r="U19" s="2439"/>
      <c r="V19" s="2439"/>
      <c r="W19" s="2439"/>
      <c r="X19" s="2439"/>
      <c r="Y19" s="2439"/>
      <c r="Z19" s="2439"/>
      <c r="AA19" s="2439"/>
      <c r="AB19" s="2439"/>
      <c r="AC19" s="2439"/>
      <c r="AD19" s="2439">
        <f>ROUND(1-(1-0%)*(2028-N18)/60,2)</f>
        <v>0.6</v>
      </c>
      <c r="AE19" s="2439"/>
      <c r="AF19" s="2439"/>
      <c r="AG19" s="2439"/>
      <c r="AH19" s="2439"/>
      <c r="AI19" s="2439"/>
      <c r="AJ19" s="2439"/>
      <c r="AK19" s="2439"/>
      <c r="AL19" s="2439"/>
      <c r="AM19" s="2439"/>
      <c r="AN19" s="2439"/>
      <c r="AO19" s="2439"/>
      <c r="AP19" s="2439"/>
      <c r="AQ19" s="2439"/>
      <c r="AR19" s="2439"/>
    </row>
    <row r="20" spans="1:44" ht="14.25">
      <c r="A20" s="1594" t="s">
        <v>1212</v>
      </c>
      <c r="B20" s="3153">
        <v>2</v>
      </c>
      <c r="C20" s="2552" t="s">
        <v>2298</v>
      </c>
      <c r="D20" s="2442"/>
      <c r="E20" s="2430"/>
      <c r="F20" s="2430"/>
      <c r="G20" s="2430"/>
      <c r="H20" s="2430"/>
      <c r="I20" s="2430"/>
      <c r="J20" s="2430"/>
      <c r="K20" s="2440"/>
      <c r="L20" s="2440"/>
      <c r="M20" s="3139" t="s">
        <v>3443</v>
      </c>
      <c r="N20" s="2439">
        <v>0.8</v>
      </c>
      <c r="O20" s="2439">
        <v>0.7</v>
      </c>
      <c r="P20" s="2439"/>
      <c r="Q20" s="2439"/>
      <c r="R20" s="2439"/>
      <c r="S20" s="2439"/>
      <c r="T20" s="3138" t="s">
        <v>3438</v>
      </c>
      <c r="U20" s="3138" t="s">
        <v>3439</v>
      </c>
      <c r="V20" s="121"/>
      <c r="W20" s="3138" t="s">
        <v>3440</v>
      </c>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2</v>
      </c>
      <c r="C21" s="2430"/>
      <c r="D21" s="2442"/>
      <c r="E21" s="2430"/>
      <c r="F21" s="2430"/>
      <c r="G21" s="2430"/>
      <c r="H21" s="2430"/>
      <c r="I21" s="2430"/>
      <c r="J21" s="2430"/>
      <c r="K21" s="2440"/>
      <c r="L21" s="2440"/>
      <c r="M21" s="3139" t="s">
        <v>3444</v>
      </c>
      <c r="N21" s="2439">
        <f>ROUND(N19*O19+N20*O20,2)</f>
        <v>0.76</v>
      </c>
      <c r="O21" s="2439"/>
      <c r="P21" s="2439"/>
      <c r="Q21" s="2439"/>
      <c r="R21" s="2439"/>
      <c r="S21" s="2439"/>
      <c r="T21" s="2440">
        <v>1</v>
      </c>
      <c r="U21" s="2440">
        <v>1</v>
      </c>
      <c r="V21" s="121">
        <f>'数据-基础表'!I13+'数据-基础表'!I15</f>
        <v>236.66</v>
      </c>
      <c r="W21" s="2440">
        <v>5</v>
      </c>
      <c r="X21" s="2440"/>
      <c r="Y21" s="2439"/>
      <c r="Z21" s="2439">
        <v>1411</v>
      </c>
      <c r="AA21" s="2439">
        <f>400</f>
        <v>400</v>
      </c>
      <c r="AB21" s="2439">
        <f>AA21*10000/Z21/365</f>
        <v>7.7667640748327722</v>
      </c>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2</v>
      </c>
      <c r="C22" s="2430"/>
      <c r="D22" s="2442"/>
      <c r="E22" s="2430"/>
      <c r="F22" s="2430"/>
      <c r="G22" s="2430"/>
      <c r="H22" s="2430"/>
      <c r="I22" s="2430"/>
      <c r="J22" s="2430"/>
      <c r="K22" s="2440"/>
      <c r="L22" s="2440"/>
      <c r="M22" s="2439"/>
      <c r="N22" s="2439"/>
      <c r="O22" s="2439"/>
      <c r="P22" s="2439"/>
      <c r="Q22" s="2439"/>
      <c r="R22" s="2439"/>
      <c r="S22" s="2439"/>
      <c r="T22" s="2440">
        <v>2</v>
      </c>
      <c r="U22" s="2440">
        <v>0.7</v>
      </c>
      <c r="V22" s="121">
        <f>'数据-基础表'!I14+'数据-基础表'!I16</f>
        <v>0</v>
      </c>
      <c r="W22" s="2440">
        <f>U22*W21</f>
        <v>3.5</v>
      </c>
      <c r="X22" s="2440"/>
      <c r="Y22" s="2439"/>
      <c r="Z22" s="2441">
        <f>K6</f>
        <v>236.66</v>
      </c>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2</v>
      </c>
      <c r="C23" s="2430"/>
      <c r="D23" s="2442"/>
      <c r="E23" s="2430"/>
      <c r="F23" s="2430"/>
      <c r="G23" s="2430"/>
      <c r="H23" s="2430"/>
      <c r="I23" s="2430"/>
      <c r="J23" s="2430"/>
      <c r="K23" s="2440"/>
      <c r="L23" s="2440"/>
      <c r="M23" s="2439"/>
      <c r="N23" s="2439"/>
      <c r="O23" s="2439"/>
      <c r="P23" s="2439"/>
      <c r="Q23" s="2439"/>
      <c r="R23" s="2439"/>
      <c r="S23" s="2439"/>
      <c r="T23" s="2440">
        <v>3</v>
      </c>
      <c r="U23" s="2440">
        <v>0.6</v>
      </c>
      <c r="V23" s="121">
        <f>(U21*V21+U22*V22)/K16</f>
        <v>1</v>
      </c>
      <c r="W23" s="2440">
        <f>W21*V23</f>
        <v>5</v>
      </c>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2440"/>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1695</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4.5999999999999996</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7.0000000000000007E-2</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18</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296</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5" t="s">
        <v>2281</v>
      </c>
      <c r="B1" s="3276"/>
      <c r="C1" s="3276"/>
      <c r="D1" s="3276"/>
      <c r="E1" s="3276"/>
      <c r="F1" s="3276"/>
      <c r="G1" s="3276"/>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3507</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3508</v>
      </c>
      <c r="D6" s="2259"/>
      <c r="E6" s="2262"/>
      <c r="F6" s="314" t="s">
        <v>2260</v>
      </c>
      <c r="G6" s="2263" t="s">
        <v>2261</v>
      </c>
      <c r="H6" s="749"/>
      <c r="I6" s="749"/>
      <c r="J6" s="749"/>
      <c r="K6" s="749"/>
      <c r="L6" s="749"/>
      <c r="M6" s="749"/>
      <c r="N6" s="749"/>
      <c r="O6" s="749"/>
      <c r="P6" s="749"/>
      <c r="Q6" s="749"/>
    </row>
    <row r="7" spans="1:29" ht="24.75" thickBot="1">
      <c r="A7" s="2242"/>
      <c r="B7" s="314" t="s">
        <v>2257</v>
      </c>
      <c r="C7" s="3161" t="s">
        <v>3508</v>
      </c>
      <c r="D7" s="2239"/>
      <c r="E7" s="2264"/>
      <c r="F7" s="2265" t="s">
        <v>2262</v>
      </c>
      <c r="G7" s="2266" t="s">
        <v>2263</v>
      </c>
      <c r="H7" s="749"/>
      <c r="I7" s="749"/>
      <c r="J7" s="749"/>
      <c r="K7" s="749"/>
      <c r="L7" s="749"/>
      <c r="M7" s="749"/>
      <c r="N7" s="749"/>
      <c r="O7" s="749"/>
      <c r="P7" s="749"/>
      <c r="Q7" s="749"/>
    </row>
    <row r="8" spans="1:29">
      <c r="A8" s="2242"/>
      <c r="B8" s="314" t="s">
        <v>2260</v>
      </c>
      <c r="C8" s="3161" t="s">
        <v>3508</v>
      </c>
      <c r="D8" s="2239"/>
      <c r="E8" s="2239"/>
      <c r="F8" s="120"/>
      <c r="G8" s="120"/>
      <c r="H8" s="749"/>
      <c r="I8" s="749"/>
      <c r="J8" s="749"/>
      <c r="K8" s="749"/>
      <c r="L8" s="749"/>
      <c r="M8" s="749"/>
      <c r="N8" s="749"/>
      <c r="O8" s="749"/>
      <c r="P8" s="749"/>
      <c r="Q8" s="749"/>
    </row>
    <row r="9" spans="1:29">
      <c r="A9" s="2242"/>
      <c r="B9" s="314" t="s">
        <v>2264</v>
      </c>
      <c r="C9" s="3163" t="s">
        <v>3507</v>
      </c>
      <c r="D9" s="2259"/>
      <c r="E9" s="2239"/>
      <c r="F9" s="120"/>
      <c r="G9" s="120"/>
      <c r="H9" s="749"/>
      <c r="I9" s="749"/>
      <c r="J9" s="749"/>
      <c r="K9" s="749"/>
      <c r="L9" s="749"/>
      <c r="M9" s="749"/>
      <c r="N9" s="749"/>
      <c r="O9" s="749"/>
      <c r="P9" s="749"/>
      <c r="Q9" s="749"/>
    </row>
    <row r="10" spans="1:29" ht="15" thickBot="1">
      <c r="A10" s="2243"/>
      <c r="B10" s="2267" t="s">
        <v>2265</v>
      </c>
      <c r="C10" s="3157" t="s">
        <v>3509</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F7" sqref="F7"/>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236.66</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45392</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498</v>
      </c>
      <c r="C5" s="2291">
        <f ca="1">IF(B5=D14,结果表!H102,ROUND(B5*10000/$B$1,0))</f>
        <v>21048</v>
      </c>
      <c r="D5" s="2291" t="e">
        <f ca="1">ROUND(B5*10000/$B$2,0)</f>
        <v>#DIV/0!</v>
      </c>
      <c r="E5" s="2452"/>
      <c r="F5" s="2453"/>
      <c r="G5" s="2453"/>
      <c r="H5" s="2453"/>
      <c r="I5" s="2453"/>
      <c r="J5" s="2453"/>
      <c r="K5" s="2453"/>
    </row>
    <row r="6" spans="1:11" ht="16.5">
      <c r="A6" s="2291" t="s">
        <v>656</v>
      </c>
      <c r="B6" s="2291">
        <f ca="1">SUM(G14:G23)</f>
        <v>498</v>
      </c>
      <c r="C6" s="2291">
        <f ca="1">IF(B6=G14,结果表!H108,ROUND(B6*10000/$B$1,0))</f>
        <v>21048</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236.66</v>
      </c>
      <c r="C14" s="2297"/>
      <c r="D14" s="2297">
        <f ca="1">结果表!G19</f>
        <v>498</v>
      </c>
      <c r="E14" s="2297">
        <f ca="1">ROUND(D14*10000/B14,0)</f>
        <v>21043</v>
      </c>
      <c r="F14" s="2297" t="e">
        <f ca="1">ROUND(D14*10000/C14,0)</f>
        <v>#DIV/0!</v>
      </c>
      <c r="G14" s="2297">
        <f ca="1">D14</f>
        <v>498</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673</v>
      </c>
      <c r="D1" s="644"/>
      <c r="E1" s="644"/>
      <c r="F1" s="1618" t="s">
        <v>1263</v>
      </c>
      <c r="G1" s="1450" t="s">
        <v>3376</v>
      </c>
      <c r="H1" s="1618" t="str">
        <f>IF(G1="现房","——","估价对象范围")</f>
        <v>——</v>
      </c>
      <c r="I1" s="1619" t="s">
        <v>3488</v>
      </c>
    </row>
    <row r="2" spans="1:12" ht="21.75" customHeight="1" thickBot="1">
      <c r="A2" s="3311" t="str">
        <f>项目基本情况!S2</f>
        <v>北京市房地产</v>
      </c>
      <c r="B2" s="3312"/>
      <c r="C2" s="3312"/>
      <c r="D2" s="3312"/>
      <c r="E2" s="3312"/>
      <c r="F2" s="3312"/>
      <c r="G2" s="3312"/>
      <c r="H2" s="3312"/>
      <c r="I2" s="3313"/>
    </row>
    <row r="3" spans="1:12" ht="12.75">
      <c r="A3" s="3315" t="s">
        <v>1264</v>
      </c>
      <c r="B3" s="3316"/>
      <c r="C3" s="3316"/>
      <c r="D3" s="3316"/>
      <c r="E3" s="3316"/>
      <c r="F3" s="3316"/>
      <c r="G3" s="3316"/>
      <c r="H3" s="3316"/>
      <c r="I3" s="3316"/>
    </row>
    <row r="4" spans="1:12" ht="14.25">
      <c r="A4" s="1621" t="s">
        <v>1265</v>
      </c>
      <c r="B4" s="1622" t="s">
        <v>1266</v>
      </c>
      <c r="C4" s="1623" t="s">
        <v>3525</v>
      </c>
      <c r="D4" s="1623" t="s">
        <v>3487</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278">
        <v>25</v>
      </c>
      <c r="C5" s="3294"/>
      <c r="D5" s="3314"/>
      <c r="E5" s="122" t="s">
        <v>1269</v>
      </c>
      <c r="F5" s="1624"/>
      <c r="G5" s="1624"/>
      <c r="H5" s="1624"/>
      <c r="I5" s="1278"/>
    </row>
    <row r="6" spans="1:12" ht="12.75">
      <c r="A6" s="3291"/>
      <c r="B6" s="3278"/>
      <c r="C6" s="3295"/>
      <c r="D6" s="3314"/>
      <c r="E6" s="122" t="s">
        <v>1270</v>
      </c>
      <c r="F6" s="1624"/>
      <c r="G6" s="1624"/>
      <c r="H6" s="1624"/>
      <c r="I6" s="1278"/>
    </row>
    <row r="7" spans="1:12" ht="12.75">
      <c r="A7" s="3291"/>
      <c r="B7" s="3278"/>
      <c r="C7" s="3296"/>
      <c r="D7" s="3314"/>
      <c r="E7" s="122" t="s">
        <v>1271</v>
      </c>
      <c r="F7" s="1624"/>
      <c r="G7" s="1624"/>
      <c r="H7" s="1624"/>
      <c r="I7" s="1278"/>
    </row>
    <row r="8" spans="1:12" ht="12.75">
      <c r="A8" s="3291" t="s">
        <v>1272</v>
      </c>
      <c r="B8" s="3278">
        <v>15</v>
      </c>
      <c r="C8" s="3294"/>
      <c r="D8" s="3314"/>
      <c r="E8" s="122" t="s">
        <v>1273</v>
      </c>
      <c r="F8" s="1624"/>
      <c r="G8" s="1624"/>
      <c r="H8" s="1624"/>
      <c r="I8" s="1278"/>
    </row>
    <row r="9" spans="1:12" ht="12.75">
      <c r="A9" s="3291"/>
      <c r="B9" s="3278"/>
      <c r="C9" s="3296"/>
      <c r="D9" s="3314"/>
      <c r="E9" s="122" t="s">
        <v>1274</v>
      </c>
      <c r="F9" s="1624"/>
      <c r="G9" s="1624"/>
      <c r="H9" s="1624"/>
      <c r="I9" s="1278"/>
    </row>
    <row r="10" spans="1:12" ht="12.75">
      <c r="A10" s="3291" t="s">
        <v>1275</v>
      </c>
      <c r="B10" s="3278">
        <v>15</v>
      </c>
      <c r="C10" s="3294"/>
      <c r="D10" s="3314"/>
      <c r="E10" s="122" t="s">
        <v>1276</v>
      </c>
      <c r="F10" s="1624"/>
      <c r="G10" s="1624"/>
      <c r="H10" s="1624"/>
      <c r="I10" s="1278"/>
    </row>
    <row r="11" spans="1:12" ht="12.75">
      <c r="A11" s="3291"/>
      <c r="B11" s="3278"/>
      <c r="C11" s="3296"/>
      <c r="D11" s="3314"/>
      <c r="E11" s="122" t="s">
        <v>1277</v>
      </c>
      <c r="F11" s="1624"/>
      <c r="G11" s="1624"/>
      <c r="H11" s="1624"/>
      <c r="I11" s="1278"/>
    </row>
    <row r="12" spans="1:12" ht="12.75">
      <c r="A12" s="3291" t="s">
        <v>1278</v>
      </c>
      <c r="B12" s="3278">
        <v>15</v>
      </c>
      <c r="C12" s="3294"/>
      <c r="D12" s="3314"/>
      <c r="E12" s="122" t="s">
        <v>1279</v>
      </c>
      <c r="F12" s="1624"/>
      <c r="G12" s="1624"/>
      <c r="H12" s="1624"/>
      <c r="I12" s="1278"/>
    </row>
    <row r="13" spans="1:12" ht="12.75">
      <c r="A13" s="3291"/>
      <c r="B13" s="3278"/>
      <c r="C13" s="3296"/>
      <c r="D13" s="3314"/>
      <c r="E13" s="122" t="s">
        <v>1280</v>
      </c>
      <c r="F13" s="1624"/>
      <c r="G13" s="1624"/>
      <c r="H13" s="1624"/>
      <c r="I13" s="1278"/>
    </row>
    <row r="14" spans="1:12" ht="12.75">
      <c r="A14" s="3291" t="s">
        <v>1281</v>
      </c>
      <c r="B14" s="3278">
        <v>30</v>
      </c>
      <c r="C14" s="3294">
        <v>4</v>
      </c>
      <c r="D14" s="3314">
        <v>6</v>
      </c>
      <c r="E14" s="122" t="s">
        <v>1282</v>
      </c>
      <c r="F14" s="1624"/>
      <c r="G14" s="1624"/>
      <c r="H14" s="1624"/>
      <c r="I14" s="1278"/>
    </row>
    <row r="15" spans="1:12" ht="12.75">
      <c r="A15" s="3291"/>
      <c r="B15" s="3278"/>
      <c r="C15" s="3295"/>
      <c r="D15" s="3314"/>
      <c r="E15" s="122" t="s">
        <v>1283</v>
      </c>
      <c r="F15" s="1624"/>
      <c r="G15" s="1624"/>
      <c r="H15" s="1624"/>
      <c r="I15" s="1278"/>
    </row>
    <row r="16" spans="1:12" ht="12.75">
      <c r="A16" s="3291"/>
      <c r="B16" s="3278"/>
      <c r="C16" s="3296"/>
      <c r="D16" s="3314"/>
      <c r="E16" s="122" t="s">
        <v>1284</v>
      </c>
      <c r="F16" s="1624"/>
      <c r="G16" s="1624"/>
      <c r="H16" s="1624"/>
      <c r="I16" s="1278"/>
    </row>
    <row r="17" spans="1:36" ht="15">
      <c r="A17" s="1625" t="s">
        <v>1285</v>
      </c>
      <c r="B17" s="54"/>
      <c r="C17" s="123">
        <f>SUM(C5:C16)</f>
        <v>4</v>
      </c>
      <c r="D17" s="123">
        <f>SUM(D5:D16)</f>
        <v>6</v>
      </c>
      <c r="E17" s="120"/>
      <c r="F17" s="120"/>
      <c r="G17" s="120"/>
      <c r="H17" s="120"/>
      <c r="I17" s="120"/>
      <c r="K17" s="293"/>
      <c r="L17" s="293" t="s">
        <v>1286</v>
      </c>
      <c r="M17" s="293" t="s">
        <v>1287</v>
      </c>
    </row>
    <row r="18" spans="1:36" ht="31.9" customHeight="1" thickBot="1">
      <c r="A18" s="1626" t="s">
        <v>1288</v>
      </c>
      <c r="B18" s="1539"/>
      <c r="C18" s="124">
        <f>ROUND(C17/SUM(C17:D17),2)</f>
        <v>0.4</v>
      </c>
      <c r="D18" s="124">
        <f>1-C18</f>
        <v>0.6</v>
      </c>
      <c r="E18" s="3301" t="s">
        <v>2130</v>
      </c>
      <c r="F18" s="3302"/>
      <c r="G18" s="3302"/>
      <c r="H18" s="3302"/>
      <c r="I18" s="3302"/>
      <c r="K18" s="293" t="s">
        <v>1289</v>
      </c>
      <c r="L18" s="293">
        <f>IF(C1="",'数据-汇总表'!E3,SUMIF(项目类型,C1,'数据-汇总表'!E17:E26)+SUMIF(项目类型,C1,'数据-汇总表'!I17:I26))</f>
        <v>236.66</v>
      </c>
      <c r="M18" s="293">
        <f>IF(C1="",'数据-汇总表'!E3,SUMIF(项目类型,C1,'数据-汇总表'!E17:E26))</f>
        <v>236.66</v>
      </c>
    </row>
    <row r="19" spans="1:36" ht="15">
      <c r="A19" s="1627" t="s">
        <v>1290</v>
      </c>
      <c r="B19" s="1628" t="s">
        <v>1291</v>
      </c>
      <c r="C19" s="125">
        <f ca="1">SUMIF(INDIRECT("'"&amp;C4&amp;"'"&amp;"!A:A"),结果表!B19,INDIRECT("'"&amp;C4&amp;"'"&amp;"!B:B"))</f>
        <v>771.12950000000001</v>
      </c>
      <c r="D19" s="126">
        <f ca="1">SUMIF(INDIRECT("'"&amp;D4&amp;"'"&amp;"!A:A"),结果表!B19,INDIRECT("'"&amp;D4&amp;"'"&amp;"!B:B"))</f>
        <v>316.13560000000001</v>
      </c>
      <c r="E19" s="1627" t="s">
        <v>1292</v>
      </c>
      <c r="F19" s="1628" t="s">
        <v>1291</v>
      </c>
      <c r="G19" s="127">
        <f ca="1">ROUND(C19*$C$18+D19*$D$18,0)</f>
        <v>498</v>
      </c>
      <c r="H19" s="1629" t="s">
        <v>1293</v>
      </c>
      <c r="I19" s="120"/>
      <c r="J19" s="682" t="s">
        <v>3475</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32584</v>
      </c>
      <c r="D20" s="129">
        <f ca="1">SUMIF(INDIRECT("'"&amp;D4&amp;"'"&amp;"!A:A"),结果表!B20,INDIRECT("'"&amp;D4&amp;"'"&amp;"!B:B"))</f>
        <v>13358</v>
      </c>
      <c r="E20" s="1630"/>
      <c r="F20" s="43" t="s">
        <v>1295</v>
      </c>
      <c r="G20" s="130">
        <f ca="1">ROUND(C20*$C$18+D20*$D$18,0)</f>
        <v>21048</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1.4392365174943915</v>
      </c>
      <c r="E22" s="120"/>
      <c r="F22" s="120"/>
      <c r="G22" s="120"/>
      <c r="H22" s="120"/>
      <c r="I22" s="120"/>
    </row>
    <row r="23" spans="1:36" ht="13.5" thickBot="1">
      <c r="A23" s="644"/>
      <c r="B23" s="644"/>
      <c r="C23" s="644"/>
      <c r="D23" s="644"/>
      <c r="E23" s="120"/>
      <c r="F23" s="120"/>
      <c r="G23" s="120"/>
      <c r="H23" s="120"/>
      <c r="I23" s="120"/>
    </row>
    <row r="24" spans="1:36" ht="14.25">
      <c r="A24" s="3285" t="s">
        <v>1299</v>
      </c>
      <c r="B24" s="1628" t="s">
        <v>1291</v>
      </c>
      <c r="C24" s="127">
        <f>IF(B30=0,0,D30)</f>
        <v>0</v>
      </c>
      <c r="D24" s="1634"/>
      <c r="E24" s="120"/>
      <c r="F24" s="120"/>
      <c r="G24" s="120"/>
      <c r="H24" s="120"/>
      <c r="I24" s="120"/>
    </row>
    <row r="25" spans="1:36" ht="14.25">
      <c r="A25" s="3286"/>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21048</v>
      </c>
      <c r="D32" s="1638" t="s">
        <v>3441</v>
      </c>
      <c r="E32" s="120"/>
      <c r="F32" s="120"/>
      <c r="G32" s="120"/>
      <c r="H32" s="120"/>
      <c r="I32" s="120"/>
    </row>
    <row r="33" spans="1:15" ht="15">
      <c r="A33" s="738" t="s">
        <v>1306</v>
      </c>
      <c r="B33" s="122"/>
      <c r="C33" s="1639" t="s">
        <v>3516</v>
      </c>
      <c r="D33" s="1640" t="s">
        <v>3487</v>
      </c>
      <c r="E33" s="1641" t="s">
        <v>1307</v>
      </c>
      <c r="F33" s="1642" t="str">
        <f>IF(D32="楼面单价","取值（单价）","取值（总价）")</f>
        <v>取值（单价）</v>
      </c>
      <c r="G33" s="120"/>
      <c r="H33" s="120"/>
      <c r="I33" s="120"/>
    </row>
    <row r="34" spans="1:15" ht="15">
      <c r="A34" s="1643"/>
      <c r="B34" s="1644" t="s">
        <v>1308</v>
      </c>
      <c r="C34" s="139">
        <f ca="1">IF(C33="自定义",F34,C32-C35)</f>
        <v>12587</v>
      </c>
      <c r="D34" s="806">
        <f ca="1">IF(C33="自定义",ROUND(C34/C32,3),IF(C33="收益比率",SUMIF(INDIRECT("'"&amp;D33&amp;"'"&amp;"!b:b"),"土地收益比率",INDIRECT("'"&amp;D33&amp;"'"&amp;"!c:c")),SUMIF(INDIRECT("'"&amp;D33&amp;"'"&amp;"!b:b"),"土地成本比率",INDIRECT("'"&amp;D33&amp;"'"&amp;"!c:c"))))</f>
        <v>0.59799999999999998</v>
      </c>
      <c r="E34" s="1645" t="s">
        <v>1309</v>
      </c>
      <c r="F34" s="1240"/>
      <c r="G34" s="120"/>
      <c r="H34" s="120"/>
      <c r="I34" s="120"/>
    </row>
    <row r="35" spans="1:15" ht="15.75" thickBot="1">
      <c r="A35" s="1646"/>
      <c r="B35" s="1647" t="s">
        <v>1310</v>
      </c>
      <c r="C35" s="1088">
        <f ca="1">IF(C33="自定义",F35,ROUND(C32*D35,0))</f>
        <v>8461</v>
      </c>
      <c r="D35" s="1089">
        <f ca="1">IF(C33="自定义",ROUND(C35/C32,3),IF(C33="收益比率",SUMIF(INDIRECT("'"&amp;D33&amp;"'"&amp;"!b:b"),"建筑物收益比率",INDIRECT("'"&amp;D33&amp;"'"&amp;"!c:c")),SUMIF(INDIRECT("'"&amp;D33&amp;"'"&amp;"!b:b"),"建筑物成本比率",INDIRECT("'"&amp;D33&amp;"'"&amp;"!c:c"))))</f>
        <v>0.40200000000000002</v>
      </c>
      <c r="E35" s="1648" t="s">
        <v>1311</v>
      </c>
      <c r="F35" s="145"/>
      <c r="G35" s="120"/>
      <c r="H35" s="120"/>
      <c r="I35" s="120"/>
    </row>
    <row r="36" spans="1:15" ht="15.75" thickBot="1">
      <c r="A36" s="3305" t="s">
        <v>1312</v>
      </c>
      <c r="B36" s="1649" t="s">
        <v>1313</v>
      </c>
      <c r="C36" s="136"/>
      <c r="D36" s="1650"/>
      <c r="E36" s="1564"/>
      <c r="F36" s="1651"/>
      <c r="G36" s="120"/>
      <c r="H36" s="120"/>
      <c r="I36" s="120"/>
    </row>
    <row r="37" spans="1:15" ht="15.75" thickBot="1">
      <c r="A37" s="3306"/>
      <c r="B37" s="1552" t="s">
        <v>1314</v>
      </c>
      <c r="C37" s="138"/>
      <c r="D37" s="1069"/>
      <c r="E37" s="1069"/>
      <c r="F37" s="1651"/>
      <c r="G37" s="120"/>
      <c r="H37" s="120"/>
      <c r="I37" s="120"/>
    </row>
    <row r="38" spans="1:15" ht="15.75" thickBot="1">
      <c r="A38" s="3307"/>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82" t="s">
        <v>1326</v>
      </c>
      <c r="B45" s="3283"/>
      <c r="C45" s="3284"/>
      <c r="D45" s="146">
        <f ca="1">ROUND(H101*F45,0)</f>
        <v>498</v>
      </c>
      <c r="E45" s="147" t="s">
        <v>1327</v>
      </c>
      <c r="F45" s="148">
        <v>1</v>
      </c>
      <c r="G45" s="149" t="s">
        <v>1328</v>
      </c>
      <c r="H45" s="120"/>
      <c r="I45" s="120"/>
      <c r="J45" s="3360" t="s">
        <v>1329</v>
      </c>
      <c r="K45" s="3360"/>
      <c r="L45" s="3360"/>
      <c r="M45" s="3360"/>
      <c r="N45" s="3360"/>
      <c r="O45" s="3360"/>
    </row>
    <row r="46" spans="1:15" ht="14.25" customHeight="1">
      <c r="A46" s="3279" t="s">
        <v>1330</v>
      </c>
      <c r="B46" s="3280"/>
      <c r="C46" s="3280"/>
      <c r="D46" s="3280"/>
      <c r="E46" s="3280"/>
      <c r="F46" s="3280"/>
      <c r="G46" s="3281"/>
      <c r="H46" s="1665"/>
      <c r="I46" s="150"/>
      <c r="J46" s="2301">
        <v>1</v>
      </c>
      <c r="K46" s="3341" t="s">
        <v>1331</v>
      </c>
      <c r="L46" s="3341"/>
      <c r="M46" s="3361"/>
      <c r="N46" s="3361"/>
      <c r="O46" s="3361"/>
    </row>
    <row r="47" spans="1:15" ht="12" customHeight="1">
      <c r="A47" s="151" t="s">
        <v>1332</v>
      </c>
      <c r="B47" s="152"/>
      <c r="C47" s="153"/>
      <c r="D47" s="1022" t="s">
        <v>1333</v>
      </c>
      <c r="E47" s="293" t="s">
        <v>1334</v>
      </c>
      <c r="F47" s="154" t="s">
        <v>1335</v>
      </c>
      <c r="G47" s="2324" t="s">
        <v>1336</v>
      </c>
      <c r="H47" s="2325"/>
      <c r="I47" s="150"/>
      <c r="J47" s="2301">
        <v>2</v>
      </c>
      <c r="K47" s="3341" t="s">
        <v>1337</v>
      </c>
      <c r="L47" s="3341"/>
      <c r="M47" s="3362">
        <f>'数据-取费表'!B2</f>
        <v>45392</v>
      </c>
      <c r="N47" s="3362"/>
      <c r="O47" s="3362"/>
    </row>
    <row r="48" spans="1:15" ht="25.5">
      <c r="A48" s="3310" t="s">
        <v>1338</v>
      </c>
      <c r="B48" s="3293"/>
      <c r="C48" s="3293"/>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341" t="s">
        <v>1340</v>
      </c>
      <c r="L48" s="3341"/>
      <c r="M48" s="3363">
        <f ca="1">H101</f>
        <v>498</v>
      </c>
      <c r="N48" s="3363"/>
      <c r="O48" s="3363"/>
    </row>
    <row r="49" spans="1:35" ht="25.5" customHeight="1">
      <c r="A49" s="2146" t="s">
        <v>1341</v>
      </c>
      <c r="B49" s="3277" t="s">
        <v>1342</v>
      </c>
      <c r="C49" s="3277"/>
      <c r="D49" s="1475">
        <v>0</v>
      </c>
      <c r="E49" s="315" t="s">
        <v>1343</v>
      </c>
      <c r="F49" s="2227" t="s">
        <v>28</v>
      </c>
      <c r="G49" s="3347"/>
      <c r="H49" s="2128" t="s">
        <v>2133</v>
      </c>
      <c r="I49" s="2129"/>
      <c r="J49" s="2301">
        <v>4</v>
      </c>
      <c r="K49" s="3341" t="str">
        <f>IF(项目基本情况!E8="房地产抵押价值","房地产抵押价值","抵押担保权已注销时的房地产抵押价值")</f>
        <v>房地产抵押价值</v>
      </c>
      <c r="L49" s="3341"/>
      <c r="M49" s="3363">
        <f ca="1">IF(项目基本情况!E8="房地产抵押价值",H107,H109)</f>
        <v>498</v>
      </c>
      <c r="N49" s="3363"/>
      <c r="O49" s="3363"/>
    </row>
    <row r="50" spans="1:35" ht="25.5" customHeight="1">
      <c r="A50" s="2329"/>
      <c r="B50" s="3277" t="s">
        <v>1344</v>
      </c>
      <c r="C50" s="3277"/>
      <c r="D50" s="2183"/>
      <c r="E50" s="322"/>
      <c r="F50" s="2227"/>
      <c r="G50" s="3348"/>
      <c r="H50" s="2130" t="s">
        <v>2134</v>
      </c>
      <c r="I50" s="2129"/>
      <c r="J50" s="3360" t="s">
        <v>1345</v>
      </c>
      <c r="K50" s="3360"/>
      <c r="L50" s="3360"/>
      <c r="M50" s="3360"/>
      <c r="N50" s="3360"/>
      <c r="O50" s="3360"/>
    </row>
    <row r="51" spans="1:35" ht="20.45" customHeight="1">
      <c r="A51" s="2330"/>
      <c r="B51" s="3277" t="s">
        <v>1346</v>
      </c>
      <c r="C51" s="3277"/>
      <c r="D51" s="1022"/>
      <c r="E51" s="318"/>
      <c r="F51" s="2227"/>
      <c r="G51" s="3349"/>
      <c r="H51" s="2130" t="s">
        <v>2135</v>
      </c>
      <c r="I51" s="2129"/>
      <c r="J51" s="2302" t="s">
        <v>1347</v>
      </c>
      <c r="K51" s="3341" t="s">
        <v>1348</v>
      </c>
      <c r="L51" s="3341"/>
      <c r="M51" s="2302" t="s">
        <v>1349</v>
      </c>
      <c r="N51" s="2302" t="s">
        <v>1350</v>
      </c>
      <c r="O51" s="2302" t="s">
        <v>1351</v>
      </c>
    </row>
    <row r="52" spans="1:35" ht="24" customHeight="1">
      <c r="A52" s="2147" t="s">
        <v>1352</v>
      </c>
      <c r="B52" s="3277" t="s">
        <v>1353</v>
      </c>
      <c r="C52" s="3277"/>
      <c r="D52" s="1022">
        <f ca="1">ROUND(D45*'数据-取费表'!B41/(1+'数据-取费表'!C42),0)</f>
        <v>27</v>
      </c>
      <c r="E52" s="1253" t="s">
        <v>1354</v>
      </c>
      <c r="F52" s="2331">
        <f>'数据-取费表'!B41</f>
        <v>5.6000000000000001E-2</v>
      </c>
      <c r="G52" s="2332"/>
      <c r="H52" s="2322"/>
      <c r="I52" s="1666"/>
      <c r="J52" s="2301">
        <v>1</v>
      </c>
      <c r="K52" s="3342" t="s">
        <v>1355</v>
      </c>
      <c r="L52" s="3342"/>
      <c r="M52" s="2303" t="b">
        <f>D48</f>
        <v>0</v>
      </c>
      <c r="N52" s="2301" t="str">
        <f>E48</f>
        <v>销售额×税（费）率</v>
      </c>
      <c r="O52" s="2304">
        <f>F48</f>
        <v>5.6000000000000001E-2</v>
      </c>
    </row>
    <row r="53" spans="1:35" ht="12" customHeight="1">
      <c r="A53" s="2147" t="s">
        <v>1356</v>
      </c>
      <c r="B53" s="3303" t="s">
        <v>2286</v>
      </c>
      <c r="C53" s="3304"/>
      <c r="D53" s="1022">
        <f ca="1">ROUND(D45*'数据-取费表'!B41/(1+'数据-取费表'!C42),0)</f>
        <v>27</v>
      </c>
      <c r="E53" s="1253" t="s">
        <v>1354</v>
      </c>
      <c r="F53" s="2331">
        <f>'数据-取费表'!B41</f>
        <v>5.6000000000000001E-2</v>
      </c>
      <c r="G53" s="2332"/>
      <c r="H53" s="2322"/>
      <c r="I53" s="1666"/>
      <c r="J53" s="2301">
        <v>2</v>
      </c>
      <c r="K53" s="3342" t="s">
        <v>1357</v>
      </c>
      <c r="L53" s="3342"/>
      <c r="M53" s="2303">
        <f t="shared" ref="M53:O54" ca="1" si="0">D55</f>
        <v>0</v>
      </c>
      <c r="N53" s="2301" t="str">
        <f t="shared" si="0"/>
        <v>销售额×税（费）率</v>
      </c>
      <c r="O53" s="2304" t="str">
        <f t="shared" si="0"/>
        <v>免征</v>
      </c>
    </row>
    <row r="54" spans="1:35" ht="12" customHeight="1">
      <c r="A54" s="2147" t="s">
        <v>1358</v>
      </c>
      <c r="B54" s="3303" t="s">
        <v>2287</v>
      </c>
      <c r="C54" s="3304"/>
      <c r="D54" s="1022">
        <f ca="1">C68</f>
        <v>27</v>
      </c>
      <c r="E54" s="318" t="s">
        <v>1359</v>
      </c>
      <c r="F54" s="2331">
        <f>'数据-取费表'!B41</f>
        <v>5.6000000000000001E-2</v>
      </c>
      <c r="G54" s="2332"/>
      <c r="H54" s="2333"/>
      <c r="I54" s="1666"/>
      <c r="J54" s="2301">
        <v>3</v>
      </c>
      <c r="K54" s="3342" t="s">
        <v>1360</v>
      </c>
      <c r="L54" s="3342"/>
      <c r="M54" s="2303">
        <f t="shared" ca="1" si="0"/>
        <v>282</v>
      </c>
      <c r="N54" s="2301" t="str">
        <f t="shared" si="0"/>
        <v>增值额×税（费）率</v>
      </c>
      <c r="O54" s="2305" t="str">
        <f t="shared" si="0"/>
        <v>免征</v>
      </c>
    </row>
    <row r="55" spans="1:35" ht="24" customHeight="1">
      <c r="A55" s="3292" t="s">
        <v>1361</v>
      </c>
      <c r="B55" s="3293"/>
      <c r="C55" s="3293"/>
      <c r="D55" s="12">
        <f ca="1">IF(H55="个人住宅",0,ROUND(D45*I55,0))</f>
        <v>0</v>
      </c>
      <c r="E55" s="1253" t="s">
        <v>1362</v>
      </c>
      <c r="F55" s="2331" t="str">
        <f>IF(H55="正常",I55,"免征")</f>
        <v>免征</v>
      </c>
      <c r="G55" s="2332"/>
      <c r="H55" s="2328"/>
      <c r="I55" s="156">
        <f>'数据-取费表'!B49</f>
        <v>5.0000000000000001E-4</v>
      </c>
      <c r="J55" s="2301">
        <f>IF(H59="非个人房产","",4)</f>
        <v>4</v>
      </c>
      <c r="K55" s="3342" t="str">
        <f>IF(H59="非个人房产","——","个人所得税")</f>
        <v>个人所得税</v>
      </c>
      <c r="L55" s="3342"/>
      <c r="M55" s="2306">
        <f ca="1">D59</f>
        <v>5</v>
      </c>
      <c r="N55" s="1877" t="str">
        <f>E59</f>
        <v>差额计税</v>
      </c>
      <c r="O55" s="2307">
        <f>F59</f>
        <v>0.01</v>
      </c>
    </row>
    <row r="56" spans="1:35" ht="24.75">
      <c r="A56" s="3292" t="s">
        <v>1363</v>
      </c>
      <c r="B56" s="3293"/>
      <c r="C56" s="3293"/>
      <c r="D56" s="12">
        <f ca="1">IF(H56="个人住宅",D57,D58)</f>
        <v>282</v>
      </c>
      <c r="E56" s="1253" t="s">
        <v>1364</v>
      </c>
      <c r="F56" s="2331" t="str">
        <f>IF(H56="正常",F58,"免征")</f>
        <v>免征</v>
      </c>
      <c r="G56" s="2334" t="s">
        <v>1365</v>
      </c>
      <c r="H56" s="2335"/>
      <c r="I56" s="1667"/>
      <c r="J56" s="2301" t="str">
        <f>IF(项目基本情况!K6="上海银行",IF(J55="",4,J55+1),"")</f>
        <v/>
      </c>
      <c r="K56" s="3365" t="str">
        <f>IF(项目基本情况!K6="上海银行","其他处置费用","")</f>
        <v/>
      </c>
      <c r="L56" s="3366"/>
      <c r="M56" s="2303" t="str">
        <f>IF(项目基本情况!K6="上海银行",M69,"")</f>
        <v/>
      </c>
      <c r="N56" s="3365" t="str">
        <f>IF(项目基本情况!K6="上海银行","包含处置中涉及的律师、诉讼、拍卖、评估等费用","")</f>
        <v/>
      </c>
      <c r="O56" s="3368"/>
    </row>
    <row r="57" spans="1:35" ht="12.75">
      <c r="A57" s="2147" t="s">
        <v>1341</v>
      </c>
      <c r="B57" s="3303" t="s">
        <v>1366</v>
      </c>
      <c r="C57" s="3304"/>
      <c r="D57" s="1475">
        <v>0</v>
      </c>
      <c r="E57" s="315" t="s">
        <v>1343</v>
      </c>
      <c r="F57" s="293"/>
      <c r="G57" s="2332"/>
      <c r="H57" s="2336"/>
      <c r="I57" s="1667"/>
      <c r="J57" s="3342">
        <f>IF(AND(J55="",J56=""),4,IF(项目基本情况!K6="上海银行",结果表!J56+1,结果表!J55+1))</f>
        <v>5</v>
      </c>
      <c r="K57" s="3342" t="s">
        <v>1367</v>
      </c>
      <c r="L57" s="2308" t="s">
        <v>1368</v>
      </c>
      <c r="M57" s="2309"/>
      <c r="N57" s="2310">
        <f ca="1">SUMIF(M52:M56,"&lt;9e307")</f>
        <v>287</v>
      </c>
      <c r="O57" s="2311"/>
      <c r="P57" s="2455">
        <f ca="1">N57/M49</f>
        <v>0.57630522088353409</v>
      </c>
    </row>
    <row r="58" spans="1:35" ht="24.75">
      <c r="A58" s="2147" t="s">
        <v>1352</v>
      </c>
      <c r="B58" s="3303" t="s">
        <v>1369</v>
      </c>
      <c r="C58" s="3277"/>
      <c r="D58" s="12">
        <f ca="1">IF(H58="转让取得",C81,C97)</f>
        <v>282</v>
      </c>
      <c r="E58" s="1253" t="s">
        <v>1364</v>
      </c>
      <c r="F58" s="293" t="s">
        <v>28</v>
      </c>
      <c r="G58" s="2332"/>
      <c r="H58" s="2335"/>
      <c r="I58" s="1667"/>
      <c r="J58" s="3342"/>
      <c r="K58" s="3342"/>
      <c r="L58" s="2308" t="s">
        <v>1370</v>
      </c>
      <c r="M58" s="2312"/>
      <c r="N58" s="2313" t="str">
        <f ca="1">NUMBERSTRING(INT(N57*10000),2)&amp;"元整"</f>
        <v>贰佰捌拾柒万元整</v>
      </c>
      <c r="O58" s="2314"/>
    </row>
    <row r="59" spans="1:35" ht="24.75" thickBot="1">
      <c r="A59" s="3345" t="s">
        <v>1371</v>
      </c>
      <c r="B59" s="3346"/>
      <c r="C59" s="3346"/>
      <c r="D59" s="2337">
        <f ca="1">IF(H59="非个人房产","——",IF(H59="个人住宅（满五唯一有凭证）",0,IF(H59="个人其他（无凭证）",ROUND(D45*F59,0),ROUND(C67*F59,0))))</f>
        <v>5</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43">
        <f>J57+1</f>
        <v>6</v>
      </c>
      <c r="K59" s="3342" t="s">
        <v>1372</v>
      </c>
      <c r="L59" s="2301" t="s">
        <v>1368</v>
      </c>
      <c r="M59" s="2315"/>
      <c r="N59" s="2316">
        <f ca="1">M49-N57</f>
        <v>211</v>
      </c>
      <c r="O59" s="2317"/>
    </row>
    <row r="60" spans="1:35" ht="12" customHeight="1">
      <c r="A60" s="1668"/>
      <c r="B60" s="644"/>
      <c r="C60" s="644"/>
      <c r="D60" s="644"/>
      <c r="E60" s="1463"/>
      <c r="F60" s="1667"/>
      <c r="G60" s="1667"/>
      <c r="H60" s="150"/>
      <c r="I60" s="120"/>
      <c r="J60" s="3344"/>
      <c r="K60" s="3342"/>
      <c r="L60" s="2308" t="s">
        <v>1370</v>
      </c>
      <c r="M60" s="2312"/>
      <c r="N60" s="2313" t="str">
        <f ca="1">NUMBERSTRING(INT(N59*10000),2)&amp;"元整"</f>
        <v>贰佰壹拾壹万元整</v>
      </c>
      <c r="O60" s="2314"/>
    </row>
    <row r="61" spans="1:35" ht="13.5" thickBot="1">
      <c r="A61" s="3290" t="s">
        <v>1373</v>
      </c>
      <c r="B61" s="3290"/>
      <c r="C61" s="3290"/>
      <c r="D61" s="3290"/>
      <c r="E61" s="3290"/>
      <c r="F61" s="1667"/>
      <c r="G61" s="1667"/>
      <c r="H61" s="150"/>
      <c r="I61" s="120"/>
      <c r="J61" s="2301">
        <f>J59+1</f>
        <v>7</v>
      </c>
      <c r="K61" s="3342" t="s">
        <v>1374</v>
      </c>
      <c r="L61" s="3342"/>
      <c r="M61" s="2318"/>
      <c r="N61" s="2319">
        <f ca="1">ROUND(N59*10000/'数据-汇总表'!E3,0)</f>
        <v>8916</v>
      </c>
      <c r="O61" s="2320"/>
    </row>
    <row r="62" spans="1:35" ht="12.75">
      <c r="A62" s="3308" t="s">
        <v>1375</v>
      </c>
      <c r="B62" s="3309"/>
      <c r="C62" s="1859"/>
      <c r="D62" s="1859" t="s">
        <v>1376</v>
      </c>
      <c r="E62" s="157" t="s">
        <v>1377</v>
      </c>
      <c r="F62" s="1667"/>
      <c r="G62" s="1667"/>
      <c r="H62" s="150"/>
      <c r="I62" s="120"/>
    </row>
    <row r="63" spans="1:35" ht="12.75">
      <c r="A63" s="164" t="s">
        <v>330</v>
      </c>
      <c r="B63" s="158" t="s">
        <v>1378</v>
      </c>
      <c r="C63" s="2341">
        <f ca="1">ROUND((C64+C65)/(1+'数据-取费表'!C42),0)</f>
        <v>474</v>
      </c>
      <c r="D63" s="158"/>
      <c r="E63" s="159"/>
      <c r="F63" s="1667"/>
      <c r="G63" s="1667"/>
      <c r="H63" s="150"/>
      <c r="I63" s="120"/>
      <c r="J63" s="3367" t="s">
        <v>1379</v>
      </c>
      <c r="K63" s="1242" t="s">
        <v>1380</v>
      </c>
      <c r="L63" s="1242">
        <f ca="1">IF(M49&gt;10000,M49*0.5%,IF(AND(M49&gt;1000,M49&lt;=10000),M49*1%,IF(AND(M49&gt;100,M49&lt;=1000),M49*3%,IF(AND(M49&gt;10,M49&lt;=100),M49*5%,M49*8%))))</f>
        <v>14.94</v>
      </c>
      <c r="M63" s="293">
        <f ca="1">ROUND(L63,1)</f>
        <v>14.9</v>
      </c>
      <c r="N63" s="2321"/>
      <c r="Z63" s="1620"/>
      <c r="AI63" s="1558"/>
    </row>
    <row r="64" spans="1:35" ht="14.25" customHeight="1">
      <c r="A64" s="160" t="s">
        <v>325</v>
      </c>
      <c r="B64" s="161" t="s">
        <v>1381</v>
      </c>
      <c r="C64" s="2342">
        <f ca="1">D45</f>
        <v>498</v>
      </c>
      <c r="D64" s="161" t="s">
        <v>26</v>
      </c>
      <c r="E64" s="163"/>
      <c r="F64" s="1667"/>
      <c r="G64" s="1667"/>
      <c r="H64" s="150"/>
      <c r="I64" s="120"/>
      <c r="J64" s="3367"/>
      <c r="K64" s="1242" t="s">
        <v>1382</v>
      </c>
      <c r="L64" s="1242">
        <f ca="1">IF(M49&gt;2000,M49*0.5%,IF(AND(M49&gt;1000,M49&lt;=2000),M49*0.6%,IF(AND(M49&gt;500,M49&lt;=1000),M49*0.7%,IF(AND(M49&gt;200,M49&lt;=500),M49*0.8%,IF(AND(M49&gt;100,M49&lt;=200),M49*0.9%,IF(AND(M49&gt;50,M49&lt;=100),M49*1%,IF(AND(M49&gt;20,M49&lt;=50),M49*1.5%,IF(AND(M49&gt;10,M49&lt;=20),M49*2%,IF(AND(M49&gt;1,M49&lt;=10),M49*2.5%)))))))))</f>
        <v>3.984</v>
      </c>
      <c r="M64" s="293">
        <f t="shared" ref="M64:M65" ca="1" si="1">ROUND(L64,1)</f>
        <v>4</v>
      </c>
      <c r="N64" s="2322" t="s">
        <v>1383</v>
      </c>
      <c r="Z64" s="1620"/>
      <c r="AI64" s="1558"/>
    </row>
    <row r="65" spans="1:35" ht="14.25" customHeight="1">
      <c r="A65" s="160" t="s">
        <v>326</v>
      </c>
      <c r="B65" s="161" t="s">
        <v>1384</v>
      </c>
      <c r="C65" s="2343"/>
      <c r="D65" s="161"/>
      <c r="E65" s="163"/>
      <c r="F65" s="1667"/>
      <c r="G65" s="1667"/>
      <c r="H65" s="150"/>
      <c r="I65" s="120"/>
      <c r="J65" s="3367"/>
      <c r="K65" s="1242" t="s">
        <v>1385</v>
      </c>
      <c r="L65" s="1242">
        <f ca="1">IF(M49&gt;1000,M49*0.1%,IF(AND(M49&gt;500,M49&lt;=1000),M49*0.5%,IF(AND(M49&gt;50,M49&lt;=500),M49*1%,IF(AND(M49&gt;1,M49&lt;=50),M49*1.5%))))</f>
        <v>4.9800000000000004</v>
      </c>
      <c r="M65" s="293">
        <f t="shared" ca="1" si="1"/>
        <v>5</v>
      </c>
      <c r="N65" s="2322" t="s">
        <v>1383</v>
      </c>
      <c r="Z65" s="1620"/>
      <c r="AI65" s="1558"/>
    </row>
    <row r="66" spans="1:35" ht="14.25" customHeight="1">
      <c r="A66" s="164" t="s">
        <v>327</v>
      </c>
      <c r="B66" s="165" t="s">
        <v>1386</v>
      </c>
      <c r="C66" s="2344"/>
      <c r="D66" s="165" t="s">
        <v>26</v>
      </c>
      <c r="E66" s="1248" t="s">
        <v>671</v>
      </c>
      <c r="F66" s="1667"/>
      <c r="G66" s="1667"/>
      <c r="H66" s="150"/>
      <c r="I66" s="120"/>
      <c r="J66" s="3367"/>
      <c r="K66" s="1242" t="s">
        <v>1387</v>
      </c>
      <c r="L66" s="1242">
        <f ca="1">M49*0.5%</f>
        <v>2.4900000000000002</v>
      </c>
      <c r="M66" s="293">
        <f ca="1">IF(L66&gt;0.5,0.5,ROUND(L66,0))</f>
        <v>0.5</v>
      </c>
      <c r="N66" s="2322" t="s">
        <v>1388</v>
      </c>
      <c r="Z66" s="1620"/>
      <c r="AI66" s="1558"/>
    </row>
    <row r="67" spans="1:35" ht="14.25" customHeight="1">
      <c r="A67" s="164" t="s">
        <v>328</v>
      </c>
      <c r="B67" s="165" t="s">
        <v>1389</v>
      </c>
      <c r="C67" s="2345">
        <f ca="1">C63-C66</f>
        <v>474</v>
      </c>
      <c r="D67" s="161" t="s">
        <v>26</v>
      </c>
      <c r="E67" s="163"/>
      <c r="F67" s="1667"/>
      <c r="G67" s="1667"/>
      <c r="H67" s="150"/>
      <c r="I67" s="120"/>
      <c r="J67" s="3367"/>
      <c r="K67" s="1242" t="s">
        <v>1390</v>
      </c>
      <c r="L67" s="1242">
        <f ca="1">IF(M49&gt;=10000,(8.25+(M49-10000)*0.01%),IF(AND(M49&gt;=8000,M49&lt;10000),(7.85+(M49-8000)*0.02%),IF(AND(M49&gt;=5000,M49&lt;8000),(6.65+(M49-5000)*0.04%),IF(AND(M49&gt;=2000,M49&lt;5000),(4.25+(PM49-2000)*0.08%),IF(AND(M49&gt;=1000,M49&lt;2000),(2.75+(M49-1000)*0.15%),IF(AND(M49&gt;=100,M49&lt;1000),(0.5+(M49-100)*0.25%),IF(AND(M49&gt;0,M49&lt;100),M49*0.5%)))))))</f>
        <v>1.4950000000000001</v>
      </c>
      <c r="M67" s="293">
        <f ca="1">ROUND(L67*0.9,1)</f>
        <v>1.3</v>
      </c>
      <c r="N67" s="2321"/>
      <c r="Z67" s="1620"/>
      <c r="AI67" s="1558"/>
    </row>
    <row r="68" spans="1:35" ht="14.25" customHeight="1" thickBot="1">
      <c r="A68" s="167" t="s">
        <v>329</v>
      </c>
      <c r="B68" s="168" t="s">
        <v>1391</v>
      </c>
      <c r="C68" s="2346">
        <f ca="1">IF(C67&lt;=0,0,ROUND(C67*D68,0))</f>
        <v>27</v>
      </c>
      <c r="D68" s="2347">
        <f>'数据-取费表'!B41</f>
        <v>5.6000000000000001E-2</v>
      </c>
      <c r="E68" s="169"/>
      <c r="F68" s="1667"/>
      <c r="G68" s="1667"/>
      <c r="H68" s="150"/>
      <c r="I68" s="120"/>
      <c r="J68" s="3367"/>
      <c r="K68" s="1242" t="s">
        <v>1392</v>
      </c>
      <c r="L68" s="1242">
        <f ca="1">IF(M49&gt;10000,M49*0.5%,IF(AND(M49&gt;5000,M49&lt;=10000),M49*1%,IF(AND(M49&gt;1000,M49&lt;=5000),M49*2%,IF(AND(M49&gt;200,M49&lt;=1000),M49*3%,M49*5%))))</f>
        <v>14.94</v>
      </c>
      <c r="M68" s="293">
        <f ca="1">ROUND(L68,1)</f>
        <v>14.9</v>
      </c>
      <c r="N68" s="2321"/>
      <c r="Z68" s="1620"/>
      <c r="AI68" s="1558"/>
    </row>
    <row r="69" spans="1:35" ht="16.5" customHeight="1">
      <c r="A69" s="1669"/>
      <c r="B69" s="1670"/>
      <c r="C69" s="1671"/>
      <c r="D69" s="1672"/>
      <c r="E69" s="1673"/>
      <c r="F69" s="1463"/>
      <c r="G69" s="1463"/>
      <c r="H69" s="1464"/>
      <c r="I69" s="644"/>
      <c r="J69" s="3367"/>
      <c r="K69" s="1242" t="s">
        <v>1393</v>
      </c>
      <c r="L69" s="1242"/>
      <c r="M69" s="293">
        <f ca="1">ROUND(SUM(M63:M68),0)</f>
        <v>41</v>
      </c>
      <c r="N69" s="2323">
        <f ca="1">M69/M49</f>
        <v>8.2329317269076302E-2</v>
      </c>
      <c r="Z69" s="1620"/>
      <c r="AI69" s="1558"/>
    </row>
    <row r="70" spans="1:35" s="640" customFormat="1" ht="15" thickBot="1">
      <c r="A70" s="3329" t="s">
        <v>1394</v>
      </c>
      <c r="B70" s="3330"/>
      <c r="C70" s="3330"/>
      <c r="D70" s="3330"/>
      <c r="E70" s="3330"/>
      <c r="F70" s="3330"/>
      <c r="G70" s="3330"/>
      <c r="H70" s="333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8" t="s">
        <v>1375</v>
      </c>
      <c r="B71" s="3309"/>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474</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3</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03" t="s">
        <v>1402</v>
      </c>
      <c r="F76" s="3277"/>
      <c r="G76" s="3277"/>
      <c r="H76" s="332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3</v>
      </c>
      <c r="D78" s="2354">
        <f>'数据-取费表'!B43</f>
        <v>6.000000000000001E-3</v>
      </c>
      <c r="E78" s="3287" t="s">
        <v>1406</v>
      </c>
      <c r="F78" s="3288"/>
      <c r="G78" s="3288"/>
      <c r="H78" s="329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471</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157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282</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9" t="s">
        <v>1410</v>
      </c>
      <c r="B83" s="3330"/>
      <c r="C83" s="3330"/>
      <c r="D83" s="3330"/>
      <c r="E83" s="3330"/>
      <c r="F83" s="3330"/>
      <c r="G83" s="3330"/>
      <c r="H83" s="333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8" t="s">
        <v>1375</v>
      </c>
      <c r="B84" s="3309"/>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474</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3</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369" t="s">
        <v>2128</v>
      </c>
      <c r="H90" s="3370"/>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287" t="s">
        <v>1419</v>
      </c>
      <c r="F91" s="3288"/>
      <c r="G91" s="328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287" t="s">
        <v>1422</v>
      </c>
      <c r="F92" s="3288"/>
      <c r="G92" s="3288"/>
      <c r="H92" s="3297"/>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3</v>
      </c>
      <c r="D93" s="2354">
        <f>'数据-取费表'!B43</f>
        <v>6.000000000000001E-3</v>
      </c>
      <c r="E93" s="3287" t="s">
        <v>1406</v>
      </c>
      <c r="F93" s="3288"/>
      <c r="G93" s="3288"/>
      <c r="H93" s="329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298" t="s">
        <v>1426</v>
      </c>
      <c r="F94" s="3299"/>
      <c r="G94" s="3299"/>
      <c r="H94" s="330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471</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157</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282</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1" t="s">
        <v>1428</v>
      </c>
      <c r="B100" s="3272"/>
      <c r="C100" s="3272"/>
      <c r="D100" s="3289"/>
      <c r="E100" s="3272" t="s">
        <v>1429</v>
      </c>
      <c r="F100" s="3272"/>
      <c r="G100" s="3272"/>
      <c r="H100" s="3289"/>
      <c r="I100" s="120"/>
    </row>
    <row r="101" spans="1:35" ht="18.75" customHeight="1">
      <c r="A101" s="3350" t="s">
        <v>1430</v>
      </c>
      <c r="B101" s="3351"/>
      <c r="C101" s="2362" t="str">
        <f>C4</f>
        <v>成本法 (元)</v>
      </c>
      <c r="D101" s="2363" t="str">
        <f>D4</f>
        <v>收益法 (元)</v>
      </c>
      <c r="E101" s="3364" t="s">
        <v>1431</v>
      </c>
      <c r="F101" s="3321"/>
      <c r="G101" s="1684" t="s">
        <v>1432</v>
      </c>
      <c r="H101" s="2372">
        <f ca="1">H118</f>
        <v>498</v>
      </c>
      <c r="I101" s="120"/>
    </row>
    <row r="102" spans="1:35" ht="18.75" customHeight="1">
      <c r="A102" s="3323" t="s">
        <v>1433</v>
      </c>
      <c r="B102" s="2361" t="s">
        <v>1432</v>
      </c>
      <c r="C102" s="2362">
        <f ca="1">IF(D32="楼面单价",ROUND(C19,0),C19)</f>
        <v>771</v>
      </c>
      <c r="D102" s="2363">
        <f ca="1">IF(D32="楼面单价",ROUND(D19,0),D19)</f>
        <v>316</v>
      </c>
      <c r="E102" s="3364"/>
      <c r="F102" s="3321"/>
      <c r="G102" s="1684" t="s">
        <v>1434</v>
      </c>
      <c r="H102" s="2332">
        <f ca="1">I118</f>
        <v>21048</v>
      </c>
      <c r="I102" s="120"/>
    </row>
    <row r="103" spans="1:35" ht="42.75" customHeight="1">
      <c r="A103" s="3323"/>
      <c r="B103" s="2361" t="s">
        <v>1434</v>
      </c>
      <c r="C103" s="2364">
        <f ca="1">C20</f>
        <v>32584</v>
      </c>
      <c r="D103" s="2365">
        <f ca="1">D20</f>
        <v>13358</v>
      </c>
      <c r="E103" s="3358" t="s">
        <v>1435</v>
      </c>
      <c r="F103" s="3359"/>
      <c r="G103" s="1685" t="s">
        <v>1436</v>
      </c>
      <c r="H103" s="2372">
        <f>IF(D36="正常操作",H104+H105+H106,H105+H106)</f>
        <v>0</v>
      </c>
      <c r="I103" s="120"/>
    </row>
    <row r="104" spans="1:35" ht="18.75" customHeight="1">
      <c r="A104" s="3323" t="s">
        <v>1437</v>
      </c>
      <c r="B104" s="2366" t="s">
        <v>1432</v>
      </c>
      <c r="C104" s="2367">
        <f ca="1">H118</f>
        <v>498</v>
      </c>
      <c r="D104" s="2368"/>
      <c r="E104" s="1552" t="s">
        <v>1438</v>
      </c>
      <c r="F104" s="1545"/>
      <c r="G104" s="1685" t="s">
        <v>1436</v>
      </c>
      <c r="H104" s="2373">
        <f>IF(D36="同一抵押权人同一抵押物续贷",C36&amp;"（续贷，未扣减，详见特别提示）",C36)</f>
        <v>0</v>
      </c>
      <c r="I104" s="120"/>
    </row>
    <row r="105" spans="1:35" ht="18.75" customHeight="1" thickBot="1">
      <c r="A105" s="3324"/>
      <c r="B105" s="2369" t="s">
        <v>1434</v>
      </c>
      <c r="C105" s="2370">
        <f ca="1">I118</f>
        <v>21048</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20" t="str">
        <f>IF(项目基本情况!E8="已注销","——","3.房地产抵押价值")</f>
        <v>3.房地产抵押价值</v>
      </c>
      <c r="F107" s="3321"/>
      <c r="G107" s="1684" t="s">
        <v>1432</v>
      </c>
      <c r="H107" s="2372">
        <f ca="1">IF(E107="——","——",H101-H103)</f>
        <v>498</v>
      </c>
      <c r="I107" s="120"/>
    </row>
    <row r="108" spans="1:35" ht="18.75" customHeight="1">
      <c r="A108" s="120"/>
      <c r="B108" s="120"/>
      <c r="C108" s="120"/>
      <c r="D108" s="120"/>
      <c r="E108" s="3320"/>
      <c r="F108" s="3321"/>
      <c r="G108" s="1684" t="s">
        <v>1434</v>
      </c>
      <c r="H108" s="2332">
        <f ca="1">IF(H107=H101,H102,ROUND(H107*10000/'数据-汇总表'!E3,0))</f>
        <v>21048</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4" t="s">
        <v>1432</v>
      </c>
      <c r="H109" s="2375" t="str">
        <f>IF(E109="——","——",H101-H105-H106)</f>
        <v>——</v>
      </c>
      <c r="I109" s="120"/>
    </row>
    <row r="110" spans="1:35" ht="18.75" customHeight="1">
      <c r="A110" s="120"/>
      <c r="B110" s="120"/>
      <c r="C110" s="120"/>
      <c r="D110" s="120"/>
      <c r="E110" s="3320"/>
      <c r="F110" s="3321"/>
      <c r="G110" s="1684" t="s">
        <v>1434</v>
      </c>
      <c r="H110" s="2332"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v>
      </c>
      <c r="F111" s="3322"/>
      <c r="G111" s="1684" t="s">
        <v>1432</v>
      </c>
      <c r="H111" s="2372" t="str">
        <f>IF(E111="——","——",N59)</f>
        <v>——</v>
      </c>
      <c r="I111" s="120"/>
    </row>
    <row r="112" spans="1:35" ht="18.75" customHeight="1" thickBot="1">
      <c r="A112" s="120"/>
      <c r="B112" s="120"/>
      <c r="C112" s="120"/>
      <c r="D112" s="120"/>
      <c r="E112" s="3353"/>
      <c r="F112" s="3354"/>
      <c r="G112" s="1687" t="s">
        <v>1434</v>
      </c>
      <c r="H112" s="2376" t="str">
        <f>IF(E111="——","——",N61)</f>
        <v>——</v>
      </c>
      <c r="I112" s="120"/>
    </row>
    <row r="113" spans="1:27" ht="18.75" customHeight="1">
      <c r="A113" s="120"/>
      <c r="B113" s="120"/>
      <c r="C113" s="120"/>
      <c r="D113" s="120"/>
      <c r="E113" s="3325" t="s">
        <v>1440</v>
      </c>
      <c r="F113" s="3325"/>
      <c r="G113" s="3325"/>
      <c r="H113" s="3325"/>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4" t="s">
        <v>1449</v>
      </c>
      <c r="E117" s="2144" t="s">
        <v>1450</v>
      </c>
      <c r="F117" s="2144" t="s">
        <v>1449</v>
      </c>
      <c r="G117" s="2144" t="s">
        <v>1451</v>
      </c>
      <c r="H117" s="2144" t="s">
        <v>1449</v>
      </c>
      <c r="I117" s="2144" t="s">
        <v>1451</v>
      </c>
    </row>
    <row r="118" spans="1:27" ht="24.75" customHeight="1">
      <c r="A118" s="2377" t="str">
        <f>项目基本情况!S2</f>
        <v>北京市房地产</v>
      </c>
      <c r="B118" s="2144">
        <f>M18</f>
        <v>236.66</v>
      </c>
      <c r="C118" s="2144">
        <f>M19</f>
        <v>0</v>
      </c>
      <c r="D118" s="2144">
        <f ca="1">ROUND(IF(D32="总价",C34,E118*B118/10000),0)</f>
        <v>298</v>
      </c>
      <c r="E118" s="2144">
        <f ca="1">ROUND(IF(C33="自定义",IF(D32="楼面单价",C34,D118*10000/B118),I118-G118),0)</f>
        <v>12587</v>
      </c>
      <c r="F118" s="2144">
        <f ca="1">ROUND(IF(D32="总价",C35,G118*B118/10000),0)</f>
        <v>200</v>
      </c>
      <c r="G118" s="2144">
        <f ca="1">ROUND(IF(D32="楼面单价",C35,F118*10000/B118),0)</f>
        <v>8461</v>
      </c>
      <c r="H118" s="2144">
        <f ca="1">ROUND(IF(D32="总价",C32,I118*B118/10000),0)</f>
        <v>498</v>
      </c>
      <c r="I118" s="2144">
        <f ca="1">ROUND(IF(D32="楼面单价",C32,H118*10000/B118),0)</f>
        <v>21048</v>
      </c>
    </row>
    <row r="119" spans="1:27" ht="18.75" customHeight="1">
      <c r="A119" s="3291" t="s">
        <v>1452</v>
      </c>
      <c r="B119" s="3291"/>
      <c r="C119" s="3291"/>
      <c r="D119" s="3331" t="str">
        <f ca="1">NUMBERSTRING(INT(D118*10000),2)&amp;"元整"</f>
        <v>贰佰玖拾捌万元整</v>
      </c>
      <c r="E119" s="3333"/>
      <c r="F119" s="3331" t="str">
        <f ca="1">NUMBERSTRING(INT(F118*10000),2)&amp;"元整"</f>
        <v>贰佰万元整</v>
      </c>
      <c r="G119" s="3333"/>
      <c r="H119" s="3331" t="str">
        <f ca="1">NUMBERSTRING(INT(H118*10000),2)&amp;"元整"</f>
        <v>肆佰玖拾捌万元整</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1" t="s">
        <v>1452</v>
      </c>
      <c r="B121" s="3332"/>
      <c r="C121" s="3333"/>
      <c r="D121" s="3331" t="str">
        <f>IF(D120=0,"零元整",NUMBERSTRING(INT(D120*10000),2)&amp;"元整")</f>
        <v>零元整</v>
      </c>
      <c r="E121" s="3332"/>
      <c r="F121" s="3332"/>
      <c r="G121" s="3332"/>
      <c r="H121" s="3332"/>
      <c r="I121" s="3333"/>
      <c r="AA121" s="682"/>
    </row>
    <row r="122" spans="1:27" ht="18.75" customHeight="1">
      <c r="A122" s="3322" t="str">
        <f>IF(项目基本情况!B9="房地产市场价值","",MID(E107,3,LEN(E107)-2))</f>
        <v>房地产抵押价值</v>
      </c>
      <c r="B122" s="3322"/>
      <c r="C122" s="3322"/>
      <c r="D122" s="3355">
        <f ca="1">H107</f>
        <v>498</v>
      </c>
      <c r="E122" s="3356"/>
      <c r="F122" s="3356"/>
      <c r="G122" s="3356"/>
      <c r="H122" s="3356"/>
      <c r="I122" s="3357"/>
      <c r="AA122" s="682"/>
    </row>
    <row r="123" spans="1:27" ht="18.75" customHeight="1">
      <c r="A123" s="3291" t="s">
        <v>1452</v>
      </c>
      <c r="B123" s="3291"/>
      <c r="C123" s="3291"/>
      <c r="D123" s="3331" t="str">
        <f ca="1">NUMBERSTRING(INT(D122*10000),2)&amp;"元整"</f>
        <v>肆佰玖拾捌万元整</v>
      </c>
      <c r="E123" s="3332"/>
      <c r="F123" s="3332"/>
      <c r="G123" s="3332"/>
      <c r="H123" s="3332"/>
      <c r="I123" s="3333"/>
      <c r="AA123" s="682"/>
    </row>
    <row r="124" spans="1:27" ht="18.75" customHeight="1">
      <c r="A124" s="3322" t="str">
        <f>IF(项目基本情况!B9="房地产市场价值","",MID(E109,3,LEN(E109)-2))</f>
        <v/>
      </c>
      <c r="B124" s="3322"/>
      <c r="C124" s="3322"/>
      <c r="D124" s="3355" t="str">
        <f>H109</f>
        <v>——</v>
      </c>
      <c r="E124" s="3356"/>
      <c r="F124" s="3356"/>
      <c r="G124" s="3356"/>
      <c r="H124" s="3356"/>
      <c r="I124" s="3357"/>
      <c r="AA124" s="682"/>
    </row>
    <row r="125" spans="1:27" ht="18.75" customHeight="1">
      <c r="A125" s="3291" t="s">
        <v>1452</v>
      </c>
      <c r="B125" s="3291"/>
      <c r="C125" s="3291"/>
      <c r="D125" s="3331" t="e">
        <f>NUMBERSTRING(INT(D124*10000),2)&amp;"元整"</f>
        <v>#VALUE!</v>
      </c>
      <c r="E125" s="3332"/>
      <c r="F125" s="3332"/>
      <c r="G125" s="3332"/>
      <c r="H125" s="3332"/>
      <c r="I125" s="3333"/>
      <c r="AA125" s="682"/>
    </row>
    <row r="126" spans="1:27" ht="18.75" customHeight="1">
      <c r="A126" s="3322" t="str">
        <f>IF(项目基本情况!B9="房地产市场价值","",MID(E111,3,LEN(E111)-2))</f>
        <v/>
      </c>
      <c r="B126" s="3322"/>
      <c r="C126" s="3322"/>
      <c r="D126" s="3355" t="str">
        <f>H111</f>
        <v>——</v>
      </c>
      <c r="E126" s="3356"/>
      <c r="F126" s="3356"/>
      <c r="G126" s="3356"/>
      <c r="H126" s="3356"/>
      <c r="I126" s="3357"/>
      <c r="AA126" s="682"/>
    </row>
    <row r="127" spans="1:27" ht="18.75" customHeight="1">
      <c r="A127" s="3291" t="s">
        <v>1452</v>
      </c>
      <c r="B127" s="3291"/>
      <c r="C127" s="3291"/>
      <c r="D127" s="3331" t="e">
        <f>NUMBERSTRING(INT(D126*10000),2)&amp;"元整"</f>
        <v>#VALUE!</v>
      </c>
      <c r="E127" s="3332"/>
      <c r="F127" s="3332"/>
      <c r="G127" s="3332"/>
      <c r="H127" s="3332"/>
      <c r="I127" s="3333"/>
      <c r="AA127" s="682"/>
    </row>
    <row r="128" spans="1:27" ht="21.75" customHeight="1">
      <c r="A128" s="3338" t="s">
        <v>1453</v>
      </c>
      <c r="B128" s="3338"/>
      <c r="C128" s="3338"/>
      <c r="D128" s="3338"/>
      <c r="E128" s="3338"/>
      <c r="F128" s="3338"/>
      <c r="G128" s="3338"/>
      <c r="H128" s="3338"/>
      <c r="I128" s="333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3436</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3472</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236.66</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236.66</v>
      </c>
      <c r="E19" s="202">
        <f>'数据-取费表'!B31</f>
        <v>200</v>
      </c>
      <c r="F19" s="222"/>
      <c r="G19" s="1711" t="s">
        <v>3437</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6.9999999999999999E-4</v>
      </c>
      <c r="E22" s="227" t="s">
        <v>1498</v>
      </c>
      <c r="F22" s="228">
        <f ca="1">'数据-取费表'!B40</f>
        <v>3.4500000000000003E-2</v>
      </c>
      <c r="G22" s="225" t="str">
        <f>IF('数据-取费表'!B22&lt;=1,"单利计息","复利计息")</f>
        <v>复利计息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116</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106</v>
      </c>
      <c r="D34" s="208"/>
      <c r="E34" s="211"/>
      <c r="F34" s="248">
        <f ca="1">IF('数据-取费表'!B24=0,1,IF(B1="",'数据-取费表'!N16,INDIRECT("'数据-取费表'!n"&amp;$G$1)))</f>
        <v>1</v>
      </c>
      <c r="G34" s="210" t="s">
        <v>1526</v>
      </c>
    </row>
    <row r="35" spans="1:7" ht="13.5" customHeight="1">
      <c r="A35" s="732" t="s">
        <v>351</v>
      </c>
      <c r="B35" s="206" t="s">
        <v>1527</v>
      </c>
      <c r="C35" s="211">
        <f ca="1">ROUND(C34*F35,0)</f>
        <v>3</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5</v>
      </c>
      <c r="D37" s="208">
        <f ca="1">D19</f>
        <v>236.66</v>
      </c>
      <c r="E37" s="240">
        <f>'数据-取费表'!B35</f>
        <v>200</v>
      </c>
      <c r="F37" s="250"/>
      <c r="G37" s="252" t="s">
        <v>1532</v>
      </c>
    </row>
    <row r="38" spans="1:7" ht="13.5" customHeight="1">
      <c r="A38" s="732" t="s">
        <v>354</v>
      </c>
      <c r="B38" s="206" t="s">
        <v>1533</v>
      </c>
      <c r="C38" s="211">
        <f ca="1">ROUND(C34*F38,0)</f>
        <v>2</v>
      </c>
      <c r="D38" s="211"/>
      <c r="E38" s="211"/>
      <c r="F38" s="250">
        <f>'数据-取费表'!B36</f>
        <v>1.4999999999999999E-2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v>
      </c>
      <c r="D41" s="226">
        <f ca="1">C44</f>
        <v>6.9999999999999999E-4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4</v>
      </c>
      <c r="D42" s="229"/>
      <c r="E42" s="229"/>
      <c r="F42" s="230"/>
      <c r="G42" s="3371" t="s">
        <v>1544</v>
      </c>
    </row>
    <row r="43" spans="1:7" ht="13.5" customHeight="1">
      <c r="A43" s="732" t="s">
        <v>347</v>
      </c>
      <c r="B43" s="206" t="s">
        <v>1545</v>
      </c>
      <c r="C43" s="229">
        <f ca="1">ROUND(IF('数据-取费表'!B22&lt;=1,C39*F22*'数据-取费表'!B21/2,C39*(POWER((1+F22),'数据-取费表'!B21/2)-1)),0)</f>
        <v>0</v>
      </c>
      <c r="D43" s="229"/>
      <c r="E43" s="229"/>
      <c r="F43" s="230"/>
      <c r="G43" s="3372"/>
    </row>
    <row r="44" spans="1:7" ht="13.5" customHeight="1">
      <c r="A44" s="732" t="s">
        <v>348</v>
      </c>
      <c r="B44" s="206" t="s">
        <v>1546</v>
      </c>
      <c r="C44" s="229">
        <f ca="1">ROUND(IF('数据-取费表'!B22&lt;=1,C40*F22*'数据-取费表'!B21/2,C40*(POWER((1+F22),'数据-取费表'!B21/2)-1)),4)</f>
        <v>6.9999999999999999E-4</v>
      </c>
      <c r="D44" s="229"/>
      <c r="E44" s="229"/>
      <c r="F44" s="230"/>
      <c r="G44" s="3373"/>
    </row>
    <row r="45" spans="1:7" s="205" customFormat="1" ht="13.5" customHeight="1">
      <c r="A45" s="246" t="s">
        <v>1547</v>
      </c>
      <c r="B45" s="235" t="s">
        <v>1513</v>
      </c>
      <c r="C45" s="236">
        <f ca="1">C46</f>
        <v>18</v>
      </c>
      <c r="D45" s="226">
        <f ca="1">C47</f>
        <v>3.0000000000000001E-3</v>
      </c>
      <c r="E45" s="227" t="s">
        <v>1539</v>
      </c>
      <c r="F45" s="237">
        <f ca="1">F27</f>
        <v>0.15</v>
      </c>
      <c r="G45" s="238" t="s">
        <v>1548</v>
      </c>
    </row>
    <row r="46" spans="1:7" s="205" customFormat="1" ht="13.5" customHeight="1">
      <c r="A46" s="732" t="s">
        <v>346</v>
      </c>
      <c r="B46" s="239" t="s">
        <v>1549</v>
      </c>
      <c r="C46" s="240">
        <f ca="1">ROUND((C33+C39)*F27,0)</f>
        <v>18</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152</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114</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9" t="str">
        <f>项目基本情况!B1</f>
        <v>北京市房地产抵押价值预评估</v>
      </c>
      <c r="C37" s="3189"/>
      <c r="D37" s="3189"/>
      <c r="E37" s="3189"/>
      <c r="F37" s="3189"/>
      <c r="G37" s="3189"/>
      <c r="H37" s="3189"/>
      <c r="I37" s="3189"/>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T26" sqref="T2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236.66</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473</v>
      </c>
      <c r="C2" s="1840" t="s">
        <v>1934</v>
      </c>
      <c r="D2" s="161" t="s">
        <v>1935</v>
      </c>
      <c r="E2" s="3109" t="s">
        <v>673</v>
      </c>
      <c r="F2" s="161" t="s">
        <v>1936</v>
      </c>
      <c r="G2" s="162" t="str">
        <f>IF(E2="商业",项目基本情况!B37,IF(E2="办公",项目基本情况!C37,IF(E2="住宅",项目基本情况!D37,IF(E2="工业",项目基本情况!E37,项目基本情况!F37))))</f>
        <v>四级</v>
      </c>
      <c r="H2" s="161" t="s">
        <v>1937</v>
      </c>
      <c r="I2" s="162" t="str">
        <f>IF(E2="商业",项目基本情况!B38,IF(E2="办公",项目基本情况!C38,IF(E2="住宅",项目基本情况!D38,IF(E2="工业",项目基本情况!E38,项目基本情况!F38))))</f>
        <v>Ⅳ-17</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1.5019</v>
      </c>
      <c r="T2" s="3052">
        <f t="shared" ref="T2:T16" si="0">ROUND($C$5*$C$22*$C$23*$C$24*S2*$C$28,0)</f>
        <v>25370</v>
      </c>
      <c r="U2" s="1127"/>
      <c r="V2" s="3052">
        <f>ROUND(T2*U2/10000,0)</f>
        <v>0</v>
      </c>
      <c r="W2" s="1130"/>
      <c r="X2" s="1130"/>
      <c r="Y2" s="1130"/>
      <c r="Z2" s="1130"/>
      <c r="AA2" s="1130"/>
      <c r="AB2" s="1130"/>
      <c r="AC2" s="1131"/>
      <c r="AD2" s="1132"/>
      <c r="AE2" s="1132"/>
      <c r="AF2" s="1132"/>
      <c r="AG2" s="1132"/>
      <c r="AH2" s="1132"/>
      <c r="AI2" s="1132"/>
      <c r="AJ2" s="1133"/>
    </row>
    <row r="3" spans="1:36" ht="15.75">
      <c r="A3" s="194" t="s">
        <v>1939</v>
      </c>
      <c r="B3" s="195">
        <f>ROUND(B2*10000/D1,0)</f>
        <v>19986</v>
      </c>
      <c r="C3" s="1840" t="s">
        <v>1940</v>
      </c>
      <c r="D3" s="161" t="s">
        <v>1941</v>
      </c>
      <c r="E3" s="3107" t="s">
        <v>2435</v>
      </c>
      <c r="F3" s="1842" t="s">
        <v>3426</v>
      </c>
      <c r="G3" s="706" t="e">
        <f>IF(F3="宗地容积率",'数据-汇总表'!I4,IF(F3="估价对象容积率",'数据-汇总表'!I6,'数据-汇总表'!I7))</f>
        <v>#DIV/0!</v>
      </c>
      <c r="H3" s="161" t="s">
        <v>1942</v>
      </c>
      <c r="I3" s="727">
        <v>2</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1.1838</v>
      </c>
      <c r="T3" s="3052">
        <f t="shared" si="0"/>
        <v>19997</v>
      </c>
      <c r="U3" s="1127">
        <f>'数据-汇总表'!F19</f>
        <v>236.66</v>
      </c>
      <c r="V3" s="3052">
        <f t="shared" ref="V3:V16" si="1">ROUND(T3*U3/10000,0)</f>
        <v>473</v>
      </c>
      <c r="W3" s="1130">
        <f>ROUND(T3*U3,0)</f>
        <v>4732490</v>
      </c>
      <c r="X3" s="1130"/>
      <c r="Y3" s="1130"/>
      <c r="Z3" s="1130"/>
      <c r="AA3" s="1130"/>
      <c r="AB3" s="1130"/>
      <c r="AC3" s="1131"/>
      <c r="AD3" s="1132"/>
      <c r="AE3" s="1132"/>
      <c r="AF3" s="1132"/>
      <c r="AG3" s="1132"/>
      <c r="AH3" s="1132"/>
      <c r="AI3" s="1132"/>
      <c r="AJ3" s="1133"/>
    </row>
    <row r="4" spans="1:36" ht="15.75">
      <c r="A4" s="3381"/>
      <c r="B4" s="3382"/>
      <c r="C4" s="3382"/>
      <c r="D4" s="3383"/>
      <c r="E4" s="3383"/>
      <c r="F4" s="3383"/>
      <c r="G4" s="3383"/>
      <c r="H4" s="3383"/>
      <c r="I4" s="3383"/>
      <c r="J4" s="3384"/>
      <c r="K4" s="1054"/>
      <c r="L4" s="1841" t="s">
        <v>1945</v>
      </c>
      <c r="M4" s="809">
        <f>SUMPRODUCT((区片价!B55:B86=I2)*(区片价!C3:G3=E2)*(区片价!C55:G86))</f>
        <v>18700</v>
      </c>
      <c r="N4" s="811">
        <f>SUMPRODUCT((因素修正幅度!B55:B86=I2)*(因素修正幅度!C3:G3=E2)*(因素修正幅度!C55:G86))</f>
        <v>8.8999999999999996E-2</v>
      </c>
      <c r="O4" s="1054"/>
      <c r="P4" s="1054"/>
      <c r="Q4" s="1054"/>
      <c r="R4" s="1126">
        <v>3</v>
      </c>
      <c r="S4" s="3052">
        <f>ROUND(SUMPRODUCT((B106:B110=R4)*(C105:N105=G2)*(C106:N110)),4)</f>
        <v>1.0004999999999999</v>
      </c>
      <c r="T4" s="3052">
        <f t="shared" si="0"/>
        <v>16901</v>
      </c>
      <c r="U4" s="1127"/>
      <c r="V4" s="3052">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18680</v>
      </c>
      <c r="D5" s="1249">
        <f>ROUND(C6*C17+C20,0)</f>
        <v>18680</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0.88239999999999996</v>
      </c>
      <c r="T5" s="3052">
        <f t="shared" si="0"/>
        <v>14906</v>
      </c>
      <c r="U5" s="1127"/>
      <c r="V5" s="3052">
        <f t="shared" si="1"/>
        <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18700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0.84799999999999998</v>
      </c>
      <c r="T6" s="3052">
        <f t="shared" si="0"/>
        <v>14325</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四级</v>
      </c>
      <c r="Y7" s="1128" t="s">
        <v>1955</v>
      </c>
      <c r="Z7" s="1129" t="e">
        <f>G3</f>
        <v>#DIV/0!</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f t="shared" si="0"/>
        <v>0</v>
      </c>
      <c r="U8" s="1127"/>
      <c r="V8" s="3052">
        <f t="shared" si="1"/>
        <v>0</v>
      </c>
      <c r="W8" s="3378" t="s">
        <v>1959</v>
      </c>
      <c r="X8" s="3379"/>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80"/>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80"/>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0.88249999999999995</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5" t="s">
        <v>3250</v>
      </c>
      <c r="B20" s="158" t="s">
        <v>1993</v>
      </c>
      <c r="C20" s="3020">
        <f>ROUND(IF(F21="与级别开发程度一致",0,(G21-E21)/C21),0)</f>
        <v>-20</v>
      </c>
      <c r="D20" s="3035" t="s">
        <v>1997</v>
      </c>
      <c r="E20" s="3036"/>
      <c r="F20" s="3391" t="s">
        <v>1994</v>
      </c>
      <c r="G20" s="3392"/>
      <c r="H20" s="3021" t="s">
        <v>3428</v>
      </c>
      <c r="I20" s="3021" t="s">
        <v>3429</v>
      </c>
      <c r="J20" s="3022" t="s">
        <v>3430</v>
      </c>
      <c r="K20" s="1883" t="s">
        <v>3431</v>
      </c>
      <c r="L20" s="1883" t="s">
        <v>3432</v>
      </c>
      <c r="M20" s="1883" t="s">
        <v>3519</v>
      </c>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6"/>
      <c r="B21" s="1996" t="s">
        <v>1996</v>
      </c>
      <c r="C21" s="1997">
        <f>IF(E3="M4科研用地",SUMPRODUCT((修正!A2:A7=E3)*(修正!B1:M1=G2)*(修正!B2:M7)),SUMPRODUCT((修正!A2:A7=E2)*(修正!B1:M1=G2)*(修正!B2:M7)))</f>
        <v>2.5</v>
      </c>
      <c r="D21" s="178" t="str">
        <f>IF(OR(G2="八级",G2="九级",G2="十级",G2="十一级",G2="十二级"),"五通一平","七通一平")</f>
        <v>七通一平</v>
      </c>
      <c r="E21" s="1987">
        <f>SUMPRODUCT((修正!B1:M1=G2)*(修正!B17:M17))</f>
        <v>315</v>
      </c>
      <c r="F21" s="1988" t="s">
        <v>3518</v>
      </c>
      <c r="G21" s="1989">
        <f>SUM(H21:O21)</f>
        <v>265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0</v>
      </c>
      <c r="O21" s="1999">
        <f>SUMPRODUCT((七通一平=O20)*(修正!B1:M1=G2)*(修正!B8:M16))</f>
        <v>15</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1890" t="s">
        <v>2001</v>
      </c>
      <c r="E23" s="715">
        <v>44197</v>
      </c>
      <c r="F23" s="1890" t="s">
        <v>2002</v>
      </c>
      <c r="G23" s="716">
        <f>'数据-取费表'!B2</f>
        <v>45392</v>
      </c>
      <c r="H23" s="3037" t="s">
        <v>3251</v>
      </c>
      <c r="I23" s="3038" t="str">
        <f>IF(H23="季度增幅（自定义）",SUMIF(N25:N28,E2,O25:O28),"")</f>
        <v/>
      </c>
      <c r="J23" s="3130" t="s">
        <v>3434</v>
      </c>
      <c r="K23" s="1059"/>
      <c r="L23" s="1891" t="s">
        <v>2003</v>
      </c>
      <c r="M23" s="1238">
        <f>ROUND(SUMIF(地价!B2:G2,E2,地价!B16:G16),0)</f>
        <v>350</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0.83599999999999997</v>
      </c>
      <c r="D24" s="1896" t="s">
        <v>2006</v>
      </c>
      <c r="E24" s="1245">
        <f>存贷款利率!E24/100</f>
        <v>4.3499999999999997E-2</v>
      </c>
      <c r="F24" s="1896" t="s">
        <v>1998</v>
      </c>
      <c r="G24" s="722">
        <f>SUMIF(M30:Q30,E2,M33:Q33)</f>
        <v>5.5E-2</v>
      </c>
      <c r="H24" s="1896" t="s">
        <v>2007</v>
      </c>
      <c r="I24" s="723">
        <f>SUMIF('数据-取费表'!C6:C15,E2,'数据-取费表'!F6:F15)/COUNTIF('数据-取费表'!C6:C15,E2)</f>
        <v>25</v>
      </c>
      <c r="J24" s="724">
        <f>IF(E2="住宅",70,IF(E2="商业",40,50))</f>
        <v>40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3524</v>
      </c>
      <c r="C25" s="460">
        <f>IF(B25="容积率修正",IF(G3&lt;10,D26,J26),C27)</f>
        <v>1.1838</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t="e">
        <f>IF(E26=G26,F26,IF(G3&lt;10,ROUND(F26+(H26-F26)*(G3-E26)/(G26-E26),4),"——"))</f>
        <v>#DIV/0!</v>
      </c>
      <c r="E26" s="706" t="e">
        <f>ROUNDDOWN(G3,1)</f>
        <v>#DIV/0!</v>
      </c>
      <c r="F26" s="126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6" t="e">
        <f>ROUNDUP(G3,1)</f>
        <v>#DIV/0!</v>
      </c>
      <c r="H26" s="126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06" t="s">
        <v>3253</v>
      </c>
      <c r="J26" s="373" t="e">
        <f>IF(G3&gt;=10,D115,"——")</f>
        <v>#DIV/0!</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1.1838</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1.0362</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f>IF(B25="容积率修正",E33+SUM(E37:E42),SUM(V2:V16)+SUM(E37:E42))</f>
        <v>473</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f>E34+SUM(I37:I42)</f>
        <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19997</v>
      </c>
      <c r="D33" s="1934">
        <f>'数据-基础表'!I13</f>
        <v>236.66</v>
      </c>
      <c r="E33" s="725">
        <f>ROUND(C33*D33/10000,0)</f>
        <v>473</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t="e">
        <f>ROUND(IF(E2="工业",C33*M42,IF(B25="楼层修正",SUM(V2:V16)*M41*10000/D34,C33*M41)),0)</f>
        <v>#DIV/0!</v>
      </c>
      <c r="D34" s="1939"/>
      <c r="E34" s="725">
        <f>ROUND(IF(B25="楼层修正",SUM(V2:V16)*M40,C34*D34/10000),0)</f>
        <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9"/>
      <c r="B37" s="1949" t="s">
        <v>2035</v>
      </c>
      <c r="C37" s="166">
        <f>ROUND(D5*C22*C23*C24*C28*F37,0)</f>
        <v>10135</v>
      </c>
      <c r="D37" s="1934"/>
      <c r="E37" s="162">
        <f>ROUND(C37*D37/10000,0)</f>
        <v>0</v>
      </c>
      <c r="F37" s="162">
        <f>SUMIF(修正!A57:A68,G2,修正!B57:B68)</f>
        <v>0.6</v>
      </c>
      <c r="G37" s="162">
        <f>ROUND(IF(E2="工业",C37*$M$42,C37*$M$41),0)</f>
        <v>2534</v>
      </c>
      <c r="H37" s="162">
        <f>D37</f>
        <v>0</v>
      </c>
      <c r="I37" s="162">
        <f>ROUND(G37*H37/10000,0)</f>
        <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90"/>
      <c r="B38" s="1878" t="s">
        <v>2036</v>
      </c>
      <c r="C38" s="166">
        <f>ROUND(D5*C22*C23*C24*C28*F38,0)</f>
        <v>5068</v>
      </c>
      <c r="D38" s="1934"/>
      <c r="E38" s="162">
        <f t="shared" ref="E38:E42" si="4">ROUND(C38*D38/10000,0)</f>
        <v>0</v>
      </c>
      <c r="F38" s="162">
        <f>SUMIF(修正!A57:A68,G2,修正!C57:C68)</f>
        <v>0.3</v>
      </c>
      <c r="G38" s="162">
        <f>ROUND(IF(E2="工业",C38*$M$42,C38*$M$41),0)</f>
        <v>1267</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90"/>
      <c r="B39" s="1878" t="s">
        <v>3254</v>
      </c>
      <c r="C39" s="166">
        <f>ROUND(D5*C22*C23*C24*C28*F39,0)</f>
        <v>4223</v>
      </c>
      <c r="D39" s="1934"/>
      <c r="E39" s="162">
        <f t="shared" si="4"/>
        <v>0</v>
      </c>
      <c r="F39" s="162">
        <f>SUMIF(修正!A57:A68,G2,修正!D57:D68)</f>
        <v>0.25</v>
      </c>
      <c r="G39" s="162">
        <f>ROUND(IF(E2="工业",C39*$M$42,C39*$M$41),0)</f>
        <v>1056</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4223</v>
      </c>
      <c r="D40" s="1934"/>
      <c r="E40" s="162">
        <f t="shared" si="4"/>
        <v>0</v>
      </c>
      <c r="F40" s="166">
        <f>SUMIF(修正!A57:A68,G2,修正!E57:E68)</f>
        <v>0.25</v>
      </c>
      <c r="G40" s="162">
        <f>ROUND(IF(E2="工业",C40*$M$42,C40*$M$41),0)</f>
        <v>1056</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4002</v>
      </c>
      <c r="D41" s="1934"/>
      <c r="E41" s="162">
        <f t="shared" si="4"/>
        <v>0</v>
      </c>
      <c r="F41" s="166">
        <f>SUMIF(修正!A57:A68,G2,修正!F57:F68)</f>
        <v>0.25</v>
      </c>
      <c r="G41" s="162">
        <f>ROUND(IF(E2="工业",C41*$M$42,C41*$M$41),0)</f>
        <v>1001</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2401</v>
      </c>
      <c r="D42" s="1939"/>
      <c r="E42" s="178">
        <f t="shared" si="4"/>
        <v>0</v>
      </c>
      <c r="F42" s="721">
        <f>SUMIF(修正!A57:A68,G2,修正!G57:G68)</f>
        <v>0.15</v>
      </c>
      <c r="G42" s="178">
        <f>ROUND(IF(E2="工业",C42*$M$42,C42*$M$41),0)</f>
        <v>600</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0.79220000000000002</v>
      </c>
      <c r="D44" s="162" t="s">
        <v>1998</v>
      </c>
      <c r="E44" s="1985">
        <f>G24</f>
        <v>5.5E-2</v>
      </c>
      <c r="F44" s="162" t="s">
        <v>2007</v>
      </c>
      <c r="G44" s="174">
        <f>项目基本情况!D15</f>
        <v>25</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f>1+E50</f>
        <v>1.0362</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3416</v>
      </c>
      <c r="D50" s="1000">
        <f t="shared" ref="D50:D58" si="7">SUMIF($J$49:$N$49,C50,J50:N50)</f>
        <v>1.3299999999999999E-2</v>
      </c>
      <c r="E50" s="700">
        <f>ROUND(SUM(D50:D58),4)</f>
        <v>3.6200000000000003E-2</v>
      </c>
      <c r="F50" s="1672">
        <f>IF(E2="商业",SUMIF(L1:L12,G2,N1:N12),"——")</f>
        <v>8.8999999999999996E-2</v>
      </c>
      <c r="G50" s="998">
        <f>H50</f>
        <v>1.3299999999999999E-2</v>
      </c>
      <c r="H50" s="1001">
        <f t="shared" ref="H50:H58" si="8">IFERROR(ROUNDDOWN($F$50*I50/2,4),"——")</f>
        <v>1.3299999999999999E-2</v>
      </c>
      <c r="I50" s="3057">
        <v>0.3</v>
      </c>
      <c r="J50" s="999">
        <f t="shared" ref="J50:J58" si="9">K50+$G50</f>
        <v>2.6599999999999999E-2</v>
      </c>
      <c r="K50" s="999">
        <f t="shared" ref="K50:K58" si="10">$L50+$G50</f>
        <v>1.3299999999999999E-2</v>
      </c>
      <c r="L50" s="999">
        <v>0</v>
      </c>
      <c r="M50" s="999">
        <f t="shared" ref="M50:N58" si="11">L50-$G50</f>
        <v>-1.3299999999999999E-2</v>
      </c>
      <c r="N50" s="999">
        <f t="shared" si="11"/>
        <v>-2.6599999999999999E-2</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3416</v>
      </c>
      <c r="D51" s="1000">
        <f t="shared" si="7"/>
        <v>9.7000000000000003E-3</v>
      </c>
      <c r="E51" s="701"/>
      <c r="F51" s="1672"/>
      <c r="G51" s="998">
        <f t="shared" ref="G51:G58" si="12">H51</f>
        <v>9.7000000000000003E-3</v>
      </c>
      <c r="H51" s="1001">
        <f t="shared" si="8"/>
        <v>9.7000000000000003E-3</v>
      </c>
      <c r="I51" s="3057">
        <v>0.22</v>
      </c>
      <c r="J51" s="999">
        <f t="shared" si="9"/>
        <v>1.9400000000000001E-2</v>
      </c>
      <c r="K51" s="999">
        <f t="shared" si="10"/>
        <v>9.7000000000000003E-3</v>
      </c>
      <c r="L51" s="999">
        <v>0</v>
      </c>
      <c r="M51" s="999">
        <f t="shared" si="11"/>
        <v>-9.7000000000000003E-3</v>
      </c>
      <c r="N51" s="999">
        <f t="shared" si="11"/>
        <v>-1.9400000000000001E-2</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f t="shared" si="7"/>
        <v>5.3E-3</v>
      </c>
      <c r="E52" s="701"/>
      <c r="F52" s="1672"/>
      <c r="G52" s="998">
        <f t="shared" si="12"/>
        <v>5.3E-3</v>
      </c>
      <c r="H52" s="1001">
        <f t="shared" si="8"/>
        <v>5.3E-3</v>
      </c>
      <c r="I52" s="3057">
        <v>0.12</v>
      </c>
      <c r="J52" s="999">
        <f t="shared" si="9"/>
        <v>1.06E-2</v>
      </c>
      <c r="K52" s="999">
        <f t="shared" si="10"/>
        <v>5.3E-3</v>
      </c>
      <c r="L52" s="999">
        <v>0</v>
      </c>
      <c r="M52" s="999">
        <f t="shared" si="11"/>
        <v>-5.3E-3</v>
      </c>
      <c r="N52" s="999">
        <f t="shared" si="11"/>
        <v>-1.06E-2</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f t="shared" si="7"/>
        <v>2.2000000000000001E-3</v>
      </c>
      <c r="E53" s="701"/>
      <c r="F53" s="1672"/>
      <c r="G53" s="998">
        <f t="shared" si="12"/>
        <v>2.2000000000000001E-3</v>
      </c>
      <c r="H53" s="1001">
        <f t="shared" si="8"/>
        <v>2.2000000000000001E-3</v>
      </c>
      <c r="I53" s="3057">
        <v>0.05</v>
      </c>
      <c r="J53" s="999">
        <f t="shared" si="9"/>
        <v>4.4000000000000003E-3</v>
      </c>
      <c r="K53" s="999">
        <f t="shared" si="10"/>
        <v>2.2000000000000001E-3</v>
      </c>
      <c r="L53" s="999">
        <v>0</v>
      </c>
      <c r="M53" s="999">
        <f t="shared" si="11"/>
        <v>-2.2000000000000001E-3</v>
      </c>
      <c r="N53" s="999">
        <f t="shared" si="11"/>
        <v>-4.4000000000000003E-3</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f t="shared" si="7"/>
        <v>-3.5000000000000001E-3</v>
      </c>
      <c r="E54" s="701"/>
      <c r="F54" s="1672"/>
      <c r="G54" s="998">
        <f t="shared" si="12"/>
        <v>3.5000000000000001E-3</v>
      </c>
      <c r="H54" s="1001">
        <f t="shared" si="8"/>
        <v>3.5000000000000001E-3</v>
      </c>
      <c r="I54" s="3057">
        <v>0.08</v>
      </c>
      <c r="J54" s="999">
        <f t="shared" si="9"/>
        <v>7.0000000000000001E-3</v>
      </c>
      <c r="K54" s="999">
        <f t="shared" si="10"/>
        <v>3.5000000000000001E-3</v>
      </c>
      <c r="L54" s="999">
        <v>0</v>
      </c>
      <c r="M54" s="999">
        <f t="shared" si="11"/>
        <v>-3.5000000000000001E-3</v>
      </c>
      <c r="N54" s="999">
        <f t="shared" si="11"/>
        <v>-7.0000000000000001E-3</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f t="shared" si="7"/>
        <v>2.2000000000000001E-3</v>
      </c>
      <c r="E55" s="701"/>
      <c r="F55" s="1672"/>
      <c r="G55" s="998">
        <f t="shared" si="12"/>
        <v>2.2000000000000001E-3</v>
      </c>
      <c r="H55" s="1001">
        <f t="shared" si="8"/>
        <v>2.2000000000000001E-3</v>
      </c>
      <c r="I55" s="3057">
        <v>0.05</v>
      </c>
      <c r="J55" s="999">
        <f t="shared" si="9"/>
        <v>4.4000000000000003E-3</v>
      </c>
      <c r="K55" s="999">
        <f t="shared" si="10"/>
        <v>2.2000000000000001E-3</v>
      </c>
      <c r="L55" s="999">
        <v>0</v>
      </c>
      <c r="M55" s="999">
        <f t="shared" si="11"/>
        <v>-2.2000000000000001E-3</v>
      </c>
      <c r="N55" s="999">
        <f t="shared" si="11"/>
        <v>-4.4000000000000003E-3</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f t="shared" si="12"/>
        <v>2.2000000000000001E-3</v>
      </c>
      <c r="H56" s="1001">
        <f t="shared" si="8"/>
        <v>2.2000000000000001E-3</v>
      </c>
      <c r="I56" s="3057">
        <v>0.05</v>
      </c>
      <c r="J56" s="999">
        <f t="shared" si="9"/>
        <v>4.4000000000000003E-3</v>
      </c>
      <c r="K56" s="999">
        <f t="shared" si="10"/>
        <v>2.2000000000000001E-3</v>
      </c>
      <c r="L56" s="999">
        <v>0</v>
      </c>
      <c r="M56" s="999">
        <f t="shared" si="11"/>
        <v>-2.2000000000000001E-3</v>
      </c>
      <c r="N56" s="999">
        <f t="shared" si="11"/>
        <v>-4.4000000000000003E-3</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3435</v>
      </c>
      <c r="D57" s="1000">
        <f t="shared" si="7"/>
        <v>7.0000000000000001E-3</v>
      </c>
      <c r="E57" s="701"/>
      <c r="F57" s="1672"/>
      <c r="G57" s="998">
        <f t="shared" si="12"/>
        <v>3.5000000000000001E-3</v>
      </c>
      <c r="H57" s="1001">
        <f t="shared" si="8"/>
        <v>3.5000000000000001E-3</v>
      </c>
      <c r="I57" s="3057">
        <v>0.08</v>
      </c>
      <c r="J57" s="999">
        <f t="shared" si="9"/>
        <v>7.0000000000000001E-3</v>
      </c>
      <c r="K57" s="999">
        <f t="shared" si="10"/>
        <v>3.5000000000000001E-3</v>
      </c>
      <c r="L57" s="999">
        <v>0</v>
      </c>
      <c r="M57" s="999">
        <f t="shared" si="11"/>
        <v>-3.5000000000000001E-3</v>
      </c>
      <c r="N57" s="999">
        <f t="shared" si="11"/>
        <v>-7.0000000000000001E-3</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3413</v>
      </c>
      <c r="D58" s="1000">
        <f t="shared" si="7"/>
        <v>0</v>
      </c>
      <c r="E58" s="702"/>
      <c r="F58" s="1672"/>
      <c r="G58" s="998">
        <f t="shared" si="12"/>
        <v>2.2000000000000001E-3</v>
      </c>
      <c r="H58" s="1001">
        <f t="shared" si="8"/>
        <v>2.2000000000000001E-3</v>
      </c>
      <c r="I58" s="3058">
        <v>0.05</v>
      </c>
      <c r="J58" s="999">
        <f t="shared" si="9"/>
        <v>4.4000000000000003E-3</v>
      </c>
      <c r="K58" s="999">
        <f t="shared" si="10"/>
        <v>2.2000000000000001E-3</v>
      </c>
      <c r="L58" s="999">
        <v>0</v>
      </c>
      <c r="M58" s="999">
        <f t="shared" si="11"/>
        <v>-2.2000000000000001E-3</v>
      </c>
      <c r="N58" s="999">
        <f t="shared" si="11"/>
        <v>-4.4000000000000003E-3</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7" t="s">
        <v>3289</v>
      </c>
      <c r="B103" s="3387"/>
      <c r="C103" s="3387"/>
      <c r="D103" s="3387"/>
      <c r="E103" s="3387"/>
      <c r="F103" s="3387"/>
      <c r="G103" s="3387"/>
      <c r="H103" s="3387"/>
      <c r="I103" s="3387"/>
      <c r="J103" s="3387"/>
      <c r="K103" s="1664"/>
      <c r="L103" s="1664"/>
      <c r="M103" s="1664"/>
      <c r="N103" s="1664"/>
    </row>
    <row r="104" spans="1:14">
      <c r="A104" s="3388" t="s">
        <v>3290</v>
      </c>
      <c r="B104" s="3388" t="s">
        <v>3291</v>
      </c>
      <c r="C104" s="3079" t="s">
        <v>3292</v>
      </c>
      <c r="D104" s="3080"/>
      <c r="E104" s="3080"/>
      <c r="F104" s="3080"/>
      <c r="G104" s="3080"/>
      <c r="H104" s="3080"/>
      <c r="I104" s="3080"/>
      <c r="J104" s="3081"/>
      <c r="K104" s="3082"/>
      <c r="L104" s="3082"/>
      <c r="M104" s="3082"/>
      <c r="N104" s="3082"/>
    </row>
    <row r="105" spans="1:14">
      <c r="A105" s="3388"/>
      <c r="B105" s="3388"/>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4"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5"/>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5"/>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5"/>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5"/>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5"/>
      <c r="B111" s="3083" t="s">
        <v>3263</v>
      </c>
      <c r="C111" s="3084">
        <f>$I$3</f>
        <v>2</v>
      </c>
      <c r="D111" s="3084">
        <f t="shared" ref="D111:M111" si="33">$I$3</f>
        <v>2</v>
      </c>
      <c r="E111" s="3084">
        <f t="shared" si="33"/>
        <v>2</v>
      </c>
      <c r="F111" s="3084">
        <f t="shared" si="33"/>
        <v>2</v>
      </c>
      <c r="G111" s="3084">
        <f t="shared" si="33"/>
        <v>2</v>
      </c>
      <c r="H111" s="3084">
        <f t="shared" si="33"/>
        <v>2</v>
      </c>
      <c r="I111" s="3084">
        <f t="shared" si="33"/>
        <v>2</v>
      </c>
      <c r="J111" s="3084">
        <f t="shared" si="33"/>
        <v>2</v>
      </c>
      <c r="K111" s="3084">
        <f t="shared" si="33"/>
        <v>2</v>
      </c>
      <c r="L111" s="3084">
        <f t="shared" si="33"/>
        <v>2</v>
      </c>
      <c r="M111" s="3084">
        <f t="shared" si="33"/>
        <v>2</v>
      </c>
      <c r="N111" s="3084">
        <f>$I$3</f>
        <v>2</v>
      </c>
    </row>
    <row r="112" spans="1:14">
      <c r="A112" s="3376"/>
      <c r="B112" s="3083">
        <v>6</v>
      </c>
      <c r="C112" s="3078">
        <f>(-0.5556*(C111^2)-0.2719*C111+8944)*(10^(-4))</f>
        <v>0.89412338000000002</v>
      </c>
      <c r="D112" s="3078">
        <f>(-0.5556*(D111^2)-0.2719*D111+8944)*(10^(-4))</f>
        <v>0.89412338000000002</v>
      </c>
      <c r="E112" s="3078">
        <f>(-0.7912*(E111^2)-11.3794*E111+8482)*(10^(-4))</f>
        <v>0.84560763999999999</v>
      </c>
      <c r="F112" s="3078">
        <f t="shared" ref="F112:I112" si="34">(-0.7912*(F111^2)-11.3794*F111+8482)*(10^(-4))</f>
        <v>0.84560763999999999</v>
      </c>
      <c r="G112" s="3078">
        <f t="shared" si="34"/>
        <v>0.84560763999999999</v>
      </c>
      <c r="H112" s="3078">
        <f t="shared" si="34"/>
        <v>0.84560763999999999</v>
      </c>
      <c r="I112" s="3078">
        <f t="shared" si="34"/>
        <v>0.84560763999999999</v>
      </c>
      <c r="J112" s="3078">
        <f>(-0.989*(J111^2)-63.78*J111+7771)*(10^(-4))</f>
        <v>0.76394840000000008</v>
      </c>
      <c r="K112" s="3078">
        <f t="shared" ref="K112:N112" si="35">(-0.989*(K111^2)-63.78*K111+7771)*(10^(-4))</f>
        <v>0.76394840000000008</v>
      </c>
      <c r="L112" s="3078">
        <f t="shared" si="35"/>
        <v>0.76394840000000008</v>
      </c>
      <c r="M112" s="3078">
        <f t="shared" si="35"/>
        <v>0.76394840000000008</v>
      </c>
      <c r="N112" s="3078">
        <f t="shared" si="35"/>
        <v>0.76394840000000008</v>
      </c>
    </row>
    <row r="113" spans="1:14">
      <c r="A113" s="3377" t="s">
        <v>3306</v>
      </c>
      <c r="B113" s="3377"/>
      <c r="C113" s="3377"/>
      <c r="D113" s="3377"/>
      <c r="E113" s="3377"/>
      <c r="F113" s="3377"/>
      <c r="G113" s="3377"/>
      <c r="H113" s="3377"/>
      <c r="I113" s="3377"/>
      <c r="J113" s="3377"/>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t="e">
        <f>G3</f>
        <v>#DIV/0!</v>
      </c>
      <c r="C116" s="3088" t="s">
        <v>3308</v>
      </c>
      <c r="D116" s="3089" t="e">
        <f>SUMPRODUCT((A118:A122=F116)*(B117:M117=H116)*B118:M122)</f>
        <v>#DIV/0!</v>
      </c>
      <c r="E116" s="161" t="s">
        <v>3309</v>
      </c>
      <c r="F116" s="3090" t="str">
        <f>E2</f>
        <v>商业</v>
      </c>
      <c r="G116" s="161" t="s">
        <v>3310</v>
      </c>
      <c r="H116" s="3090" t="str">
        <f>G2</f>
        <v>四级</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t="e">
        <f>ROUND(0.9968-0.011*B116,4)</f>
        <v>#DIV/0!</v>
      </c>
      <c r="C118" s="3078" t="e">
        <f>B118</f>
        <v>#DIV/0!</v>
      </c>
      <c r="D118" s="3078" t="e">
        <f>ROUND(0.949-0.014*B116,4)</f>
        <v>#DIV/0!</v>
      </c>
      <c r="E118" s="3078" t="e">
        <f>D118</f>
        <v>#DIV/0!</v>
      </c>
      <c r="F118" s="3078" t="e">
        <f>E118</f>
        <v>#DIV/0!</v>
      </c>
      <c r="G118" s="3078" t="e">
        <f>F118</f>
        <v>#DIV/0!</v>
      </c>
      <c r="H118" s="3078" t="e">
        <f>G118</f>
        <v>#DIV/0!</v>
      </c>
      <c r="I118" s="3078" t="e">
        <f>ROUND(0.8486-0.018*B116,4)</f>
        <v>#DIV/0!</v>
      </c>
      <c r="J118" s="3078" t="e">
        <f t="shared" ref="J118:M122" si="36">I118</f>
        <v>#DIV/0!</v>
      </c>
      <c r="K118" s="3078" t="e">
        <f t="shared" si="36"/>
        <v>#DIV/0!</v>
      </c>
      <c r="L118" s="3078" t="e">
        <f t="shared" si="36"/>
        <v>#DIV/0!</v>
      </c>
      <c r="M118" s="3098" t="e">
        <f t="shared" si="36"/>
        <v>#DIV/0!</v>
      </c>
      <c r="N118" s="3086"/>
    </row>
    <row r="119" spans="1:14">
      <c r="A119" s="3046" t="s">
        <v>3324</v>
      </c>
      <c r="B119" s="3078" t="e">
        <f>ROUND(0.993-0.0112*B116,4)</f>
        <v>#DIV/0!</v>
      </c>
      <c r="C119" s="3078" t="e">
        <f>B119</f>
        <v>#DIV/0!</v>
      </c>
      <c r="D119" s="3078" t="e">
        <f>ROUND(0.9415-0.0142*B116,4)</f>
        <v>#DIV/0!</v>
      </c>
      <c r="E119" s="3078" t="e">
        <f t="shared" ref="E119:H120" si="37">D119</f>
        <v>#DIV/0!</v>
      </c>
      <c r="F119" s="3078" t="e">
        <f t="shared" si="37"/>
        <v>#DIV/0!</v>
      </c>
      <c r="G119" s="3078" t="e">
        <f t="shared" si="37"/>
        <v>#DIV/0!</v>
      </c>
      <c r="H119" s="3078" t="e">
        <f t="shared" si="37"/>
        <v>#DIV/0!</v>
      </c>
      <c r="I119" s="3078" t="e">
        <f>ROUND(0.838-0.0182*B116,4)</f>
        <v>#DIV/0!</v>
      </c>
      <c r="J119" s="3078" t="e">
        <f t="shared" si="36"/>
        <v>#DIV/0!</v>
      </c>
      <c r="K119" s="3078" t="e">
        <f t="shared" si="36"/>
        <v>#DIV/0!</v>
      </c>
      <c r="L119" s="3078" t="e">
        <f t="shared" si="36"/>
        <v>#DIV/0!</v>
      </c>
      <c r="M119" s="3098" t="e">
        <f t="shared" si="36"/>
        <v>#DIV/0!</v>
      </c>
      <c r="N119" s="3086"/>
    </row>
    <row r="120" spans="1:14">
      <c r="A120" s="3046" t="s">
        <v>3325</v>
      </c>
      <c r="B120" s="3078" t="e">
        <f>ROUND(0.9448-0.0115*B116,4)</f>
        <v>#DIV/0!</v>
      </c>
      <c r="C120" s="3078" t="e">
        <f>B120</f>
        <v>#DIV/0!</v>
      </c>
      <c r="D120" s="3078" t="e">
        <f>ROUND(0.937-0.0145*B116,4)</f>
        <v>#DIV/0!</v>
      </c>
      <c r="E120" s="3078" t="e">
        <f t="shared" si="37"/>
        <v>#DIV/0!</v>
      </c>
      <c r="F120" s="3078" t="e">
        <f t="shared" si="37"/>
        <v>#DIV/0!</v>
      </c>
      <c r="G120" s="3078" t="e">
        <f t="shared" si="37"/>
        <v>#DIV/0!</v>
      </c>
      <c r="H120" s="3078" t="e">
        <f t="shared" si="37"/>
        <v>#DIV/0!</v>
      </c>
      <c r="I120" s="3078" t="e">
        <f>ROUND(0.7965-0.0185*B116,4)</f>
        <v>#DIV/0!</v>
      </c>
      <c r="J120" s="3078" t="e">
        <f t="shared" si="36"/>
        <v>#DIV/0!</v>
      </c>
      <c r="K120" s="3078" t="e">
        <f t="shared" si="36"/>
        <v>#DIV/0!</v>
      </c>
      <c r="L120" s="3078" t="e">
        <f t="shared" si="36"/>
        <v>#DIV/0!</v>
      </c>
      <c r="M120" s="3098" t="e">
        <f t="shared" si="36"/>
        <v>#DIV/0!</v>
      </c>
      <c r="N120" s="3086"/>
    </row>
    <row r="121" spans="1:14" ht="13.5" thickBot="1">
      <c r="A121" s="3099" t="s">
        <v>3326</v>
      </c>
      <c r="B121" s="3100" t="e">
        <f>ROUND(0.7836-0.012*B116,4)</f>
        <v>#DIV/0!</v>
      </c>
      <c r="C121" s="3100" t="e">
        <f>B121</f>
        <v>#DIV/0!</v>
      </c>
      <c r="D121" s="3100" t="e">
        <f>ROUND(0.753-0.015*B116,4)</f>
        <v>#DIV/0!</v>
      </c>
      <c r="E121" s="3100" t="e">
        <f>D121</f>
        <v>#DIV/0!</v>
      </c>
      <c r="F121" s="3100" t="e">
        <f>E121</f>
        <v>#DIV/0!</v>
      </c>
      <c r="G121" s="3100" t="e">
        <f>ROUND(0.6612-0.018*B116,4)</f>
        <v>#DIV/0!</v>
      </c>
      <c r="H121" s="3100" t="e">
        <f>G121</f>
        <v>#DIV/0!</v>
      </c>
      <c r="I121" s="3100" t="e">
        <f>ROUND(0.5905-0.019*B116,4)</f>
        <v>#DIV/0!</v>
      </c>
      <c r="J121" s="3100" t="e">
        <f t="shared" si="36"/>
        <v>#DIV/0!</v>
      </c>
      <c r="K121" s="3100" t="e">
        <f t="shared" si="36"/>
        <v>#DIV/0!</v>
      </c>
      <c r="L121" s="3100" t="e">
        <f t="shared" si="36"/>
        <v>#DIV/0!</v>
      </c>
      <c r="M121" s="3101" t="e">
        <f t="shared" si="36"/>
        <v>#DIV/0!</v>
      </c>
      <c r="N121" s="3086"/>
    </row>
    <row r="122" spans="1:14">
      <c r="A122" s="3102" t="s">
        <v>2608</v>
      </c>
      <c r="B122" s="3078" t="e">
        <f>ROUND(0.9404-0.0106*B116,4)</f>
        <v>#DIV/0!</v>
      </c>
      <c r="C122" s="3078" t="e">
        <f>B122</f>
        <v>#DIV/0!</v>
      </c>
      <c r="D122" s="3078" t="e">
        <f>ROUND(0.8955-0.0135*B116,4)</f>
        <v>#DIV/0!</v>
      </c>
      <c r="E122" s="3078" t="e">
        <f t="shared" ref="E122:H122" si="38">D122</f>
        <v>#DIV/0!</v>
      </c>
      <c r="F122" s="3078" t="e">
        <f t="shared" si="38"/>
        <v>#DIV/0!</v>
      </c>
      <c r="G122" s="3078" t="e">
        <f t="shared" si="38"/>
        <v>#DIV/0!</v>
      </c>
      <c r="H122" s="3078" t="e">
        <f t="shared" si="38"/>
        <v>#DIV/0!</v>
      </c>
      <c r="I122" s="3078" t="e">
        <f>ROUND(0.7632-0.0166*B116,4)</f>
        <v>#DIV/0!</v>
      </c>
      <c r="J122" s="3078" t="e">
        <f t="shared" si="36"/>
        <v>#DIV/0!</v>
      </c>
      <c r="K122" s="3078" t="e">
        <f t="shared" si="36"/>
        <v>#DIV/0!</v>
      </c>
      <c r="L122" s="3078" t="e">
        <f t="shared" si="36"/>
        <v>#DIV/0!</v>
      </c>
      <c r="M122" s="3098" t="e">
        <f t="shared" si="36"/>
        <v>#DIV/0!</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68.25" customHeight="1">
      <c r="A5" s="347"/>
      <c r="B5" s="348"/>
      <c r="C5" s="3426" t="s">
        <v>1673</v>
      </c>
      <c r="D5" s="3427"/>
      <c r="E5" s="3433" t="e">
        <f>#REF!</f>
        <v>#REF!</v>
      </c>
      <c r="F5" s="3434"/>
      <c r="G5" s="3426" t="e">
        <f>#REF!</f>
        <v>#REF!</v>
      </c>
      <c r="H5" s="3427"/>
      <c r="I5" s="3426" t="e">
        <f>#REF!</f>
        <v>#REF!</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45392</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45" si="3">D8/F8</f>
        <v>1</v>
      </c>
      <c r="AB8" s="50">
        <f t="shared" ref="AB8:AB45" si="4">D8/H8</f>
        <v>1</v>
      </c>
      <c r="AC8" s="50">
        <f t="shared" ref="AC8:AC45" si="5">D8/J8</f>
        <v>1</v>
      </c>
    </row>
    <row r="9" spans="1:29" s="101" customFormat="1">
      <c r="A9" s="358" t="s">
        <v>1684</v>
      </c>
      <c r="B9" s="60" t="s">
        <v>1685</v>
      </c>
      <c r="C9" s="1819" t="s">
        <v>3485</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00"/>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00"/>
      <c r="Q12" s="529" t="str">
        <f t="shared" si="6"/>
        <v>配建</v>
      </c>
      <c r="R12" s="662" t="s">
        <v>14</v>
      </c>
      <c r="S12" s="663">
        <f t="shared" si="0"/>
        <v>100</v>
      </c>
      <c r="T12" s="662" t="s">
        <v>14</v>
      </c>
      <c r="U12" s="663">
        <f t="shared" si="1"/>
        <v>100</v>
      </c>
      <c r="V12" s="662" t="s">
        <v>14</v>
      </c>
      <c r="W12" s="663">
        <f t="shared" si="2"/>
        <v>100</v>
      </c>
      <c r="X12" s="664"/>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01" t="s">
        <v>1691</v>
      </c>
      <c r="Q15" s="1260" t="str">
        <f t="shared" si="6"/>
        <v>居住社区成熟度</v>
      </c>
      <c r="R15" s="665" t="s">
        <v>14</v>
      </c>
      <c r="S15" s="666">
        <f t="shared" si="0"/>
        <v>100</v>
      </c>
      <c r="T15" s="665" t="s">
        <v>14</v>
      </c>
      <c r="U15" s="666">
        <f t="shared" si="1"/>
        <v>100</v>
      </c>
      <c r="V15" s="665" t="s">
        <v>14</v>
      </c>
      <c r="W15" s="666">
        <f t="shared" si="2"/>
        <v>100</v>
      </c>
      <c r="X15" s="1262"/>
      <c r="Y15" s="3401"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02"/>
      <c r="Q16" s="1260"/>
      <c r="R16" s="665"/>
      <c r="S16" s="666"/>
      <c r="T16" s="665"/>
      <c r="U16" s="666"/>
      <c r="V16" s="665"/>
      <c r="W16" s="666"/>
      <c r="X16" s="1262"/>
      <c r="Y16" s="3402"/>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02"/>
      <c r="Q17" s="1260" t="str">
        <f>B17</f>
        <v>商业繁华度</v>
      </c>
      <c r="R17" s="665" t="s">
        <v>14</v>
      </c>
      <c r="S17" s="666">
        <f>F17</f>
        <v>100</v>
      </c>
      <c r="T17" s="665" t="s">
        <v>14</v>
      </c>
      <c r="U17" s="666">
        <f>H17</f>
        <v>100</v>
      </c>
      <c r="V17" s="665" t="s">
        <v>14</v>
      </c>
      <c r="W17" s="666">
        <f>J17</f>
        <v>103</v>
      </c>
      <c r="X17" s="1262"/>
      <c r="Y17" s="3402"/>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02"/>
      <c r="Q18" s="1260"/>
      <c r="R18" s="665"/>
      <c r="S18" s="666"/>
      <c r="T18" s="665"/>
      <c r="U18" s="666"/>
      <c r="V18" s="665"/>
      <c r="W18" s="666"/>
      <c r="X18" s="1262"/>
      <c r="Y18" s="3402"/>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02"/>
      <c r="Q19" s="1260" t="str">
        <f>B19</f>
        <v>办公集聚程度</v>
      </c>
      <c r="R19" s="665" t="s">
        <v>14</v>
      </c>
      <c r="S19" s="666">
        <f>F19</f>
        <v>100</v>
      </c>
      <c r="T19" s="665" t="s">
        <v>14</v>
      </c>
      <c r="U19" s="666">
        <f>H19</f>
        <v>100</v>
      </c>
      <c r="V19" s="665" t="s">
        <v>14</v>
      </c>
      <c r="W19" s="666">
        <f>J19</f>
        <v>100</v>
      </c>
      <c r="X19" s="1262"/>
      <c r="Y19" s="3402"/>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02"/>
      <c r="Q20" s="1260"/>
      <c r="R20" s="665"/>
      <c r="S20" s="666"/>
      <c r="T20" s="665"/>
      <c r="U20" s="666"/>
      <c r="V20" s="665"/>
      <c r="W20" s="666"/>
      <c r="X20" s="1262"/>
      <c r="Y20" s="3402"/>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02"/>
      <c r="Q21" s="1260" t="str">
        <f>B21</f>
        <v>交通便捷度</v>
      </c>
      <c r="R21" s="665" t="s">
        <v>14</v>
      </c>
      <c r="S21" s="666">
        <f>F21</f>
        <v>100</v>
      </c>
      <c r="T21" s="665" t="s">
        <v>14</v>
      </c>
      <c r="U21" s="666">
        <f>H21</f>
        <v>102</v>
      </c>
      <c r="V21" s="665" t="s">
        <v>14</v>
      </c>
      <c r="W21" s="666">
        <f>J21</f>
        <v>104</v>
      </c>
      <c r="X21" s="1262"/>
      <c r="Y21" s="3402"/>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02"/>
      <c r="Q22" s="1260"/>
      <c r="R22" s="665"/>
      <c r="S22" s="666"/>
      <c r="T22" s="665"/>
      <c r="U22" s="666"/>
      <c r="V22" s="665"/>
      <c r="W22" s="666"/>
      <c r="X22" s="1262"/>
      <c r="Y22" s="3402"/>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02"/>
      <c r="Q23" s="1260" t="str">
        <f t="shared" ref="Q23:Q37" si="8">B23</f>
        <v>区域土地利用方向</v>
      </c>
      <c r="R23" s="665" t="s">
        <v>14</v>
      </c>
      <c r="S23" s="666">
        <f>F23</f>
        <v>100</v>
      </c>
      <c r="T23" s="665" t="s">
        <v>14</v>
      </c>
      <c r="U23" s="666">
        <f>H23</f>
        <v>100</v>
      </c>
      <c r="V23" s="665" t="s">
        <v>14</v>
      </c>
      <c r="W23" s="666">
        <f>J23</f>
        <v>100</v>
      </c>
      <c r="X23" s="1262"/>
      <c r="Y23" s="3402"/>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02"/>
      <c r="Q24" s="1260"/>
      <c r="R24" s="665"/>
      <c r="S24" s="666"/>
      <c r="T24" s="665"/>
      <c r="U24" s="666"/>
      <c r="V24" s="665"/>
      <c r="W24" s="666"/>
      <c r="X24" s="1262"/>
      <c r="Y24" s="3402"/>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02"/>
      <c r="Q25" s="1260" t="str">
        <f t="shared" si="8"/>
        <v>自然及人文环境状况</v>
      </c>
      <c r="R25" s="665" t="s">
        <v>14</v>
      </c>
      <c r="S25" s="666">
        <f>F25</f>
        <v>100</v>
      </c>
      <c r="T25" s="665" t="s">
        <v>14</v>
      </c>
      <c r="U25" s="666">
        <f>H25</f>
        <v>100</v>
      </c>
      <c r="V25" s="665" t="s">
        <v>14</v>
      </c>
      <c r="W25" s="666">
        <f>J25</f>
        <v>103</v>
      </c>
      <c r="X25" s="1262"/>
      <c r="Y25" s="3402"/>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02"/>
      <c r="Q26" s="1260"/>
      <c r="R26" s="665"/>
      <c r="S26" s="666"/>
      <c r="T26" s="665"/>
      <c r="U26" s="666"/>
      <c r="V26" s="665"/>
      <c r="W26" s="666"/>
      <c r="X26" s="1262"/>
      <c r="Y26" s="3402"/>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02"/>
      <c r="Q27" s="529" t="str">
        <f t="shared" si="8"/>
        <v>公共配套设施</v>
      </c>
      <c r="R27" s="662" t="s">
        <v>14</v>
      </c>
      <c r="S27" s="663">
        <f>F27</f>
        <v>100</v>
      </c>
      <c r="T27" s="662" t="s">
        <v>14</v>
      </c>
      <c r="U27" s="663">
        <f>H27</f>
        <v>100</v>
      </c>
      <c r="V27" s="662" t="s">
        <v>14</v>
      </c>
      <c r="W27" s="663">
        <f>J27</f>
        <v>100</v>
      </c>
      <c r="X27" s="664"/>
      <c r="Y27" s="3402"/>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02"/>
      <c r="Q28" s="529"/>
      <c r="R28" s="662"/>
      <c r="S28" s="663"/>
      <c r="T28" s="662"/>
      <c r="U28" s="663"/>
      <c r="V28" s="662"/>
      <c r="W28" s="663"/>
      <c r="X28" s="664"/>
      <c r="Y28" s="3402"/>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02"/>
      <c r="Q29" s="529" t="str">
        <f t="shared" ref="Q29" si="9">B29</f>
        <v>基础设施水平</v>
      </c>
      <c r="R29" s="662" t="s">
        <v>14</v>
      </c>
      <c r="S29" s="663">
        <f>F29</f>
        <v>100</v>
      </c>
      <c r="T29" s="662" t="s">
        <v>14</v>
      </c>
      <c r="U29" s="663">
        <f>H29</f>
        <v>100</v>
      </c>
      <c r="V29" s="662" t="s">
        <v>14</v>
      </c>
      <c r="W29" s="663">
        <f>J29</f>
        <v>100</v>
      </c>
      <c r="X29" s="664"/>
      <c r="Y29" s="3402"/>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02"/>
      <c r="Q30" s="529"/>
      <c r="R30" s="662"/>
      <c r="S30" s="663"/>
      <c r="T30" s="662"/>
      <c r="U30" s="663"/>
      <c r="V30" s="662"/>
      <c r="W30" s="663"/>
      <c r="X30" s="664"/>
      <c r="Y30" s="3402"/>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02"/>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2"/>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02"/>
      <c r="Q32" s="1260" t="str">
        <f t="shared" si="8"/>
        <v>毗邻道路的类型与等级</v>
      </c>
      <c r="R32" s="665" t="s">
        <v>14</v>
      </c>
      <c r="S32" s="666">
        <f t="shared" si="10"/>
        <v>100</v>
      </c>
      <c r="T32" s="665" t="s">
        <v>14</v>
      </c>
      <c r="U32" s="666">
        <f t="shared" si="11"/>
        <v>100</v>
      </c>
      <c r="V32" s="665" t="s">
        <v>14</v>
      </c>
      <c r="W32" s="666">
        <f t="shared" si="12"/>
        <v>100</v>
      </c>
      <c r="X32" s="1262"/>
      <c r="Y32" s="3402"/>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02"/>
      <c r="Q33" s="1260"/>
      <c r="R33" s="665"/>
      <c r="S33" s="666"/>
      <c r="T33" s="665"/>
      <c r="U33" s="666"/>
      <c r="V33" s="665"/>
      <c r="W33" s="666"/>
      <c r="X33" s="1262"/>
      <c r="Y33" s="3402"/>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02"/>
      <c r="Q34" s="1260" t="str">
        <f t="shared" si="8"/>
        <v>土地级别</v>
      </c>
      <c r="R34" s="665" t="s">
        <v>14</v>
      </c>
      <c r="S34" s="666">
        <f t="shared" si="10"/>
        <v>100</v>
      </c>
      <c r="T34" s="665" t="s">
        <v>14</v>
      </c>
      <c r="U34" s="666">
        <f t="shared" si="11"/>
        <v>100</v>
      </c>
      <c r="V34" s="665" t="s">
        <v>14</v>
      </c>
      <c r="W34" s="666">
        <f t="shared" si="12"/>
        <v>100</v>
      </c>
      <c r="X34" s="1262"/>
      <c r="Y34" s="3402"/>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02"/>
      <c r="Q35" s="1260">
        <f t="shared" si="8"/>
        <v>111</v>
      </c>
      <c r="R35" s="665" t="s">
        <v>14</v>
      </c>
      <c r="S35" s="666">
        <f t="shared" si="10"/>
        <v>100</v>
      </c>
      <c r="T35" s="665" t="s">
        <v>14</v>
      </c>
      <c r="U35" s="666">
        <f t="shared" si="11"/>
        <v>100</v>
      </c>
      <c r="V35" s="665" t="s">
        <v>14</v>
      </c>
      <c r="W35" s="666">
        <f t="shared" si="12"/>
        <v>100</v>
      </c>
      <c r="X35" s="1262"/>
      <c r="Y35" s="3402"/>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03" t="s">
        <v>1696</v>
      </c>
      <c r="Q36" s="1260">
        <f t="shared" si="8"/>
        <v>111</v>
      </c>
      <c r="R36" s="665" t="s">
        <v>14</v>
      </c>
      <c r="S36" s="666">
        <f t="shared" si="10"/>
        <v>100</v>
      </c>
      <c r="T36" s="665" t="s">
        <v>14</v>
      </c>
      <c r="U36" s="666">
        <f t="shared" si="11"/>
        <v>100</v>
      </c>
      <c r="V36" s="665" t="s">
        <v>14</v>
      </c>
      <c r="W36" s="666">
        <f t="shared" si="12"/>
        <v>100</v>
      </c>
      <c r="X36" s="1262"/>
      <c r="Y36" s="3404"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04"/>
      <c r="Q37" s="1260">
        <f t="shared" si="8"/>
        <v>111</v>
      </c>
      <c r="R37" s="667" t="s">
        <v>14</v>
      </c>
      <c r="S37" s="668">
        <f t="shared" si="10"/>
        <v>100</v>
      </c>
      <c r="T37" s="667" t="s">
        <v>14</v>
      </c>
      <c r="U37" s="668">
        <f t="shared" si="11"/>
        <v>100</v>
      </c>
      <c r="V37" s="667" t="s">
        <v>14</v>
      </c>
      <c r="W37" s="668">
        <f t="shared" si="12"/>
        <v>100</v>
      </c>
      <c r="X37" s="669"/>
      <c r="Y37" s="3404"/>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04"/>
      <c r="Q38" s="1260" t="str">
        <f>B38</f>
        <v>宗地面积</v>
      </c>
      <c r="R38" s="665" t="s">
        <v>14</v>
      </c>
      <c r="S38" s="666">
        <f t="shared" si="10"/>
        <v>100</v>
      </c>
      <c r="T38" s="665" t="s">
        <v>14</v>
      </c>
      <c r="U38" s="666">
        <f t="shared" si="11"/>
        <v>100</v>
      </c>
      <c r="V38" s="665" t="s">
        <v>14</v>
      </c>
      <c r="W38" s="666">
        <f t="shared" si="12"/>
        <v>100</v>
      </c>
      <c r="X38" s="1262"/>
      <c r="Y38" s="3404"/>
      <c r="Z38" s="1261" t="str">
        <f t="shared" si="13"/>
        <v>宗地面积</v>
      </c>
      <c r="AA38" s="1261">
        <f t="shared" si="3"/>
        <v>1</v>
      </c>
      <c r="AB38" s="1261">
        <f t="shared" si="4"/>
        <v>1</v>
      </c>
      <c r="AC38" s="1261">
        <f t="shared" si="5"/>
        <v>1</v>
      </c>
    </row>
    <row r="39" spans="1:29" ht="15">
      <c r="A39" s="408"/>
      <c r="B39" s="363" t="s">
        <v>1875</v>
      </c>
      <c r="C39" s="1756" t="s">
        <v>3460</v>
      </c>
      <c r="D39" s="373">
        <v>100</v>
      </c>
      <c r="E39" s="1756" t="s">
        <v>3460</v>
      </c>
      <c r="F39" s="373">
        <f>SUMIF(118:118,E39,119:119)-SUMIF(118:118,C39,119:119)+100</f>
        <v>100</v>
      </c>
      <c r="G39" s="1756" t="s">
        <v>3460</v>
      </c>
      <c r="H39" s="373">
        <f>SUMIF(118:118,G39,119:119)-SUMIF(118:118,C39,119:119)+100</f>
        <v>100</v>
      </c>
      <c r="I39" s="1756" t="s">
        <v>3460</v>
      </c>
      <c r="J39" s="373">
        <f>SUMIF(118:118,I39,119:119)-SUMIF(118:118,C39,119:119)+100</f>
        <v>100</v>
      </c>
      <c r="K39" s="537">
        <v>1</v>
      </c>
      <c r="L39" s="2483"/>
      <c r="M39" s="2478"/>
      <c r="N39" s="2478"/>
      <c r="O39" s="2533"/>
      <c r="P39" s="3404"/>
      <c r="Q39" s="1260" t="str">
        <f t="shared" ref="Q39:Q45" si="14">B39</f>
        <v>宗地形状</v>
      </c>
      <c r="R39" s="665" t="s">
        <v>14</v>
      </c>
      <c r="S39" s="666">
        <f t="shared" si="10"/>
        <v>100</v>
      </c>
      <c r="T39" s="665" t="s">
        <v>14</v>
      </c>
      <c r="U39" s="666">
        <f t="shared" si="11"/>
        <v>100</v>
      </c>
      <c r="V39" s="665" t="s">
        <v>14</v>
      </c>
      <c r="W39" s="666">
        <f t="shared" si="12"/>
        <v>100</v>
      </c>
      <c r="X39" s="1262"/>
      <c r="Y39" s="3404"/>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04"/>
      <c r="Q40" s="1260" t="str">
        <f t="shared" si="14"/>
        <v>临街宽度及深度</v>
      </c>
      <c r="R40" s="665" t="s">
        <v>14</v>
      </c>
      <c r="S40" s="666">
        <f t="shared" si="10"/>
        <v>100</v>
      </c>
      <c r="T40" s="665" t="s">
        <v>14</v>
      </c>
      <c r="U40" s="666">
        <f t="shared" si="11"/>
        <v>100</v>
      </c>
      <c r="V40" s="665" t="s">
        <v>14</v>
      </c>
      <c r="W40" s="666">
        <f t="shared" si="12"/>
        <v>100</v>
      </c>
      <c r="X40" s="1262"/>
      <c r="Y40" s="3404"/>
      <c r="Z40" s="1261" t="str">
        <f t="shared" si="13"/>
        <v>临街宽度及深度</v>
      </c>
      <c r="AA40" s="1261">
        <f t="shared" si="3"/>
        <v>1</v>
      </c>
      <c r="AB40" s="1261">
        <f t="shared" si="4"/>
        <v>1</v>
      </c>
      <c r="AC40" s="1261">
        <f t="shared" si="5"/>
        <v>1</v>
      </c>
    </row>
    <row r="41" spans="1:29" s="101" customFormat="1" ht="15">
      <c r="A41" s="409"/>
      <c r="B41" s="363" t="s">
        <v>1877</v>
      </c>
      <c r="C41" s="1822" t="s">
        <v>3446</v>
      </c>
      <c r="D41" s="118">
        <v>100</v>
      </c>
      <c r="E41" s="1822" t="s">
        <v>3404</v>
      </c>
      <c r="F41" s="373">
        <f>SUMIF(122:122,E41,123:123)-SUMIF(122:122,C41,123:123)+100</f>
        <v>102</v>
      </c>
      <c r="G41" s="1822" t="s">
        <v>3404</v>
      </c>
      <c r="H41" s="373">
        <f>SUMIF(122:122,G41,123:123)-SUMIF(122:122,C41,123:123)+100</f>
        <v>102</v>
      </c>
      <c r="I41" s="1822" t="s">
        <v>3446</v>
      </c>
      <c r="J41" s="373">
        <f>SUMIF(122:122,I41,123:123)-SUMIF(122:122,C41,123:123)+100</f>
        <v>100</v>
      </c>
      <c r="K41" s="537">
        <v>1</v>
      </c>
      <c r="L41" s="2479"/>
      <c r="M41" s="2431"/>
      <c r="N41" s="2431"/>
      <c r="O41" s="2531"/>
      <c r="P41" s="3404"/>
      <c r="Q41" s="1260" t="str">
        <f t="shared" si="14"/>
        <v>宗地开发程度</v>
      </c>
      <c r="R41" s="662" t="s">
        <v>14</v>
      </c>
      <c r="S41" s="663">
        <f t="shared" si="10"/>
        <v>102</v>
      </c>
      <c r="T41" s="662" t="s">
        <v>14</v>
      </c>
      <c r="U41" s="663">
        <f t="shared" si="11"/>
        <v>102</v>
      </c>
      <c r="V41" s="662" t="s">
        <v>14</v>
      </c>
      <c r="W41" s="663">
        <f t="shared" si="12"/>
        <v>100</v>
      </c>
      <c r="X41" s="664"/>
      <c r="Y41" s="3404"/>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04" t="s">
        <v>1696</v>
      </c>
      <c r="Q42" s="1260" t="str">
        <f t="shared" si="14"/>
        <v>工程地质条件</v>
      </c>
      <c r="R42" s="665" t="s">
        <v>14</v>
      </c>
      <c r="S42" s="666">
        <f t="shared" si="10"/>
        <v>100</v>
      </c>
      <c r="T42" s="665" t="s">
        <v>14</v>
      </c>
      <c r="U42" s="666">
        <f t="shared" si="11"/>
        <v>100</v>
      </c>
      <c r="V42" s="665" t="s">
        <v>14</v>
      </c>
      <c r="W42" s="666">
        <f t="shared" si="12"/>
        <v>100</v>
      </c>
      <c r="X42" s="1262"/>
      <c r="Y42" s="3404"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04"/>
      <c r="Q43" s="1260">
        <f t="shared" si="14"/>
        <v>111</v>
      </c>
      <c r="R43" s="665" t="s">
        <v>14</v>
      </c>
      <c r="S43" s="666">
        <f t="shared" si="10"/>
        <v>100</v>
      </c>
      <c r="T43" s="665" t="s">
        <v>14</v>
      </c>
      <c r="U43" s="666">
        <f t="shared" si="11"/>
        <v>100</v>
      </c>
      <c r="V43" s="665" t="s">
        <v>14</v>
      </c>
      <c r="W43" s="666">
        <f t="shared" si="12"/>
        <v>100</v>
      </c>
      <c r="X43" s="1262"/>
      <c r="Y43" s="3404"/>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04"/>
      <c r="Q44" s="1260">
        <f t="shared" si="14"/>
        <v>111</v>
      </c>
      <c r="R44" s="665" t="s">
        <v>14</v>
      </c>
      <c r="S44" s="666">
        <f t="shared" si="10"/>
        <v>100</v>
      </c>
      <c r="T44" s="665" t="s">
        <v>14</v>
      </c>
      <c r="U44" s="666">
        <f t="shared" si="11"/>
        <v>100</v>
      </c>
      <c r="V44" s="665" t="s">
        <v>14</v>
      </c>
      <c r="W44" s="666">
        <f t="shared" si="12"/>
        <v>100</v>
      </c>
      <c r="X44" s="1262"/>
      <c r="Y44" s="3404"/>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04"/>
      <c r="Q45" s="1260">
        <f t="shared" si="14"/>
        <v>111</v>
      </c>
      <c r="R45" s="667" t="s">
        <v>14</v>
      </c>
      <c r="S45" s="668">
        <f t="shared" si="10"/>
        <v>100</v>
      </c>
      <c r="T45" s="667" t="s">
        <v>14</v>
      </c>
      <c r="U45" s="668">
        <f t="shared" si="11"/>
        <v>100</v>
      </c>
      <c r="V45" s="667" t="s">
        <v>14</v>
      </c>
      <c r="W45" s="668">
        <f t="shared" si="12"/>
        <v>100</v>
      </c>
      <c r="X45" s="669"/>
      <c r="Y45" s="3404"/>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00" t="str">
        <f>A46</f>
        <v>成交单价</v>
      </c>
      <c r="Q46" s="3400"/>
      <c r="R46" s="3405" t="e">
        <f>E46</f>
        <v>#REF!</v>
      </c>
      <c r="S46" s="3405"/>
      <c r="T46" s="3405" t="e">
        <f>G46</f>
        <v>#REF!</v>
      </c>
      <c r="U46" s="3405"/>
      <c r="V46" s="3405" t="e">
        <f>I46</f>
        <v>#REF!</v>
      </c>
      <c r="W46" s="3405"/>
      <c r="X46" s="384"/>
      <c r="Y46" s="671"/>
      <c r="Z46" s="384"/>
      <c r="AA46" s="384"/>
      <c r="AB46" s="384"/>
      <c r="AC46" s="384"/>
    </row>
    <row r="47" spans="1:29" ht="15.75" thickBot="1">
      <c r="A47" s="422" t="s">
        <v>1793</v>
      </c>
      <c r="B47" s="601"/>
      <c r="C47" s="425" t="e">
        <f>R48</f>
        <v>#REF!</v>
      </c>
      <c r="D47" s="2135" t="s">
        <v>3480</v>
      </c>
      <c r="E47" s="425" t="e">
        <f>R47</f>
        <v>#REF!</v>
      </c>
      <c r="F47" s="2136">
        <v>0.4</v>
      </c>
      <c r="G47" s="424" t="e">
        <f>T47</f>
        <v>#REF!</v>
      </c>
      <c r="H47" s="2136">
        <v>0.4</v>
      </c>
      <c r="I47" s="425" t="e">
        <f>V47</f>
        <v>#REF!</v>
      </c>
      <c r="J47" s="2136">
        <v>0.2</v>
      </c>
      <c r="K47" s="2138">
        <f>F47+H47+J47</f>
        <v>1</v>
      </c>
      <c r="L47" s="2485"/>
      <c r="M47" s="2478"/>
      <c r="N47" s="2478"/>
      <c r="O47" s="2478"/>
      <c r="P47" s="3400" t="str">
        <f>A47</f>
        <v>比较价值（元/平方米）</v>
      </c>
      <c r="Q47" s="3400"/>
      <c r="R47" s="3393" t="e">
        <f>ROUND(PRODUCT(R46,AA7:AA45),0)</f>
        <v>#REF!</v>
      </c>
      <c r="S47" s="3393"/>
      <c r="T47" s="3393" t="e">
        <f>ROUND(PRODUCT(T46,AB7:AB45),0)</f>
        <v>#REF!</v>
      </c>
      <c r="U47" s="3393"/>
      <c r="V47" s="3393" t="e">
        <f>ROUND(PRODUCT(V46,AC7:AC45),0)</f>
        <v>#REF!</v>
      </c>
      <c r="W47" s="3393"/>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394" t="str">
        <f>A48</f>
        <v>估价对象XX用房的比较价值（楼面单价，元/平方米）</v>
      </c>
      <c r="Q48" s="3395"/>
      <c r="R48" s="3396" t="e">
        <f>ROUND(IF(D47="简单平均",AVERAGE(R47:W47),R47*F47+T47*H47+V47*J47),0)</f>
        <v>#REF!</v>
      </c>
      <c r="S48" s="3396"/>
      <c r="T48" s="3396"/>
      <c r="U48" s="3396"/>
      <c r="V48" s="3396"/>
      <c r="W48" s="3396"/>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397" t="s">
        <v>1887</v>
      </c>
      <c r="H55" s="3398"/>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236.66</v>
      </c>
      <c r="F56" s="831" t="e">
        <f t="shared" ref="F56:F64" si="15">ROUND(B56*E56/10000,0)</f>
        <v>#REF!</v>
      </c>
      <c r="G56" s="3399"/>
      <c r="H56" s="3400"/>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0.6</v>
      </c>
      <c r="D57" s="889">
        <v>0.25</v>
      </c>
      <c r="E57" s="612"/>
      <c r="F57" s="831" t="e">
        <f t="shared" si="15"/>
        <v>#REF!</v>
      </c>
      <c r="G57" s="2739" t="s">
        <v>1892</v>
      </c>
      <c r="H57" s="832" t="str">
        <f>项目基本情况!B37</f>
        <v>四级</v>
      </c>
      <c r="I57" s="836">
        <f>SUMIF(修正!A57:A68,H57,修正!B57:B68)</f>
        <v>0.6</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0.3</v>
      </c>
      <c r="D58" s="889">
        <v>0.25</v>
      </c>
      <c r="E58" s="612"/>
      <c r="F58" s="831" t="e">
        <f t="shared" si="15"/>
        <v>#REF!</v>
      </c>
      <c r="G58" s="2740"/>
      <c r="H58" s="832" t="str">
        <f>项目基本情况!B37</f>
        <v>四级</v>
      </c>
      <c r="I58" s="836">
        <f>SUMIF(修正!A57:A68,H58,修正!C57:C68)</f>
        <v>0.3</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0.25</v>
      </c>
      <c r="D59" s="889">
        <v>0.25</v>
      </c>
      <c r="E59" s="612"/>
      <c r="F59" s="831" t="e">
        <f t="shared" si="15"/>
        <v>#REF!</v>
      </c>
      <c r="G59" s="2740"/>
      <c r="H59" s="832" t="str">
        <f>项目基本情况!B37</f>
        <v>四级</v>
      </c>
      <c r="I59" s="836">
        <f>SUMIF(修正!A57:A68,H59,修正!D57:D68)</f>
        <v>0.25</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0.15</v>
      </c>
      <c r="D63" s="889">
        <v>0.25</v>
      </c>
      <c r="E63" s="208">
        <f>'数据-汇总表'!E14</f>
        <v>0</v>
      </c>
      <c r="F63" s="831" t="e">
        <f t="shared" si="15"/>
        <v>#REF!</v>
      </c>
      <c r="G63" s="1829" t="s">
        <v>1892</v>
      </c>
      <c r="H63" s="832" t="str">
        <f>项目基本情况!B37</f>
        <v>四级</v>
      </c>
      <c r="I63" s="836">
        <f>SUMIF(修正!A57:A68,H63,修正!G57:G68)</f>
        <v>0.15</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236.66</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2024-4-1</v>
      </c>
      <c r="D67" s="654">
        <f>EDATE(C67,-3)</f>
        <v>45292</v>
      </c>
      <c r="E67" s="654">
        <f>EDATE(D67,-3)</f>
        <v>45200</v>
      </c>
      <c r="F67" s="654">
        <f t="shared" ref="F67:O67" si="18">EDATE(E67,-3)</f>
        <v>45108</v>
      </c>
      <c r="G67" s="654">
        <f t="shared" si="18"/>
        <v>45017</v>
      </c>
      <c r="H67" s="654">
        <f t="shared" si="18"/>
        <v>44927</v>
      </c>
      <c r="I67" s="654">
        <f t="shared" si="18"/>
        <v>44835</v>
      </c>
      <c r="J67" s="654">
        <f t="shared" si="18"/>
        <v>44743</v>
      </c>
      <c r="K67" s="654">
        <f t="shared" si="18"/>
        <v>44652</v>
      </c>
      <c r="L67" s="654">
        <f t="shared" si="18"/>
        <v>44562</v>
      </c>
      <c r="M67" s="654">
        <f t="shared" si="18"/>
        <v>44470</v>
      </c>
      <c r="N67" s="654">
        <f t="shared" si="18"/>
        <v>44378</v>
      </c>
      <c r="O67" s="654">
        <f t="shared" si="18"/>
        <v>44287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3447</v>
      </c>
      <c r="Q69" s="2501" t="s">
        <v>3448</v>
      </c>
      <c r="R69" s="2501" t="s">
        <v>3449</v>
      </c>
      <c r="S69" s="2501" t="s">
        <v>3450</v>
      </c>
      <c r="T69" s="2501" t="s">
        <v>3451</v>
      </c>
      <c r="U69" s="2501" t="s">
        <v>3452</v>
      </c>
      <c r="V69" s="2501" t="s">
        <v>3453</v>
      </c>
      <c r="W69" s="2501" t="s">
        <v>3454</v>
      </c>
      <c r="X69" s="2501" t="s">
        <v>3455</v>
      </c>
      <c r="Y69" s="2501" t="s">
        <v>3456</v>
      </c>
      <c r="Z69" s="2501" t="s">
        <v>3457</v>
      </c>
      <c r="AA69" s="2501" t="s">
        <v>3458</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3459</v>
      </c>
      <c r="D74" s="3135" t="s">
        <v>3476</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3461</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3468</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3462</v>
      </c>
      <c r="D122" s="3136" t="s">
        <v>3463</v>
      </c>
      <c r="E122" s="3136" t="s">
        <v>3464</v>
      </c>
      <c r="F122" s="3136" t="s">
        <v>3465</v>
      </c>
      <c r="G122" s="3136" t="s">
        <v>3466</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3467</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1" zoomScaleNormal="70" zoomScaleSheetLayoutView="10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771.12950000000001</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32584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4876831.0199999996</v>
      </c>
      <c r="D5" s="202" t="s">
        <v>1469</v>
      </c>
      <c r="E5" s="203" t="s">
        <v>1470</v>
      </c>
      <c r="F5" s="203" t="s">
        <v>1471</v>
      </c>
      <c r="G5" s="204"/>
    </row>
    <row r="6" spans="1:8" s="205" customFormat="1" ht="13.5" customHeight="1">
      <c r="A6" s="730" t="s">
        <v>1472</v>
      </c>
      <c r="B6" s="206" t="s">
        <v>1473</v>
      </c>
      <c r="C6" s="207">
        <f>基准地价修正!C33*基准地价修正!D33</f>
        <v>4732490.0199999996</v>
      </c>
      <c r="D6" s="208"/>
      <c r="E6" s="209"/>
      <c r="F6" s="209"/>
      <c r="G6" s="210"/>
    </row>
    <row r="7" spans="1:8" s="205" customFormat="1" ht="13.5" customHeight="1">
      <c r="A7" s="730" t="s">
        <v>1474</v>
      </c>
      <c r="B7" s="206" t="s">
        <v>1475</v>
      </c>
      <c r="C7" s="211">
        <f>ROUND(C6*F7,0)</f>
        <v>144341</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236.66</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236.66</v>
      </c>
      <c r="E19" s="202">
        <f>'数据-取费表'!B31</f>
        <v>200</v>
      </c>
      <c r="F19" s="222"/>
      <c r="G19" s="1711" t="s">
        <v>3437</v>
      </c>
    </row>
    <row r="20" spans="1:7" s="205" customFormat="1" ht="13.5" customHeight="1">
      <c r="A20" s="246" t="s">
        <v>1574</v>
      </c>
      <c r="B20" s="201" t="s">
        <v>1575</v>
      </c>
      <c r="C20" s="223">
        <f ca="1">ROUND((C5+C19)*F20,0)</f>
        <v>97537</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345671</v>
      </c>
      <c r="D22" s="226">
        <f ca="1">C26</f>
        <v>6.9999999999999999E-4</v>
      </c>
      <c r="E22" s="227" t="s">
        <v>1579</v>
      </c>
      <c r="F22" s="228">
        <f ca="1">'数据-取费表'!B40</f>
        <v>3.4500000000000003E-2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342306</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3365</v>
      </c>
      <c r="D25" s="229"/>
      <c r="E25" s="232"/>
      <c r="F25" s="230"/>
      <c r="G25" s="233" t="s">
        <v>1588</v>
      </c>
    </row>
    <row r="26" spans="1:7" s="205" customFormat="1">
      <c r="A26" s="732"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746155</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746155</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6572258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1160226</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1064970</v>
      </c>
      <c r="D34" s="208"/>
      <c r="E34" s="211"/>
      <c r="F34" s="248"/>
      <c r="G34" s="210"/>
    </row>
    <row r="35" spans="1:7" ht="13.5" customHeight="1">
      <c r="A35" s="732" t="s">
        <v>351</v>
      </c>
      <c r="B35" s="206" t="s">
        <v>1527</v>
      </c>
      <c r="C35" s="211">
        <f ca="1">ROUND(C34*F35,0)</f>
        <v>31949</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47332</v>
      </c>
      <c r="D37" s="208">
        <f ca="1">D19</f>
        <v>236.66</v>
      </c>
      <c r="E37" s="240">
        <f>'数据-取费表'!B35</f>
        <v>200</v>
      </c>
      <c r="F37" s="250"/>
      <c r="G37" s="252"/>
    </row>
    <row r="38" spans="1:7" ht="13.5" customHeight="1">
      <c r="A38" s="732" t="s">
        <v>354</v>
      </c>
      <c r="B38" s="206" t="s">
        <v>1533</v>
      </c>
      <c r="C38" s="211">
        <f ca="1">ROUND(C34*F38,0)</f>
        <v>15975</v>
      </c>
      <c r="D38" s="211"/>
      <c r="E38" s="211"/>
      <c r="F38" s="250">
        <f>'数据-取费表'!B36</f>
        <v>1.4999999999999999E-2</v>
      </c>
      <c r="G38" s="210" t="s">
        <v>1528</v>
      </c>
    </row>
    <row r="39" spans="1:7" s="205" customFormat="1" ht="13.5" customHeight="1">
      <c r="A39" s="246" t="s">
        <v>1534</v>
      </c>
      <c r="B39" s="201" t="s">
        <v>1535</v>
      </c>
      <c r="C39" s="223">
        <f ca="1">ROUND(C33*F20,0)</f>
        <v>23205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40829</v>
      </c>
      <c r="D41" s="226">
        <f ca="1">C44</f>
        <v>6.9999999999999999E-4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40028</v>
      </c>
      <c r="D42" s="229"/>
      <c r="E42" s="229"/>
      <c r="F42" s="230"/>
      <c r="G42" s="3371" t="s">
        <v>1591</v>
      </c>
    </row>
    <row r="43" spans="1:7" ht="13.5" customHeight="1">
      <c r="A43" s="732" t="s">
        <v>347</v>
      </c>
      <c r="B43" s="206" t="s">
        <v>1545</v>
      </c>
      <c r="C43" s="229">
        <f ca="1">ROUND(IF('数据-取费表'!B22&lt;=1,C39*F22*'数据-取费表'!B20/2,C39*(POWER((1+F22),'数据-取费表'!B20/2)-1)),0)</f>
        <v>801</v>
      </c>
      <c r="D43" s="229"/>
      <c r="E43" s="229"/>
      <c r="F43" s="230"/>
      <c r="G43" s="3372"/>
    </row>
    <row r="44" spans="1:7" ht="13.5" customHeight="1">
      <c r="A44" s="732" t="s">
        <v>348</v>
      </c>
      <c r="B44" s="206" t="s">
        <v>1546</v>
      </c>
      <c r="C44" s="229">
        <f ca="1">ROUND(IF('数据-取费表'!B22&lt;=1,C40*F22*'数据-取费表'!B20/2,C40*(POWER((1+F22),'数据-取费表'!B20/2)-1)),4)</f>
        <v>6.9999999999999999E-4</v>
      </c>
      <c r="D44" s="229"/>
      <c r="E44" s="229"/>
      <c r="F44" s="230"/>
      <c r="G44" s="3373"/>
    </row>
    <row r="45" spans="1:7" s="205" customFormat="1" ht="13.5" customHeight="1">
      <c r="A45" s="246" t="s">
        <v>1547</v>
      </c>
      <c r="B45" s="235" t="s">
        <v>1513</v>
      </c>
      <c r="C45" s="236">
        <f ca="1">C46</f>
        <v>177515</v>
      </c>
      <c r="D45" s="226">
        <f ca="1">C47</f>
        <v>3.0000000000000001E-3</v>
      </c>
      <c r="E45" s="227" t="s">
        <v>1539</v>
      </c>
      <c r="F45" s="237">
        <f ca="1">F27</f>
        <v>0.15</v>
      </c>
      <c r="G45" s="238" t="s">
        <v>1548</v>
      </c>
    </row>
    <row r="46" spans="1:7" s="205" customFormat="1" ht="13.5" customHeight="1">
      <c r="A46" s="732" t="s">
        <v>346</v>
      </c>
      <c r="B46" s="239" t="s">
        <v>1549</v>
      </c>
      <c r="C46" s="240">
        <f ca="1">ROUND((C33+C39)*F27,0)</f>
        <v>177515</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1518716</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1139037</v>
      </c>
      <c r="D51" s="223"/>
      <c r="E51" s="223"/>
      <c r="F51" s="255"/>
      <c r="G51" s="225" t="s">
        <v>1560</v>
      </c>
    </row>
    <row r="52" spans="1:7" s="199" customFormat="1" ht="16.5" thickBot="1">
      <c r="A52" s="256" t="s">
        <v>1561</v>
      </c>
      <c r="B52" s="257"/>
      <c r="C52" s="258">
        <f ca="1">C31+C51</f>
        <v>7711295</v>
      </c>
      <c r="D52" s="257"/>
      <c r="E52" s="257"/>
      <c r="F52" s="257"/>
      <c r="G52" s="259"/>
    </row>
    <row r="55" spans="1:7" ht="15">
      <c r="B55" s="261" t="s">
        <v>1562</v>
      </c>
      <c r="C55" s="262"/>
    </row>
    <row r="56" spans="1:7">
      <c r="B56" s="264" t="s">
        <v>802</v>
      </c>
      <c r="C56" s="266">
        <f ca="1">1-C57</f>
        <v>0.85199999999999998</v>
      </c>
    </row>
    <row r="57" spans="1:7">
      <c r="B57" s="264" t="s">
        <v>803</v>
      </c>
      <c r="C57" s="265">
        <f ca="1">ROUND(C51/C52,3)</f>
        <v>0.14799999999999999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236.66</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236.66</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236.66</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8464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397" t="s">
        <v>1667</v>
      </c>
      <c r="D4" s="3409"/>
      <c r="E4" s="3410" t="s">
        <v>1668</v>
      </c>
      <c r="F4" s="3411"/>
      <c r="G4" s="3397" t="s">
        <v>1669</v>
      </c>
      <c r="H4" s="3409"/>
      <c r="I4" s="3397" t="s">
        <v>1670</v>
      </c>
      <c r="J4" s="3409"/>
      <c r="K4" s="1741" t="s">
        <v>1671</v>
      </c>
      <c r="L4" s="2477"/>
      <c r="M4" s="2478"/>
      <c r="N4" s="2478"/>
      <c r="O4" s="2478"/>
      <c r="P4" s="3412" t="s">
        <v>1672</v>
      </c>
      <c r="Q4" s="3413"/>
      <c r="R4" s="3418" t="s">
        <v>1668</v>
      </c>
      <c r="S4" s="3419"/>
      <c r="T4" s="3418" t="s">
        <v>1669</v>
      </c>
      <c r="U4" s="3419"/>
      <c r="V4" s="3405" t="s">
        <v>1670</v>
      </c>
      <c r="W4" s="3405"/>
      <c r="X4" s="1262"/>
      <c r="Y4" s="3418" t="s">
        <v>1672</v>
      </c>
      <c r="Z4" s="3419"/>
      <c r="AA4" s="3406" t="s">
        <v>1668</v>
      </c>
      <c r="AB4" s="3406" t="s">
        <v>1669</v>
      </c>
      <c r="AC4" s="3406" t="s">
        <v>1670</v>
      </c>
    </row>
    <row r="5" spans="1:29" ht="15">
      <c r="A5" s="347"/>
      <c r="B5" s="348"/>
      <c r="C5" s="3442" t="s">
        <v>3384</v>
      </c>
      <c r="D5" s="3427"/>
      <c r="E5" s="3443" t="s">
        <v>3419</v>
      </c>
      <c r="F5" s="3434"/>
      <c r="G5" s="3442" t="s">
        <v>3420</v>
      </c>
      <c r="H5" s="3427"/>
      <c r="I5" s="3442" t="s">
        <v>3421</v>
      </c>
      <c r="J5" s="3427"/>
      <c r="K5" s="1742"/>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1742"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45392</v>
      </c>
      <c r="D7" s="354">
        <v>100</v>
      </c>
      <c r="E7" s="355">
        <f>C7</f>
        <v>45392</v>
      </c>
      <c r="F7" s="356">
        <f>SUMIF(58:58,YEAR(E7)&amp;"-"&amp;MONTH(E7),59:59)</f>
        <v>100</v>
      </c>
      <c r="G7" s="355">
        <f>C7</f>
        <v>45392</v>
      </c>
      <c r="H7" s="354">
        <f>SUMIF(58:58,YEAR(G7)&amp;"-"&amp;MONTH(G7),59:59)</f>
        <v>100</v>
      </c>
      <c r="I7" s="355">
        <f>C7</f>
        <v>45392</v>
      </c>
      <c r="J7" s="354">
        <f>SUMIF(58:58,YEAR(I7)&amp;"-"&amp;MONTH(I7),59:59)</f>
        <v>100</v>
      </c>
      <c r="K7" s="1743"/>
      <c r="L7" s="2479"/>
      <c r="M7" s="2431"/>
      <c r="N7" s="2431"/>
      <c r="O7" s="2431"/>
      <c r="P7" s="3428" t="s">
        <v>1680</v>
      </c>
      <c r="Q7" s="3430"/>
      <c r="R7" s="662" t="s">
        <v>20</v>
      </c>
      <c r="S7" s="663">
        <f t="shared" ref="S7:S15" si="0">F7</f>
        <v>100</v>
      </c>
      <c r="T7" s="662" t="s">
        <v>20</v>
      </c>
      <c r="U7" s="663">
        <f t="shared" ref="U7:U15" si="1">H7</f>
        <v>100</v>
      </c>
      <c r="V7" s="662" t="s">
        <v>20</v>
      </c>
      <c r="W7" s="663">
        <f t="shared" ref="W7:W15" si="2">J7</f>
        <v>100</v>
      </c>
      <c r="X7" s="664"/>
      <c r="Y7" s="3428" t="s">
        <v>1680</v>
      </c>
      <c r="Z7" s="3429"/>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428" t="s">
        <v>1683</v>
      </c>
      <c r="Q8" s="3429"/>
      <c r="R8" s="662" t="s">
        <v>20</v>
      </c>
      <c r="S8" s="663">
        <f t="shared" si="0"/>
        <v>100</v>
      </c>
      <c r="T8" s="662" t="s">
        <v>20</v>
      </c>
      <c r="U8" s="663">
        <f t="shared" si="1"/>
        <v>100</v>
      </c>
      <c r="V8" s="662" t="s">
        <v>20</v>
      </c>
      <c r="W8" s="663">
        <f t="shared" si="2"/>
        <v>100</v>
      </c>
      <c r="X8" s="664"/>
      <c r="Y8" s="3428" t="s">
        <v>1683</v>
      </c>
      <c r="Z8" s="3429"/>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399"/>
      <c r="Q11" s="529" t="str">
        <f t="shared" si="6"/>
        <v>容积率</v>
      </c>
      <c r="R11" s="662" t="s">
        <v>18</v>
      </c>
      <c r="S11" s="663">
        <f t="shared" si="0"/>
        <v>103</v>
      </c>
      <c r="T11" s="662" t="s">
        <v>18</v>
      </c>
      <c r="U11" s="663">
        <f t="shared" si="1"/>
        <v>103</v>
      </c>
      <c r="V11" s="662" t="s">
        <v>18</v>
      </c>
      <c r="W11" s="663">
        <f t="shared" si="2"/>
        <v>103</v>
      </c>
      <c r="X11" s="664"/>
      <c r="Y11" s="3278"/>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399"/>
      <c r="Q12" s="529">
        <f t="shared" si="6"/>
        <v>111</v>
      </c>
      <c r="R12" s="662" t="s">
        <v>18</v>
      </c>
      <c r="S12" s="663">
        <f t="shared" si="0"/>
        <v>100</v>
      </c>
      <c r="T12" s="662" t="s">
        <v>18</v>
      </c>
      <c r="U12" s="663">
        <f t="shared" si="1"/>
        <v>100</v>
      </c>
      <c r="V12" s="662" t="s">
        <v>18</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399"/>
      <c r="Q13" s="529">
        <f t="shared" si="6"/>
        <v>111</v>
      </c>
      <c r="R13" s="662" t="s">
        <v>18</v>
      </c>
      <c r="S13" s="663">
        <f t="shared" si="0"/>
        <v>100</v>
      </c>
      <c r="T13" s="662" t="s">
        <v>18</v>
      </c>
      <c r="U13" s="663">
        <f t="shared" si="1"/>
        <v>100</v>
      </c>
      <c r="V13" s="662" t="s">
        <v>18</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399"/>
      <c r="Q14" s="529">
        <f t="shared" si="6"/>
        <v>111</v>
      </c>
      <c r="R14" s="662" t="s">
        <v>18</v>
      </c>
      <c r="S14" s="663">
        <f t="shared" si="0"/>
        <v>100</v>
      </c>
      <c r="T14" s="662" t="s">
        <v>18</v>
      </c>
      <c r="U14" s="663">
        <f t="shared" si="1"/>
        <v>100</v>
      </c>
      <c r="V14" s="662" t="s">
        <v>18</v>
      </c>
      <c r="W14" s="663">
        <f t="shared" si="2"/>
        <v>100</v>
      </c>
      <c r="X14" s="664"/>
      <c r="Y14" s="3278"/>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40" t="s">
        <v>1691</v>
      </c>
      <c r="Q15" s="1260" t="str">
        <f t="shared" si="6"/>
        <v>居住社区成熟度</v>
      </c>
      <c r="R15" s="665" t="s">
        <v>18</v>
      </c>
      <c r="S15" s="666">
        <f t="shared" si="0"/>
        <v>100</v>
      </c>
      <c r="T15" s="665" t="s">
        <v>18</v>
      </c>
      <c r="U15" s="666">
        <f t="shared" si="1"/>
        <v>100</v>
      </c>
      <c r="V15" s="665" t="s">
        <v>18</v>
      </c>
      <c r="W15" s="666">
        <f t="shared" si="2"/>
        <v>100</v>
      </c>
      <c r="X15" s="1262"/>
      <c r="Y15" s="3401"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41"/>
      <c r="Q16" s="1260"/>
      <c r="R16" s="665"/>
      <c r="S16" s="666"/>
      <c r="T16" s="665"/>
      <c r="U16" s="666"/>
      <c r="V16" s="665"/>
      <c r="W16" s="666"/>
      <c r="X16" s="1262"/>
      <c r="Y16" s="3402"/>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1"/>
      <c r="Q17" s="1260" t="str">
        <f>B17</f>
        <v>交通便捷度</v>
      </c>
      <c r="R17" s="665" t="s">
        <v>18</v>
      </c>
      <c r="S17" s="666">
        <f>F17</f>
        <v>100</v>
      </c>
      <c r="T17" s="665" t="s">
        <v>18</v>
      </c>
      <c r="U17" s="666">
        <f>H17</f>
        <v>100</v>
      </c>
      <c r="V17" s="665" t="s">
        <v>18</v>
      </c>
      <c r="W17" s="666">
        <f>J17</f>
        <v>100</v>
      </c>
      <c r="X17" s="1262"/>
      <c r="Y17" s="3402"/>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41"/>
      <c r="Q18" s="1260"/>
      <c r="R18" s="665"/>
      <c r="S18" s="666"/>
      <c r="T18" s="665"/>
      <c r="U18" s="666"/>
      <c r="V18" s="665"/>
      <c r="W18" s="666"/>
      <c r="X18" s="1262"/>
      <c r="Y18" s="3402"/>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1"/>
      <c r="Q19" s="1260" t="str">
        <f>B19</f>
        <v>公共配套设施</v>
      </c>
      <c r="R19" s="665" t="s">
        <v>18</v>
      </c>
      <c r="S19" s="666">
        <f>F19</f>
        <v>100</v>
      </c>
      <c r="T19" s="665" t="s">
        <v>18</v>
      </c>
      <c r="U19" s="666">
        <f>H19</f>
        <v>100</v>
      </c>
      <c r="V19" s="665" t="s">
        <v>18</v>
      </c>
      <c r="W19" s="666">
        <f>J19</f>
        <v>100</v>
      </c>
      <c r="X19" s="1262"/>
      <c r="Y19" s="3402"/>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41"/>
      <c r="Q20" s="1260"/>
      <c r="R20" s="665"/>
      <c r="S20" s="666"/>
      <c r="T20" s="665"/>
      <c r="U20" s="666"/>
      <c r="V20" s="665"/>
      <c r="W20" s="666"/>
      <c r="X20" s="1262"/>
      <c r="Y20" s="3402"/>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41"/>
      <c r="Q22" s="1260"/>
      <c r="R22" s="665"/>
      <c r="S22" s="666"/>
      <c r="T22" s="665"/>
      <c r="U22" s="666"/>
      <c r="V22" s="665"/>
      <c r="W22" s="666"/>
      <c r="X22" s="1262"/>
      <c r="Y22" s="3402"/>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1"/>
      <c r="Q23" s="1260" t="str">
        <f>B23</f>
        <v>自然及人文环境</v>
      </c>
      <c r="R23" s="665" t="s">
        <v>18</v>
      </c>
      <c r="S23" s="666">
        <f>F23</f>
        <v>100</v>
      </c>
      <c r="T23" s="665" t="s">
        <v>18</v>
      </c>
      <c r="U23" s="666">
        <f>H23</f>
        <v>100</v>
      </c>
      <c r="V23" s="665" t="s">
        <v>18</v>
      </c>
      <c r="W23" s="666">
        <f>J23</f>
        <v>100</v>
      </c>
      <c r="X23" s="1262"/>
      <c r="Y23" s="3402"/>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41"/>
      <c r="Q24" s="1260"/>
      <c r="R24" s="665"/>
      <c r="S24" s="666"/>
      <c r="T24" s="665"/>
      <c r="U24" s="666"/>
      <c r="V24" s="665"/>
      <c r="W24" s="666"/>
      <c r="X24" s="1262"/>
      <c r="Y24" s="3402"/>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2"/>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1"/>
      <c r="Q26" s="1260" t="str">
        <f t="shared" si="11"/>
        <v>朝向</v>
      </c>
      <c r="R26" s="665" t="s">
        <v>18</v>
      </c>
      <c r="S26" s="666">
        <f t="shared" si="12"/>
        <v>100</v>
      </c>
      <c r="T26" s="665" t="s">
        <v>18</v>
      </c>
      <c r="U26" s="666">
        <f t="shared" si="13"/>
        <v>100</v>
      </c>
      <c r="V26" s="665" t="s">
        <v>18</v>
      </c>
      <c r="W26" s="666">
        <f t="shared" si="14"/>
        <v>100</v>
      </c>
      <c r="X26" s="1262"/>
      <c r="Y26" s="3402"/>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1"/>
      <c r="Q27" s="529">
        <f t="shared" si="11"/>
        <v>111</v>
      </c>
      <c r="R27" s="662" t="s">
        <v>18</v>
      </c>
      <c r="S27" s="663">
        <f t="shared" si="12"/>
        <v>100</v>
      </c>
      <c r="T27" s="662" t="s">
        <v>18</v>
      </c>
      <c r="U27" s="663">
        <f t="shared" si="13"/>
        <v>100</v>
      </c>
      <c r="V27" s="662" t="s">
        <v>18</v>
      </c>
      <c r="W27" s="663">
        <f t="shared" si="14"/>
        <v>100</v>
      </c>
      <c r="X27" s="664"/>
      <c r="Y27" s="3402"/>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1"/>
      <c r="Q28" s="1260">
        <f t="shared" si="11"/>
        <v>111</v>
      </c>
      <c r="R28" s="665" t="s">
        <v>18</v>
      </c>
      <c r="S28" s="666">
        <f t="shared" si="12"/>
        <v>100</v>
      </c>
      <c r="T28" s="665" t="s">
        <v>18</v>
      </c>
      <c r="U28" s="666">
        <f t="shared" si="13"/>
        <v>100</v>
      </c>
      <c r="V28" s="665" t="s">
        <v>18</v>
      </c>
      <c r="W28" s="666">
        <f t="shared" si="14"/>
        <v>100</v>
      </c>
      <c r="X28" s="1262"/>
      <c r="Y28" s="3402"/>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1"/>
      <c r="Q29" s="1260">
        <f t="shared" si="11"/>
        <v>111</v>
      </c>
      <c r="R29" s="665" t="s">
        <v>18</v>
      </c>
      <c r="S29" s="666">
        <f t="shared" si="12"/>
        <v>100</v>
      </c>
      <c r="T29" s="665" t="s">
        <v>18</v>
      </c>
      <c r="U29" s="666">
        <f t="shared" si="13"/>
        <v>100</v>
      </c>
      <c r="V29" s="665" t="s">
        <v>18</v>
      </c>
      <c r="W29" s="666">
        <f t="shared" si="14"/>
        <v>100</v>
      </c>
      <c r="X29" s="1262"/>
      <c r="Y29" s="3402"/>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1"/>
      <c r="Q30" s="1260">
        <f t="shared" si="11"/>
        <v>111</v>
      </c>
      <c r="R30" s="665" t="s">
        <v>18</v>
      </c>
      <c r="S30" s="666">
        <f t="shared" si="12"/>
        <v>100</v>
      </c>
      <c r="T30" s="665" t="s">
        <v>18</v>
      </c>
      <c r="U30" s="666">
        <f t="shared" si="13"/>
        <v>100</v>
      </c>
      <c r="V30" s="665" t="s">
        <v>18</v>
      </c>
      <c r="W30" s="666">
        <f t="shared" si="14"/>
        <v>100</v>
      </c>
      <c r="X30" s="1262"/>
      <c r="Y30" s="3402"/>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1"/>
      <c r="Q31" s="1260">
        <f t="shared" si="11"/>
        <v>111</v>
      </c>
      <c r="R31" s="665" t="s">
        <v>18</v>
      </c>
      <c r="S31" s="666">
        <f t="shared" si="12"/>
        <v>100</v>
      </c>
      <c r="T31" s="665" t="s">
        <v>18</v>
      </c>
      <c r="U31" s="666">
        <f t="shared" si="13"/>
        <v>100</v>
      </c>
      <c r="V31" s="665" t="s">
        <v>18</v>
      </c>
      <c r="W31" s="666">
        <f t="shared" si="14"/>
        <v>100</v>
      </c>
      <c r="X31" s="1262"/>
      <c r="Y31" s="3402"/>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6" t="s">
        <v>1696</v>
      </c>
      <c r="Q32" s="1260" t="str">
        <f t="shared" si="11"/>
        <v>建筑类型</v>
      </c>
      <c r="R32" s="665" t="s">
        <v>18</v>
      </c>
      <c r="S32" s="666">
        <f t="shared" si="12"/>
        <v>100</v>
      </c>
      <c r="T32" s="665" t="s">
        <v>18</v>
      </c>
      <c r="U32" s="666">
        <f t="shared" si="13"/>
        <v>100</v>
      </c>
      <c r="V32" s="665" t="s">
        <v>18</v>
      </c>
      <c r="W32" s="666">
        <f t="shared" si="14"/>
        <v>100</v>
      </c>
      <c r="X32" s="1262"/>
      <c r="Y32" s="3404"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7"/>
      <c r="Q33" s="530" t="str">
        <f t="shared" si="11"/>
        <v>项目建筑规模</v>
      </c>
      <c r="R33" s="667" t="s">
        <v>18</v>
      </c>
      <c r="S33" s="668">
        <f t="shared" si="12"/>
        <v>100</v>
      </c>
      <c r="T33" s="667" t="s">
        <v>18</v>
      </c>
      <c r="U33" s="668">
        <f t="shared" si="13"/>
        <v>100</v>
      </c>
      <c r="V33" s="667" t="s">
        <v>18</v>
      </c>
      <c r="W33" s="668">
        <f t="shared" si="14"/>
        <v>100</v>
      </c>
      <c r="X33" s="669"/>
      <c r="Y33" s="3404"/>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7"/>
      <c r="Q34" s="1260" t="str">
        <f t="shared" si="11"/>
        <v>建筑结构</v>
      </c>
      <c r="R34" s="665" t="s">
        <v>18</v>
      </c>
      <c r="S34" s="666">
        <f t="shared" si="12"/>
        <v>100</v>
      </c>
      <c r="T34" s="665" t="s">
        <v>18</v>
      </c>
      <c r="U34" s="666">
        <f t="shared" si="13"/>
        <v>100</v>
      </c>
      <c r="V34" s="665" t="s">
        <v>18</v>
      </c>
      <c r="W34" s="666">
        <f t="shared" si="14"/>
        <v>100</v>
      </c>
      <c r="X34" s="1262"/>
      <c r="Y34" s="3404"/>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7"/>
      <c r="Q35" s="1260" t="str">
        <f t="shared" si="11"/>
        <v>建筑品质</v>
      </c>
      <c r="R35" s="665" t="s">
        <v>18</v>
      </c>
      <c r="S35" s="666">
        <f t="shared" si="12"/>
        <v>100</v>
      </c>
      <c r="T35" s="665" t="s">
        <v>18</v>
      </c>
      <c r="U35" s="666">
        <f t="shared" si="13"/>
        <v>100</v>
      </c>
      <c r="V35" s="665" t="s">
        <v>18</v>
      </c>
      <c r="W35" s="666">
        <f t="shared" si="14"/>
        <v>100</v>
      </c>
      <c r="X35" s="1262"/>
      <c r="Y35" s="3404"/>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7"/>
      <c r="Q36" s="1260" t="str">
        <f t="shared" si="11"/>
        <v>公共部分装修</v>
      </c>
      <c r="R36" s="665" t="s">
        <v>18</v>
      </c>
      <c r="S36" s="666">
        <f t="shared" si="12"/>
        <v>100</v>
      </c>
      <c r="T36" s="665" t="s">
        <v>18</v>
      </c>
      <c r="U36" s="666">
        <f t="shared" si="13"/>
        <v>100</v>
      </c>
      <c r="V36" s="665" t="s">
        <v>18</v>
      </c>
      <c r="W36" s="666">
        <f t="shared" si="14"/>
        <v>100</v>
      </c>
      <c r="X36" s="1262"/>
      <c r="Y36" s="3404"/>
      <c r="Z36" s="1261" t="str">
        <f t="shared" si="18"/>
        <v>公共部分装修</v>
      </c>
      <c r="AA36" s="1261">
        <f t="shared" si="15"/>
        <v>1</v>
      </c>
      <c r="AB36" s="1261">
        <f t="shared" si="16"/>
        <v>1</v>
      </c>
      <c r="AC36" s="1261">
        <f t="shared" si="17"/>
        <v>1</v>
      </c>
    </row>
    <row r="37" spans="1:29" s="101" customFormat="1" ht="15">
      <c r="A37" s="409"/>
      <c r="B37" s="363" t="s">
        <v>1701</v>
      </c>
      <c r="C37" s="410">
        <f>'数据-取费表'!N6</f>
        <v>0.75</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9"/>
      <c r="M37" s="2431"/>
      <c r="N37" s="2431"/>
      <c r="O37" s="2431"/>
      <c r="P37" s="3437"/>
      <c r="Q37" s="529" t="str">
        <f t="shared" si="11"/>
        <v>成新度</v>
      </c>
      <c r="R37" s="662" t="s">
        <v>18</v>
      </c>
      <c r="S37" s="663">
        <f t="shared" si="12"/>
        <v>104</v>
      </c>
      <c r="T37" s="662" t="s">
        <v>18</v>
      </c>
      <c r="U37" s="663">
        <f t="shared" si="13"/>
        <v>104</v>
      </c>
      <c r="V37" s="662" t="s">
        <v>18</v>
      </c>
      <c r="W37" s="663">
        <f t="shared" si="14"/>
        <v>104</v>
      </c>
      <c r="X37" s="664"/>
      <c r="Y37" s="3404"/>
      <c r="Z37" s="50" t="str">
        <f t="shared" si="18"/>
        <v>成新度</v>
      </c>
      <c r="AA37" s="50">
        <f t="shared" si="15"/>
        <v>0.96153846153846156</v>
      </c>
      <c r="AB37" s="50">
        <f t="shared" si="16"/>
        <v>0.96153846153846156</v>
      </c>
      <c r="AC37" s="50">
        <f t="shared" si="17"/>
        <v>0.96153846153846156</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7" t="s">
        <v>1696</v>
      </c>
      <c r="Q38" s="1260" t="str">
        <f t="shared" si="11"/>
        <v>物业管理</v>
      </c>
      <c r="R38" s="665" t="s">
        <v>18</v>
      </c>
      <c r="S38" s="666">
        <f t="shared" si="12"/>
        <v>100</v>
      </c>
      <c r="T38" s="665" t="s">
        <v>18</v>
      </c>
      <c r="U38" s="666">
        <f t="shared" si="13"/>
        <v>100</v>
      </c>
      <c r="V38" s="665" t="s">
        <v>18</v>
      </c>
      <c r="W38" s="666">
        <f t="shared" si="14"/>
        <v>100</v>
      </c>
      <c r="X38" s="1262"/>
      <c r="Y38" s="3404"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7"/>
      <c r="Q39" s="1260" t="str">
        <f t="shared" si="11"/>
        <v>市政基础设施</v>
      </c>
      <c r="R39" s="665" t="s">
        <v>18</v>
      </c>
      <c r="S39" s="666">
        <f t="shared" si="12"/>
        <v>100</v>
      </c>
      <c r="T39" s="665" t="s">
        <v>18</v>
      </c>
      <c r="U39" s="666">
        <f t="shared" si="13"/>
        <v>100</v>
      </c>
      <c r="V39" s="665" t="s">
        <v>18</v>
      </c>
      <c r="W39" s="666">
        <f t="shared" si="14"/>
        <v>100</v>
      </c>
      <c r="X39" s="1262"/>
      <c r="Y39" s="3404"/>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7"/>
      <c r="Q40" s="1260" t="str">
        <f t="shared" si="11"/>
        <v>房型</v>
      </c>
      <c r="R40" s="665" t="s">
        <v>18</v>
      </c>
      <c r="S40" s="666">
        <f t="shared" si="12"/>
        <v>100</v>
      </c>
      <c r="T40" s="665" t="s">
        <v>18</v>
      </c>
      <c r="U40" s="666">
        <f t="shared" si="13"/>
        <v>100</v>
      </c>
      <c r="V40" s="665" t="s">
        <v>18</v>
      </c>
      <c r="W40" s="666">
        <f t="shared" si="14"/>
        <v>100</v>
      </c>
      <c r="X40" s="1262"/>
      <c r="Y40" s="3404"/>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7"/>
      <c r="Q41" s="530" t="str">
        <f t="shared" si="11"/>
        <v>单套/主力户型建筑面积</v>
      </c>
      <c r="R41" s="667" t="s">
        <v>18</v>
      </c>
      <c r="S41" s="668">
        <f t="shared" si="12"/>
        <v>100</v>
      </c>
      <c r="T41" s="667" t="s">
        <v>18</v>
      </c>
      <c r="U41" s="668">
        <f t="shared" si="13"/>
        <v>100</v>
      </c>
      <c r="V41" s="667" t="s">
        <v>18</v>
      </c>
      <c r="W41" s="668">
        <f t="shared" si="14"/>
        <v>100</v>
      </c>
      <c r="X41" s="669"/>
      <c r="Y41" s="3404"/>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7"/>
      <c r="Q42" s="1260" t="str">
        <f t="shared" si="11"/>
        <v>内部装修</v>
      </c>
      <c r="R42" s="665" t="s">
        <v>18</v>
      </c>
      <c r="S42" s="666">
        <f t="shared" si="12"/>
        <v>100</v>
      </c>
      <c r="T42" s="665" t="s">
        <v>18</v>
      </c>
      <c r="U42" s="666">
        <f t="shared" si="13"/>
        <v>100</v>
      </c>
      <c r="V42" s="665" t="s">
        <v>18</v>
      </c>
      <c r="W42" s="666">
        <f t="shared" si="14"/>
        <v>100</v>
      </c>
      <c r="X42" s="1262"/>
      <c r="Y42" s="3404"/>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7"/>
      <c r="Q43" s="1260" t="str">
        <f t="shared" si="11"/>
        <v>内部装修维护情况</v>
      </c>
      <c r="R43" s="665" t="s">
        <v>18</v>
      </c>
      <c r="S43" s="666">
        <f t="shared" si="12"/>
        <v>100</v>
      </c>
      <c r="T43" s="665" t="s">
        <v>18</v>
      </c>
      <c r="U43" s="666">
        <f t="shared" si="13"/>
        <v>100</v>
      </c>
      <c r="V43" s="665" t="s">
        <v>18</v>
      </c>
      <c r="W43" s="666">
        <f t="shared" si="14"/>
        <v>100</v>
      </c>
      <c r="X43" s="1262"/>
      <c r="Y43" s="3404"/>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7"/>
      <c r="Q44" s="529">
        <f t="shared" si="11"/>
        <v>111</v>
      </c>
      <c r="R44" s="662" t="s">
        <v>18</v>
      </c>
      <c r="S44" s="663">
        <f t="shared" si="12"/>
        <v>100</v>
      </c>
      <c r="T44" s="662" t="s">
        <v>18</v>
      </c>
      <c r="U44" s="663">
        <f t="shared" si="13"/>
        <v>100</v>
      </c>
      <c r="V44" s="662" t="s">
        <v>18</v>
      </c>
      <c r="W44" s="663">
        <f t="shared" si="14"/>
        <v>100</v>
      </c>
      <c r="X44" s="664"/>
      <c r="Y44" s="3404"/>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7"/>
      <c r="Q45" s="1260">
        <f t="shared" si="11"/>
        <v>111</v>
      </c>
      <c r="R45" s="665" t="s">
        <v>18</v>
      </c>
      <c r="S45" s="666">
        <f t="shared" si="12"/>
        <v>100</v>
      </c>
      <c r="T45" s="665" t="s">
        <v>18</v>
      </c>
      <c r="U45" s="666">
        <f t="shared" si="13"/>
        <v>100</v>
      </c>
      <c r="V45" s="665" t="s">
        <v>18</v>
      </c>
      <c r="W45" s="666">
        <f t="shared" si="14"/>
        <v>100</v>
      </c>
      <c r="X45" s="1262"/>
      <c r="Y45" s="3404"/>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8"/>
      <c r="Q46" s="1260">
        <f t="shared" si="11"/>
        <v>111</v>
      </c>
      <c r="R46" s="665" t="s">
        <v>17</v>
      </c>
      <c r="S46" s="666">
        <f t="shared" si="12"/>
        <v>100</v>
      </c>
      <c r="T46" s="665" t="s">
        <v>17</v>
      </c>
      <c r="U46" s="666">
        <f t="shared" si="13"/>
        <v>100</v>
      </c>
      <c r="V46" s="665" t="s">
        <v>17</v>
      </c>
      <c r="W46" s="666">
        <f t="shared" si="14"/>
        <v>100</v>
      </c>
      <c r="X46" s="1262"/>
      <c r="Y46" s="3439"/>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00" t="str">
        <f>A47</f>
        <v>成交单价（元/平方米）</v>
      </c>
      <c r="Q47" s="3400"/>
      <c r="R47" s="3405">
        <f>E47</f>
        <v>8800</v>
      </c>
      <c r="S47" s="3405"/>
      <c r="T47" s="3405">
        <f>G47</f>
        <v>9500</v>
      </c>
      <c r="U47" s="3405"/>
      <c r="V47" s="3405">
        <f>I47</f>
        <v>8900</v>
      </c>
      <c r="W47" s="3405"/>
      <c r="X47" s="384"/>
      <c r="Y47" s="671"/>
      <c r="Z47" s="384"/>
      <c r="AA47" s="384"/>
      <c r="AB47" s="384"/>
      <c r="AC47" s="384"/>
    </row>
    <row r="48" spans="1:29" ht="15.75" thickBot="1">
      <c r="A48" s="422" t="s">
        <v>1709</v>
      </c>
      <c r="B48" s="423"/>
      <c r="C48" s="1080">
        <f>R49</f>
        <v>8464</v>
      </c>
      <c r="D48" s="2135" t="s">
        <v>2137</v>
      </c>
      <c r="E48" s="1081">
        <f>R48</f>
        <v>8215</v>
      </c>
      <c r="F48" s="2136"/>
      <c r="G48" s="1080">
        <f>T48</f>
        <v>8869</v>
      </c>
      <c r="H48" s="2136"/>
      <c r="I48" s="1081">
        <f>V48</f>
        <v>8308</v>
      </c>
      <c r="J48" s="2136"/>
      <c r="K48" s="2137">
        <f>F48+H48+J48</f>
        <v>0</v>
      </c>
      <c r="L48" s="2485"/>
      <c r="M48" s="2478"/>
      <c r="N48" s="2478"/>
      <c r="O48" s="2478"/>
      <c r="P48" s="3400" t="str">
        <f>A48</f>
        <v>比较价值（元/平方米）</v>
      </c>
      <c r="Q48" s="3400"/>
      <c r="R48" s="3405">
        <f>IF(F1="售价",ROUND(PRODUCT(R47,AA7:AA46),0),ROUND(PRODUCT(R47,AA7:AA46),1))</f>
        <v>8215</v>
      </c>
      <c r="S48" s="3405"/>
      <c r="T48" s="3405">
        <f>IF(F1="售价",ROUND(PRODUCT(T47,AB7:AB46),0),ROUND(PRODUCT(T47,AB7:AB46),1))</f>
        <v>8869</v>
      </c>
      <c r="U48" s="3405"/>
      <c r="V48" s="3405">
        <f>IF(F1="售价",ROUND(PRODUCT(V47,AC7:AC46),0),ROUND(PRODUCT(V47,AC7:AC46),1))</f>
        <v>8308</v>
      </c>
      <c r="W48" s="3405"/>
      <c r="X48" s="384"/>
      <c r="Y48" s="384"/>
      <c r="Z48" s="384"/>
      <c r="AA48" s="384"/>
      <c r="AB48" s="384"/>
      <c r="AC48" s="384"/>
    </row>
    <row r="49" spans="1:29" ht="15.75" thickBot="1">
      <c r="A49" s="426" t="s">
        <v>1710</v>
      </c>
      <c r="B49" s="427"/>
      <c r="C49" s="1082">
        <f>R49</f>
        <v>8464</v>
      </c>
      <c r="D49" s="350"/>
      <c r="E49" s="350"/>
      <c r="F49" s="350"/>
      <c r="G49" s="350"/>
      <c r="H49" s="350"/>
      <c r="I49" s="350"/>
      <c r="J49" s="350"/>
      <c r="K49" s="1762"/>
      <c r="L49" s="2485"/>
      <c r="M49" s="2478"/>
      <c r="N49" s="2478"/>
      <c r="O49" s="2478"/>
      <c r="P49" s="3394" t="str">
        <f>A49</f>
        <v>估价对象XX用房的比较价值（楼面单价，元/平方米）</v>
      </c>
      <c r="Q49" s="3395"/>
      <c r="R49" s="3435">
        <f>IF(F1="售价",ROUND(IF(D48="简单平均",AVERAGE(R48:V48),R48*F48+T48*H48+V48*J48),0),ROUND(IF(D48="简单平均",AVERAGE(R48:V48),R48*F48+T48*H48+V48*J48),1))</f>
        <v>8464</v>
      </c>
      <c r="S49" s="3435"/>
      <c r="T49" s="3435"/>
      <c r="U49" s="3435"/>
      <c r="V49" s="3435"/>
      <c r="W49" s="3435"/>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90"/>
      <c r="L52" s="2486"/>
      <c r="M52" s="2478"/>
      <c r="N52" s="2478"/>
      <c r="O52" s="2478"/>
    </row>
    <row r="53" spans="1:29" ht="13.5" customHeight="1">
      <c r="A53" s="2478"/>
      <c r="B53" s="2478"/>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2024-4</v>
      </c>
      <c r="D58" s="1101">
        <f>EDATE(C58,-1)</f>
        <v>45352</v>
      </c>
      <c r="E58" s="1101">
        <f>EDATE(D58,-1)</f>
        <v>45323</v>
      </c>
      <c r="F58" s="1101">
        <f t="shared" ref="F58:O58" si="19">EDATE(E58,-1)</f>
        <v>45292</v>
      </c>
      <c r="G58" s="1101">
        <f t="shared" si="19"/>
        <v>45261</v>
      </c>
      <c r="H58" s="1101">
        <f t="shared" si="19"/>
        <v>45231</v>
      </c>
      <c r="I58" s="1101">
        <f t="shared" si="19"/>
        <v>45200</v>
      </c>
      <c r="J58" s="1101">
        <f t="shared" si="19"/>
        <v>45170</v>
      </c>
      <c r="K58" s="1101">
        <f t="shared" si="19"/>
        <v>45139</v>
      </c>
      <c r="L58" s="1101">
        <f t="shared" si="19"/>
        <v>45108</v>
      </c>
      <c r="M58" s="1101">
        <f t="shared" si="19"/>
        <v>45078</v>
      </c>
      <c r="N58" s="1101">
        <f t="shared" si="19"/>
        <v>45047</v>
      </c>
      <c r="O58" s="1101">
        <f t="shared" si="19"/>
        <v>45017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50" t="s">
        <v>2316</v>
      </c>
      <c r="K2" s="3451"/>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52" t="s">
        <v>2326</v>
      </c>
      <c r="K3" s="3453"/>
      <c r="L3" s="2598"/>
      <c r="M3" s="2598"/>
      <c r="N3" s="2598"/>
      <c r="O3" s="2598"/>
      <c r="P3" s="2598">
        <f>B4</f>
        <v>236.66</v>
      </c>
      <c r="Q3" s="2599"/>
      <c r="R3" s="2600">
        <f>SUM(L3:Q3)</f>
        <v>236.66</v>
      </c>
      <c r="S3" s="2583"/>
      <c r="T3" s="2583"/>
      <c r="U3" s="2583"/>
      <c r="V3" s="2591"/>
    </row>
    <row r="4" spans="1:22" s="2595" customFormat="1" ht="13.15" customHeight="1">
      <c r="A4" s="2601" t="s">
        <v>2327</v>
      </c>
      <c r="B4" s="2602">
        <f>'数据-汇总表'!E3</f>
        <v>236.66</v>
      </c>
      <c r="C4" s="2586"/>
      <c r="D4" s="2586"/>
      <c r="E4" s="2587"/>
      <c r="F4" s="2588"/>
      <c r="G4" s="2589"/>
      <c r="H4" s="2590"/>
      <c r="I4" s="2591"/>
      <c r="J4" s="3452" t="s">
        <v>2328</v>
      </c>
      <c r="K4" s="3453"/>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39.1</v>
      </c>
      <c r="V5" s="2591"/>
    </row>
    <row r="6" spans="1:22" s="2595" customFormat="1" ht="13.15" customHeight="1" thickBot="1">
      <c r="A6" s="3458" t="s">
        <v>2332</v>
      </c>
      <c r="B6" s="3459"/>
      <c r="C6" s="3460"/>
      <c r="D6" s="2612" t="e">
        <f>E44</f>
        <v>#DIV/0!</v>
      </c>
      <c r="E6" s="2613"/>
      <c r="F6" s="2614"/>
      <c r="G6" s="2615"/>
      <c r="H6" s="2590"/>
      <c r="I6" s="2591"/>
      <c r="J6" s="3444">
        <v>1</v>
      </c>
      <c r="K6" s="3445" t="s">
        <v>2333</v>
      </c>
      <c r="L6" s="2616" t="s">
        <v>2334</v>
      </c>
      <c r="M6" s="2617" t="s">
        <v>2335</v>
      </c>
      <c r="N6" s="2617" t="s">
        <v>2336</v>
      </c>
      <c r="O6" s="2617" t="s">
        <v>2337</v>
      </c>
      <c r="P6" s="2617" t="s">
        <v>2338</v>
      </c>
      <c r="Q6" s="2617" t="s">
        <v>2339</v>
      </c>
      <c r="R6" s="2600" t="s">
        <v>2340</v>
      </c>
      <c r="S6" s="3146" t="s">
        <v>3471</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44"/>
      <c r="K7" s="3446"/>
      <c r="L7" s="3140" t="s">
        <v>3469</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61" t="s">
        <v>2345</v>
      </c>
      <c r="C8" s="3462"/>
      <c r="D8" s="2631" t="s">
        <v>2346</v>
      </c>
      <c r="E8" s="2632" t="s">
        <v>2347</v>
      </c>
      <c r="F8" s="2633" t="s">
        <v>2348</v>
      </c>
      <c r="G8" s="2634"/>
      <c r="H8" s="2590"/>
      <c r="I8" s="2591">
        <f t="shared" ref="I8:I9" si="0">N8*O8</f>
        <v>206.4</v>
      </c>
      <c r="J8" s="3444"/>
      <c r="K8" s="3446"/>
      <c r="L8" s="3140" t="s">
        <v>3470</v>
      </c>
      <c r="M8" s="2626">
        <v>69</v>
      </c>
      <c r="N8" s="2602">
        <v>240</v>
      </c>
      <c r="O8" s="2627">
        <f>O7</f>
        <v>0.86</v>
      </c>
      <c r="P8" s="2627">
        <f>P7</f>
        <v>0.65</v>
      </c>
      <c r="Q8" s="2628">
        <v>365</v>
      </c>
      <c r="R8" s="2629">
        <f t="shared" ref="R8:R13" si="1">ROUND(M8*N8*O8*P8*Q8/10000,0)</f>
        <v>338</v>
      </c>
      <c r="S8" s="2583">
        <f>M8*25</f>
        <v>1725</v>
      </c>
      <c r="T8" s="3146" t="s">
        <v>3474</v>
      </c>
      <c r="U8" s="2583" t="s">
        <v>3473</v>
      </c>
      <c r="V8" s="2591"/>
    </row>
    <row r="9" spans="1:22" s="2595" customFormat="1" ht="13.15" customHeight="1">
      <c r="A9" s="2630">
        <v>1</v>
      </c>
      <c r="B9" s="3461" t="s">
        <v>2350</v>
      </c>
      <c r="C9" s="3462"/>
      <c r="D9" s="2631" t="e">
        <f>ROUND(D6*E9,0)</f>
        <v>#DIV/0!</v>
      </c>
      <c r="E9" s="2635">
        <v>0.15</v>
      </c>
      <c r="F9" s="2636" t="s">
        <v>2351</v>
      </c>
      <c r="G9" s="2615"/>
      <c r="H9" s="2590"/>
      <c r="I9" s="2591">
        <f t="shared" si="0"/>
        <v>0</v>
      </c>
      <c r="J9" s="3444"/>
      <c r="K9" s="3446"/>
      <c r="L9" s="3140" t="s">
        <v>3445</v>
      </c>
      <c r="M9" s="2626"/>
      <c r="N9" s="2602"/>
      <c r="O9" s="2627"/>
      <c r="P9" s="2627"/>
      <c r="Q9" s="2628">
        <v>365</v>
      </c>
      <c r="R9" s="2629">
        <f t="shared" si="1"/>
        <v>0</v>
      </c>
      <c r="S9" s="2583">
        <v>30</v>
      </c>
      <c r="T9" s="2583"/>
      <c r="U9" s="2583"/>
      <c r="V9" s="2591"/>
    </row>
    <row r="10" spans="1:22" s="2595" customFormat="1" ht="13.15" customHeight="1">
      <c r="A10" s="2630">
        <v>2</v>
      </c>
      <c r="B10" s="3461" t="s">
        <v>2352</v>
      </c>
      <c r="C10" s="3462"/>
      <c r="D10" s="2631" t="e">
        <f>ROUND(D6*E10,0)</f>
        <v>#DIV/0!</v>
      </c>
      <c r="E10" s="2635">
        <v>0.15</v>
      </c>
      <c r="F10" s="2636" t="s">
        <v>2353</v>
      </c>
      <c r="G10" s="2615"/>
      <c r="H10" s="2590"/>
      <c r="I10" s="2591"/>
      <c r="J10" s="3444"/>
      <c r="K10" s="3446"/>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61" t="s">
        <v>2355</v>
      </c>
      <c r="C11" s="3462"/>
      <c r="D11" s="2631" t="e">
        <f ca="1">D12+D14+D15+D16</f>
        <v>#N/A</v>
      </c>
      <c r="E11" s="2637" t="e">
        <f ca="1">D11/D6</f>
        <v>#N/A</v>
      </c>
      <c r="F11" s="2633"/>
      <c r="G11" s="2634"/>
      <c r="H11" s="2590"/>
      <c r="I11" s="2591"/>
      <c r="J11" s="3444"/>
      <c r="K11" s="3446"/>
      <c r="L11" s="2625" t="s">
        <v>2356</v>
      </c>
      <c r="M11" s="2626"/>
      <c r="N11" s="2602"/>
      <c r="O11" s="2627"/>
      <c r="P11" s="2627"/>
      <c r="Q11" s="2628">
        <v>365</v>
      </c>
      <c r="R11" s="2629">
        <f t="shared" si="1"/>
        <v>0</v>
      </c>
      <c r="S11" s="2583">
        <f>S10/B4</f>
        <v>7.415701850756359</v>
      </c>
      <c r="T11" s="2583"/>
      <c r="U11" s="2583"/>
      <c r="V11" s="2591"/>
    </row>
    <row r="12" spans="1:22" s="2595" customFormat="1" ht="13.15" customHeight="1">
      <c r="A12" s="2638" t="s">
        <v>2357</v>
      </c>
      <c r="B12" s="3454" t="s">
        <v>2358</v>
      </c>
      <c r="C12" s="3455"/>
      <c r="D12" s="2639" t="e">
        <f ca="1">ROUND(D13*1.2%*(1-30%),0)</f>
        <v>#N/A</v>
      </c>
      <c r="E12" s="2640">
        <v>1.2E-2</v>
      </c>
      <c r="F12" s="2633" t="s">
        <v>2359</v>
      </c>
      <c r="G12" s="2634"/>
      <c r="H12" s="2590"/>
      <c r="I12" s="2591"/>
      <c r="J12" s="3444"/>
      <c r="K12" s="3446"/>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44"/>
      <c r="K13" s="3446"/>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4" t="s">
        <v>2364</v>
      </c>
      <c r="C14" s="3455"/>
      <c r="D14" s="2639">
        <f>ROUND(E14*B5/10000,0)</f>
        <v>0</v>
      </c>
      <c r="E14" s="2628"/>
      <c r="F14" s="2633" t="s">
        <v>2365</v>
      </c>
      <c r="G14" s="2634"/>
      <c r="H14" s="2590"/>
      <c r="I14" s="2591"/>
      <c r="J14" s="3444"/>
      <c r="K14" s="3447"/>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4" t="s">
        <v>2368</v>
      </c>
      <c r="C15" s="3455"/>
      <c r="D15" s="2639" t="e">
        <f>ROUND(D6*E15,0)</f>
        <v>#DIV/0!</v>
      </c>
      <c r="E15" s="2640">
        <f>收益法!F32</f>
        <v>5.6000000000000001E-2</v>
      </c>
      <c r="F15" s="2633" t="s">
        <v>2369</v>
      </c>
      <c r="G15" s="2615"/>
      <c r="H15" s="2590"/>
      <c r="I15" s="2591"/>
      <c r="J15" s="3444">
        <v>2</v>
      </c>
      <c r="K15" s="3445"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4" t="s">
        <v>2377</v>
      </c>
      <c r="C16" s="3455"/>
      <c r="D16" s="2650" t="e">
        <f>D6*E16</f>
        <v>#DIV/0!</v>
      </c>
      <c r="E16" s="2651"/>
      <c r="F16" s="2636" t="s">
        <v>2378</v>
      </c>
      <c r="G16" s="2615"/>
      <c r="H16" s="2590"/>
      <c r="I16" s="2591"/>
      <c r="J16" s="3444"/>
      <c r="K16" s="3446"/>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6" t="s">
        <v>2380</v>
      </c>
      <c r="C17" s="3457"/>
      <c r="D17" s="2653" t="e">
        <f>ROUND(D6*E17,0)</f>
        <v>#DIV/0!</v>
      </c>
      <c r="E17" s="2654">
        <v>0.1</v>
      </c>
      <c r="F17" s="2655" t="s">
        <v>2381</v>
      </c>
      <c r="G17" s="2615"/>
      <c r="H17" s="2590"/>
      <c r="I17" s="2591"/>
      <c r="J17" s="3444"/>
      <c r="K17" s="3446"/>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4"/>
      <c r="K18" s="3446"/>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4"/>
      <c r="K19" s="3447"/>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4">
        <v>3</v>
      </c>
      <c r="K20" s="3445"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4"/>
      <c r="K21" s="3446"/>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4"/>
      <c r="K22" s="3446"/>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4"/>
      <c r="K23" s="3446"/>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4"/>
      <c r="K24" s="3447"/>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48">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49"/>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50" t="s">
        <v>2316</v>
      </c>
      <c r="K32" s="3451"/>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52" t="s">
        <v>2326</v>
      </c>
      <c r="K33" s="3453"/>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52" t="s">
        <v>2328</v>
      </c>
      <c r="K34" s="3453"/>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44">
        <v>1</v>
      </c>
      <c r="K36" s="3445"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4"/>
      <c r="K37" s="3446"/>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4"/>
      <c r="K38" s="3446"/>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4"/>
      <c r="K39" s="3446"/>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4"/>
      <c r="K40" s="3447"/>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3479</v>
      </c>
      <c r="G42" s="2590"/>
      <c r="H42" s="2590"/>
      <c r="I42" s="2591"/>
      <c r="J42" s="3448">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3477</v>
      </c>
      <c r="D43" s="2595">
        <f>'数据-基础表'!B18</f>
        <v>0</v>
      </c>
      <c r="E43" s="2595">
        <f>R5</f>
        <v>338</v>
      </c>
      <c r="F43" s="2595"/>
      <c r="I43" s="2578"/>
      <c r="J43" s="3449"/>
      <c r="K43" s="2698"/>
      <c r="L43" s="2699"/>
      <c r="M43" s="2700"/>
      <c r="N43" s="2626"/>
      <c r="O43" s="2626"/>
      <c r="P43" s="2626"/>
      <c r="Q43" s="2688"/>
      <c r="R43" s="2661">
        <f>ROUND(O43*N43*P43*(1-Q43)/10000,0)</f>
        <v>0</v>
      </c>
      <c r="S43" s="2583"/>
      <c r="T43" s="2583"/>
      <c r="V43" s="2736"/>
      <c r="W43" s="2737"/>
    </row>
    <row r="44" spans="1:23" ht="13.15" customHeight="1" thickBot="1">
      <c r="C44" s="2584" t="s">
        <v>3478</v>
      </c>
      <c r="D44" s="2584">
        <f>'数据-基础表'!B3</f>
        <v>236.66</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F34" sqref="F34"/>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3486</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1123.6143</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47478</v>
      </c>
      <c r="C3" s="343" t="s">
        <v>1768</v>
      </c>
      <c r="D3" s="342">
        <f>IF(D1="",'数据-汇总表'!E3,SUMIF('数据-汇总表'!$C19:$C33,D1,'数据-汇总表'!$E19:$E33))</f>
        <v>236.66</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5" t="s">
        <v>1772</v>
      </c>
      <c r="AC4" s="3406" t="s">
        <v>1773</v>
      </c>
    </row>
    <row r="5" spans="1:29" ht="15">
      <c r="A5" s="347"/>
      <c r="B5" s="348"/>
      <c r="C5" s="3426" t="s">
        <v>1673</v>
      </c>
      <c r="D5" s="3427"/>
      <c r="E5" s="3443"/>
      <c r="F5" s="3434"/>
      <c r="G5" s="3442"/>
      <c r="H5" s="3427"/>
      <c r="I5" s="3442"/>
      <c r="J5" s="3427"/>
      <c r="K5" s="536"/>
      <c r="L5" s="2477"/>
      <c r="M5" s="2478"/>
      <c r="N5" s="2478"/>
      <c r="O5" s="2478"/>
      <c r="P5" s="3414"/>
      <c r="Q5" s="3415"/>
      <c r="R5" s="3420"/>
      <c r="S5" s="3421"/>
      <c r="T5" s="3420"/>
      <c r="U5" s="3421"/>
      <c r="V5" s="3405"/>
      <c r="W5" s="3405"/>
      <c r="X5" s="1262"/>
      <c r="Y5" s="3420"/>
      <c r="Z5" s="3421"/>
      <c r="AA5" s="3407"/>
      <c r="AB5" s="3405"/>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5"/>
      <c r="AC6" s="3408"/>
    </row>
    <row r="7" spans="1:29" s="101" customFormat="1" ht="15.75" thickBot="1">
      <c r="A7" s="351" t="s">
        <v>1679</v>
      </c>
      <c r="B7" s="352"/>
      <c r="C7" s="353">
        <f>'数据-取费表'!B2</f>
        <v>45392</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428" t="s">
        <v>1680</v>
      </c>
      <c r="Q7" s="3430"/>
      <c r="R7" s="662" t="s">
        <v>14</v>
      </c>
      <c r="S7" s="663">
        <f t="shared" ref="S7:S15" si="0">F7</f>
        <v>100</v>
      </c>
      <c r="T7" s="662" t="s">
        <v>14</v>
      </c>
      <c r="U7" s="663">
        <f t="shared" ref="U7:U15" si="1">H7</f>
        <v>100</v>
      </c>
      <c r="V7" s="662" t="s">
        <v>14</v>
      </c>
      <c r="W7" s="663">
        <f t="shared" ref="W7:W15" si="2">J7</f>
        <v>100</v>
      </c>
      <c r="X7" s="664"/>
      <c r="Y7" s="3428" t="s">
        <v>1680</v>
      </c>
      <c r="Z7" s="3429"/>
      <c r="AA7" s="50">
        <f>D7/F7</f>
        <v>1</v>
      </c>
      <c r="AB7" s="50">
        <f>D7/H7</f>
        <v>1</v>
      </c>
      <c r="AC7" s="50">
        <f>D7/J7</f>
        <v>1</v>
      </c>
    </row>
    <row r="8" spans="1:29" s="101" customFormat="1" ht="15.75" thickBot="1">
      <c r="A8" s="351" t="s">
        <v>1681</v>
      </c>
      <c r="B8" s="352"/>
      <c r="C8" s="357" t="s">
        <v>3385</v>
      </c>
      <c r="D8" s="354">
        <v>100</v>
      </c>
      <c r="E8" s="357" t="s">
        <v>3489</v>
      </c>
      <c r="F8" s="356">
        <f>SUMIF(61:61,E8,62:62)-SUMIF(61:61,C8,62:62)+100</f>
        <v>102</v>
      </c>
      <c r="G8" s="357" t="s">
        <v>3489</v>
      </c>
      <c r="H8" s="354">
        <f>SUMIF(61:61,G8,62:62)-SUMIF(61:61,C8,62:62)+100</f>
        <v>102</v>
      </c>
      <c r="I8" s="357" t="s">
        <v>3489</v>
      </c>
      <c r="J8" s="354">
        <f>SUMIF(61:61,I8,62:62)-SUMIF(61:61,C8,62:62)+100</f>
        <v>102</v>
      </c>
      <c r="K8" s="38"/>
      <c r="L8" s="2479"/>
      <c r="M8" s="2431"/>
      <c r="N8" s="2431"/>
      <c r="O8" s="2431"/>
      <c r="P8" s="3428" t="s">
        <v>1683</v>
      </c>
      <c r="Q8" s="3429"/>
      <c r="R8" s="662" t="s">
        <v>14</v>
      </c>
      <c r="S8" s="663">
        <f t="shared" si="0"/>
        <v>102</v>
      </c>
      <c r="T8" s="662" t="s">
        <v>14</v>
      </c>
      <c r="U8" s="663">
        <f t="shared" si="1"/>
        <v>102</v>
      </c>
      <c r="V8" s="662" t="s">
        <v>14</v>
      </c>
      <c r="W8" s="663">
        <f t="shared" si="2"/>
        <v>102</v>
      </c>
      <c r="X8" s="664"/>
      <c r="Y8" s="3428" t="s">
        <v>1683</v>
      </c>
      <c r="Z8" s="3429"/>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3510</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399"/>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99"/>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103</v>
      </c>
      <c r="G15" s="382"/>
      <c r="H15" s="379">
        <f>SUMIF(76:76,G16,77:77)-SUMIF(76:76,C16,77:77)+100</f>
        <v>103</v>
      </c>
      <c r="I15" s="380"/>
      <c r="J15" s="379">
        <f>SUMIF(76:76,I16,77:77)-SUMIF(76:76,C16,77:77)+100</f>
        <v>103</v>
      </c>
      <c r="K15" s="539">
        <v>3</v>
      </c>
      <c r="L15" s="2483"/>
      <c r="M15" s="2478"/>
      <c r="N15" s="2478"/>
      <c r="O15" s="2478"/>
      <c r="P15" s="3440" t="s">
        <v>1691</v>
      </c>
      <c r="Q15" s="1260" t="str">
        <f t="shared" si="6"/>
        <v>商业繁华度</v>
      </c>
      <c r="R15" s="665" t="s">
        <v>14</v>
      </c>
      <c r="S15" s="666">
        <f t="shared" si="0"/>
        <v>103</v>
      </c>
      <c r="T15" s="665" t="s">
        <v>14</v>
      </c>
      <c r="U15" s="666">
        <f t="shared" si="1"/>
        <v>103</v>
      </c>
      <c r="V15" s="665" t="s">
        <v>14</v>
      </c>
      <c r="W15" s="666">
        <f t="shared" si="2"/>
        <v>103</v>
      </c>
      <c r="X15" s="1262"/>
      <c r="Y15" s="3401" t="s">
        <v>1691</v>
      </c>
      <c r="Z15" s="1261" t="str">
        <f t="shared" si="7"/>
        <v>商业繁华度</v>
      </c>
      <c r="AA15" s="1261">
        <f t="shared" si="3"/>
        <v>0.970873786407767</v>
      </c>
      <c r="AB15" s="1261">
        <f t="shared" si="4"/>
        <v>0.970873786407767</v>
      </c>
      <c r="AC15" s="1261">
        <f t="shared" si="5"/>
        <v>0.970873786407767</v>
      </c>
    </row>
    <row r="16" spans="1:29" ht="15">
      <c r="A16" s="366"/>
      <c r="B16" s="384"/>
      <c r="C16" s="385" t="s">
        <v>3413</v>
      </c>
      <c r="D16" s="386"/>
      <c r="E16" s="385" t="s">
        <v>3416</v>
      </c>
      <c r="F16" s="387"/>
      <c r="G16" s="385" t="s">
        <v>3416</v>
      </c>
      <c r="H16" s="388"/>
      <c r="I16" s="385" t="s">
        <v>3416</v>
      </c>
      <c r="J16" s="386"/>
      <c r="K16" s="540"/>
      <c r="L16" s="2483"/>
      <c r="M16" s="2478"/>
      <c r="N16" s="2478"/>
      <c r="O16" s="2478"/>
      <c r="P16" s="3441"/>
      <c r="Q16" s="1260"/>
      <c r="R16" s="665"/>
      <c r="S16" s="666"/>
      <c r="T16" s="665"/>
      <c r="U16" s="666"/>
      <c r="V16" s="665"/>
      <c r="W16" s="666"/>
      <c r="X16" s="1262"/>
      <c r="Y16" s="3402"/>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1"/>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41"/>
      <c r="Q18" s="1260"/>
      <c r="R18" s="665"/>
      <c r="S18" s="666"/>
      <c r="T18" s="665"/>
      <c r="U18" s="666"/>
      <c r="V18" s="665"/>
      <c r="W18" s="666"/>
      <c r="X18" s="1262"/>
      <c r="Y18" s="3402"/>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1"/>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41"/>
      <c r="Q20" s="1260"/>
      <c r="R20" s="665"/>
      <c r="S20" s="666"/>
      <c r="T20" s="665"/>
      <c r="U20" s="666"/>
      <c r="V20" s="665"/>
      <c r="W20" s="666"/>
      <c r="X20" s="1262"/>
      <c r="Y20" s="3402"/>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41"/>
      <c r="Q22" s="1260"/>
      <c r="R22" s="665"/>
      <c r="S22" s="666"/>
      <c r="T22" s="665"/>
      <c r="U22" s="666"/>
      <c r="V22" s="665"/>
      <c r="W22" s="666"/>
      <c r="X22" s="1262"/>
      <c r="Y22" s="3402"/>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1"/>
      <c r="Q23" s="1260" t="str">
        <f>B23</f>
        <v>自然及人文环境</v>
      </c>
      <c r="R23" s="665" t="s">
        <v>14</v>
      </c>
      <c r="S23" s="666">
        <f>F23</f>
        <v>100</v>
      </c>
      <c r="T23" s="665" t="s">
        <v>14</v>
      </c>
      <c r="U23" s="666">
        <f>H23</f>
        <v>100</v>
      </c>
      <c r="V23" s="665" t="s">
        <v>14</v>
      </c>
      <c r="W23" s="666">
        <f>J23</f>
        <v>100</v>
      </c>
      <c r="X23" s="1262"/>
      <c r="Y23" s="3402"/>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41"/>
      <c r="Q24" s="1260"/>
      <c r="R24" s="665"/>
      <c r="S24" s="666"/>
      <c r="T24" s="665"/>
      <c r="U24" s="666"/>
      <c r="V24" s="665"/>
      <c r="W24" s="666"/>
      <c r="X24" s="1262"/>
      <c r="Y24" s="3402"/>
      <c r="Z24" s="1261"/>
      <c r="AA24" s="1261">
        <v>1</v>
      </c>
      <c r="AB24" s="1261">
        <v>1</v>
      </c>
      <c r="AC24" s="1261">
        <v>1</v>
      </c>
    </row>
    <row r="25" spans="1:29" ht="15">
      <c r="A25" s="366"/>
      <c r="B25" s="363" t="s">
        <v>1780</v>
      </c>
      <c r="C25" s="541" t="s">
        <v>3490</v>
      </c>
      <c r="D25" s="373">
        <v>100</v>
      </c>
      <c r="E25" s="541" t="s">
        <v>3490</v>
      </c>
      <c r="F25" s="399">
        <f>SUMIF(86:86,E25,87:87)-SUMIF(86:86,C25,87:87)+100</f>
        <v>100</v>
      </c>
      <c r="G25" s="541" t="s">
        <v>3490</v>
      </c>
      <c r="H25" s="373">
        <f>SUMIF(86:86,G25,87:87)-SUMIF(86:86,C25,87:87)+100</f>
        <v>100</v>
      </c>
      <c r="I25" s="541" t="s">
        <v>3490</v>
      </c>
      <c r="J25" s="373">
        <f>SUMIF(86:86,I25,87:87)-SUMIF(86:86,C25,87:87)+100</f>
        <v>100</v>
      </c>
      <c r="K25" s="537">
        <v>3</v>
      </c>
      <c r="L25" s="2483"/>
      <c r="M25" s="2478"/>
      <c r="N25" s="2478"/>
      <c r="O25" s="2478"/>
      <c r="P25" s="3441"/>
      <c r="Q25" s="1260" t="str">
        <f t="shared" ref="Q25:Q46" si="11">B25</f>
        <v>临街状况</v>
      </c>
      <c r="R25" s="665" t="s">
        <v>14</v>
      </c>
      <c r="S25" s="666">
        <f>F25</f>
        <v>100</v>
      </c>
      <c r="T25" s="665" t="s">
        <v>14</v>
      </c>
      <c r="U25" s="666">
        <f>H25</f>
        <v>100</v>
      </c>
      <c r="V25" s="665" t="s">
        <v>14</v>
      </c>
      <c r="W25" s="666">
        <f>J25</f>
        <v>100</v>
      </c>
      <c r="X25" s="1262"/>
      <c r="Y25" s="3402"/>
      <c r="Z25" s="1261" t="str">
        <f>Q25</f>
        <v>临街状况</v>
      </c>
      <c r="AA25" s="1261">
        <f t="shared" si="3"/>
        <v>1</v>
      </c>
      <c r="AB25" s="1261">
        <f t="shared" si="4"/>
        <v>1</v>
      </c>
      <c r="AC25" s="1261">
        <f t="shared" si="5"/>
        <v>1</v>
      </c>
    </row>
    <row r="26" spans="1:29" ht="15">
      <c r="A26" s="366"/>
      <c r="B26" s="1064" t="s">
        <v>1781</v>
      </c>
      <c r="C26" s="3159" t="s">
        <v>3520</v>
      </c>
      <c r="D26" s="373">
        <v>100</v>
      </c>
      <c r="E26" s="3159" t="s">
        <v>3511</v>
      </c>
      <c r="F26" s="399">
        <f>SUMIF(88:88,E26,89:89)-SUMIF(88:88,C26,89:89)+100</f>
        <v>103</v>
      </c>
      <c r="G26" s="3159" t="s">
        <v>3511</v>
      </c>
      <c r="H26" s="373">
        <f>SUMIF(88:88,G26,89:89)-SUMIF(88:88,C26,89:89)+100</f>
        <v>103</v>
      </c>
      <c r="I26" s="3159" t="s">
        <v>3511</v>
      </c>
      <c r="J26" s="373">
        <f>SUMIF(88:88,I26,89:89)-SUMIF(88:88,C26,89:89)+100</f>
        <v>103</v>
      </c>
      <c r="K26" s="538"/>
      <c r="L26" s="2483"/>
      <c r="M26" s="2478"/>
      <c r="N26" s="2478"/>
      <c r="O26" s="2478"/>
      <c r="P26" s="3441"/>
      <c r="Q26" s="1260" t="str">
        <f t="shared" si="11"/>
        <v>平面位置/可视性</v>
      </c>
      <c r="R26" s="665" t="s">
        <v>14</v>
      </c>
      <c r="S26" s="666">
        <f>F26</f>
        <v>103</v>
      </c>
      <c r="T26" s="665" t="s">
        <v>14</v>
      </c>
      <c r="U26" s="666">
        <f>H26</f>
        <v>103</v>
      </c>
      <c r="V26" s="665" t="s">
        <v>14</v>
      </c>
      <c r="W26" s="666">
        <f>J26</f>
        <v>103</v>
      </c>
      <c r="X26" s="1262"/>
      <c r="Y26" s="3402"/>
      <c r="Z26" s="1261" t="str">
        <f>Q26</f>
        <v>平面位置/可视性</v>
      </c>
      <c r="AA26" s="1261">
        <f t="shared" si="3"/>
        <v>0.970873786407767</v>
      </c>
      <c r="AB26" s="1261">
        <f t="shared" si="4"/>
        <v>0.970873786407767</v>
      </c>
      <c r="AC26" s="1261">
        <f t="shared" si="5"/>
        <v>0.970873786407767</v>
      </c>
    </row>
    <row r="27" spans="1:29" s="101" customFormat="1" ht="15">
      <c r="A27" s="369"/>
      <c r="B27" s="389" t="s">
        <v>1782</v>
      </c>
      <c r="C27" s="1801" t="s">
        <v>3413</v>
      </c>
      <c r="D27" s="400">
        <v>100</v>
      </c>
      <c r="E27" s="1801" t="s">
        <v>3413</v>
      </c>
      <c r="F27" s="394">
        <f>SUMIF(90:90,E27,91:91)-SUMIF(90:90,C27,91:91)+100</f>
        <v>100</v>
      </c>
      <c r="G27" s="1801" t="s">
        <v>3492</v>
      </c>
      <c r="H27" s="400">
        <f>SUMIF(90:90,G27,91:91)-SUMIF(90:90,C27,91:91)+100</f>
        <v>103</v>
      </c>
      <c r="I27" s="1801" t="s">
        <v>3413</v>
      </c>
      <c r="J27" s="400">
        <f>SUMIF(90:90,I27,91:91)-SUMIF(90:90,C27,91:91)+100</f>
        <v>100</v>
      </c>
      <c r="K27" s="537">
        <v>3</v>
      </c>
      <c r="L27" s="2479"/>
      <c r="M27" s="2431"/>
      <c r="N27" s="2431"/>
      <c r="O27" s="2431"/>
      <c r="P27" s="3441"/>
      <c r="Q27" s="529" t="str">
        <f t="shared" si="11"/>
        <v>人流量</v>
      </c>
      <c r="R27" s="662" t="s">
        <v>14</v>
      </c>
      <c r="S27" s="663">
        <f>F27</f>
        <v>100</v>
      </c>
      <c r="T27" s="662" t="s">
        <v>14</v>
      </c>
      <c r="U27" s="663">
        <f>H27</f>
        <v>103</v>
      </c>
      <c r="V27" s="662" t="s">
        <v>14</v>
      </c>
      <c r="W27" s="663">
        <f>J27</f>
        <v>100</v>
      </c>
      <c r="X27" s="664"/>
      <c r="Y27" s="3402"/>
      <c r="Z27" s="50" t="str">
        <f>Q27</f>
        <v>人流量</v>
      </c>
      <c r="AA27" s="1261">
        <f>D27/F27</f>
        <v>1</v>
      </c>
      <c r="AB27" s="1261">
        <f>D27/H27</f>
        <v>0.970873786407767</v>
      </c>
      <c r="AC27" s="1261">
        <f>D27/J27</f>
        <v>1</v>
      </c>
    </row>
    <row r="28" spans="1:29" ht="15">
      <c r="A28" s="366"/>
      <c r="B28" s="363" t="s">
        <v>1783</v>
      </c>
      <c r="C28" s="541" t="s">
        <v>3523</v>
      </c>
      <c r="D28" s="373">
        <v>100</v>
      </c>
      <c r="E28" s="541" t="s">
        <v>3512</v>
      </c>
      <c r="F28" s="399">
        <f>SUMIF(92:92,E28,93:93)-SUMIF(92:92,C28,93:93)+100</f>
        <v>115</v>
      </c>
      <c r="G28" s="541" t="s">
        <v>3512</v>
      </c>
      <c r="H28" s="373">
        <f>SUMIF(92:92,G28,93:93)-SUMIF(92:92,C28,93:93)+100</f>
        <v>115</v>
      </c>
      <c r="I28" s="541" t="s">
        <v>3512</v>
      </c>
      <c r="J28" s="373">
        <f>SUMIF(92:92,I28,93:93)-SUMIF(92:92,C28,93:93)+100</f>
        <v>115</v>
      </c>
      <c r="K28" s="538"/>
      <c r="L28" s="2483"/>
      <c r="M28" s="2478"/>
      <c r="N28" s="2478"/>
      <c r="O28" s="2478"/>
      <c r="P28" s="3441"/>
      <c r="Q28" s="1260" t="str">
        <f t="shared" si="11"/>
        <v>楼层</v>
      </c>
      <c r="R28" s="665" t="s">
        <v>14</v>
      </c>
      <c r="S28" s="666">
        <f t="shared" ref="S28:S46" si="12">F28</f>
        <v>115</v>
      </c>
      <c r="T28" s="665" t="s">
        <v>14</v>
      </c>
      <c r="U28" s="666">
        <f t="shared" ref="U28:U46" si="13">H28</f>
        <v>115</v>
      </c>
      <c r="V28" s="665" t="s">
        <v>14</v>
      </c>
      <c r="W28" s="666">
        <f t="shared" ref="W28:W46" si="14">J28</f>
        <v>115</v>
      </c>
      <c r="X28" s="1262"/>
      <c r="Y28" s="3402"/>
      <c r="Z28" s="1261" t="str">
        <f t="shared" ref="Z28:Z46" si="15">Q28</f>
        <v>楼层</v>
      </c>
      <c r="AA28" s="1261">
        <f t="shared" si="3"/>
        <v>0.86956521739130432</v>
      </c>
      <c r="AB28" s="1261">
        <f t="shared" si="4"/>
        <v>0.86956521739130432</v>
      </c>
      <c r="AC28" s="1261">
        <f t="shared" si="5"/>
        <v>0.86956521739130432</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1"/>
      <c r="Q29" s="1260">
        <f t="shared" si="11"/>
        <v>111</v>
      </c>
      <c r="R29" s="665" t="s">
        <v>14</v>
      </c>
      <c r="S29" s="666">
        <f t="shared" si="12"/>
        <v>100</v>
      </c>
      <c r="T29" s="665" t="s">
        <v>14</v>
      </c>
      <c r="U29" s="666">
        <f t="shared" si="13"/>
        <v>100</v>
      </c>
      <c r="V29" s="665" t="s">
        <v>14</v>
      </c>
      <c r="W29" s="666">
        <f t="shared" si="14"/>
        <v>100</v>
      </c>
      <c r="X29" s="1262"/>
      <c r="Y29" s="3402"/>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1"/>
      <c r="Q30" s="1260">
        <f t="shared" si="11"/>
        <v>111</v>
      </c>
      <c r="R30" s="665" t="s">
        <v>14</v>
      </c>
      <c r="S30" s="666">
        <f t="shared" si="12"/>
        <v>100</v>
      </c>
      <c r="T30" s="665" t="s">
        <v>14</v>
      </c>
      <c r="U30" s="666">
        <f t="shared" si="13"/>
        <v>100</v>
      </c>
      <c r="V30" s="665" t="s">
        <v>14</v>
      </c>
      <c r="W30" s="666">
        <f t="shared" si="14"/>
        <v>100</v>
      </c>
      <c r="X30" s="1262"/>
      <c r="Y30" s="3402"/>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1"/>
      <c r="Q31" s="1260">
        <f t="shared" si="11"/>
        <v>111</v>
      </c>
      <c r="R31" s="665" t="s">
        <v>14</v>
      </c>
      <c r="S31" s="666">
        <f t="shared" si="12"/>
        <v>100</v>
      </c>
      <c r="T31" s="665" t="s">
        <v>14</v>
      </c>
      <c r="U31" s="666">
        <f t="shared" si="13"/>
        <v>100</v>
      </c>
      <c r="V31" s="665" t="s">
        <v>14</v>
      </c>
      <c r="W31" s="666">
        <f t="shared" si="14"/>
        <v>100</v>
      </c>
      <c r="X31" s="1262"/>
      <c r="Y31" s="3402"/>
      <c r="Z31" s="1261">
        <f t="shared" si="15"/>
        <v>111</v>
      </c>
      <c r="AA31" s="1261">
        <f t="shared" si="3"/>
        <v>1</v>
      </c>
      <c r="AB31" s="1261">
        <f t="shared" si="4"/>
        <v>1</v>
      </c>
      <c r="AC31" s="1261">
        <f t="shared" si="5"/>
        <v>1</v>
      </c>
    </row>
    <row r="32" spans="1:29" ht="15">
      <c r="A32" s="378" t="s">
        <v>1694</v>
      </c>
      <c r="B32" s="60" t="s">
        <v>1784</v>
      </c>
      <c r="C32" s="1760" t="s">
        <v>3498</v>
      </c>
      <c r="D32" s="404">
        <v>100</v>
      </c>
      <c r="E32" s="1760" t="s">
        <v>3500</v>
      </c>
      <c r="F32" s="399">
        <f>SUMIF(100:100,E32,101:101)-SUMIF(100:100,C32,101:101)+100</f>
        <v>98</v>
      </c>
      <c r="G32" s="1760" t="s">
        <v>3500</v>
      </c>
      <c r="H32" s="373">
        <f>SUMIF(100:100,G32,101:101)-SUMIF(100:100,C32,101:101)+100</f>
        <v>98</v>
      </c>
      <c r="I32" s="1760" t="s">
        <v>3500</v>
      </c>
      <c r="J32" s="404">
        <f>SUMIF(100:100,I32,101:101)-SUMIF(100:100,C32,101:101)+100</f>
        <v>98</v>
      </c>
      <c r="K32" s="537">
        <v>1</v>
      </c>
      <c r="L32" s="2483"/>
      <c r="M32" s="2478"/>
      <c r="N32" s="2478"/>
      <c r="O32" s="2478"/>
      <c r="P32" s="3436" t="s">
        <v>1696</v>
      </c>
      <c r="Q32" s="1260" t="str">
        <f t="shared" si="11"/>
        <v>商业类型</v>
      </c>
      <c r="R32" s="665" t="s">
        <v>14</v>
      </c>
      <c r="S32" s="666">
        <f t="shared" si="12"/>
        <v>98</v>
      </c>
      <c r="T32" s="665" t="s">
        <v>14</v>
      </c>
      <c r="U32" s="666">
        <f t="shared" si="13"/>
        <v>98</v>
      </c>
      <c r="V32" s="665" t="s">
        <v>14</v>
      </c>
      <c r="W32" s="666">
        <f t="shared" si="14"/>
        <v>98</v>
      </c>
      <c r="X32" s="1262"/>
      <c r="Y32" s="3404"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236.66</v>
      </c>
      <c r="D33" s="118">
        <v>100</v>
      </c>
      <c r="E33" s="368">
        <v>88.07</v>
      </c>
      <c r="F33" s="363">
        <f>LOOKUP(E33,103:103,104:104)-LOOKUP(C33,103:103,104:104)+100</f>
        <v>104</v>
      </c>
      <c r="G33" s="367">
        <v>80.91</v>
      </c>
      <c r="H33" s="118">
        <f>LOOKUP(G33,103:103,104:104)-LOOKUP(C33,103:103,104:104)+100</f>
        <v>104</v>
      </c>
      <c r="I33" s="367">
        <v>171.51</v>
      </c>
      <c r="J33" s="118">
        <f>LOOKUP(I33,103:103,104:104)-LOOKUP(C33,103:103,104:104)+100</f>
        <v>102</v>
      </c>
      <c r="K33" s="538"/>
      <c r="L33" s="2482"/>
      <c r="M33" s="2484"/>
      <c r="N33" s="2484"/>
      <c r="O33" s="2484"/>
      <c r="P33" s="3437"/>
      <c r="Q33" s="530" t="str">
        <f t="shared" si="11"/>
        <v>项目建筑规模</v>
      </c>
      <c r="R33" s="667" t="s">
        <v>14</v>
      </c>
      <c r="S33" s="668">
        <f t="shared" si="12"/>
        <v>104</v>
      </c>
      <c r="T33" s="667" t="s">
        <v>14</v>
      </c>
      <c r="U33" s="668">
        <f t="shared" si="13"/>
        <v>104</v>
      </c>
      <c r="V33" s="667" t="s">
        <v>14</v>
      </c>
      <c r="W33" s="668">
        <f t="shared" si="14"/>
        <v>102</v>
      </c>
      <c r="X33" s="669"/>
      <c r="Y33" s="3404"/>
      <c r="Z33" s="670" t="str">
        <f t="shared" si="15"/>
        <v>项目建筑规模</v>
      </c>
      <c r="AA33" s="1261">
        <f t="shared" si="3"/>
        <v>0.96153846153846156</v>
      </c>
      <c r="AB33" s="1261">
        <f t="shared" si="4"/>
        <v>0.96153846153846156</v>
      </c>
      <c r="AC33" s="1261">
        <f t="shared" si="5"/>
        <v>0.98039215686274506</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7"/>
      <c r="Q34" s="1260" t="str">
        <f t="shared" si="11"/>
        <v>建筑结构</v>
      </c>
      <c r="R34" s="665" t="s">
        <v>14</v>
      </c>
      <c r="S34" s="666">
        <f t="shared" si="12"/>
        <v>100</v>
      </c>
      <c r="T34" s="665" t="s">
        <v>14</v>
      </c>
      <c r="U34" s="666">
        <f t="shared" si="13"/>
        <v>100</v>
      </c>
      <c r="V34" s="665" t="s">
        <v>14</v>
      </c>
      <c r="W34" s="666">
        <f t="shared" si="14"/>
        <v>100</v>
      </c>
      <c r="X34" s="1262"/>
      <c r="Y34" s="3404"/>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7"/>
      <c r="Q35" s="1260" t="str">
        <f t="shared" si="11"/>
        <v>公共部分装修</v>
      </c>
      <c r="R35" s="665" t="s">
        <v>14</v>
      </c>
      <c r="S35" s="666">
        <f t="shared" si="12"/>
        <v>100</v>
      </c>
      <c r="T35" s="665" t="s">
        <v>14</v>
      </c>
      <c r="U35" s="666">
        <f t="shared" si="13"/>
        <v>100</v>
      </c>
      <c r="V35" s="665" t="s">
        <v>14</v>
      </c>
      <c r="W35" s="666">
        <f t="shared" si="14"/>
        <v>100</v>
      </c>
      <c r="X35" s="1262"/>
      <c r="Y35" s="3404"/>
      <c r="Z35" s="1261" t="str">
        <f t="shared" si="15"/>
        <v>公共部分装修</v>
      </c>
      <c r="AA35" s="1261">
        <f t="shared" si="3"/>
        <v>1</v>
      </c>
      <c r="AB35" s="1261">
        <f t="shared" si="4"/>
        <v>1</v>
      </c>
      <c r="AC35" s="1261">
        <f t="shared" si="5"/>
        <v>1</v>
      </c>
    </row>
    <row r="36" spans="1:29" ht="15">
      <c r="A36" s="408"/>
      <c r="B36" s="363" t="s">
        <v>1786</v>
      </c>
      <c r="C36" s="410">
        <f>'数据-取费表'!N6</f>
        <v>0.75</v>
      </c>
      <c r="D36" s="373">
        <v>100</v>
      </c>
      <c r="E36" s="3158">
        <f>ROUND(1-(1-0%)*(2024-2002)/60,2)</f>
        <v>0.63</v>
      </c>
      <c r="F36" s="399">
        <f>LOOKUP(E36,110:110,111:111)-LOOKUP(C36,110:110,111:111)+100</f>
        <v>99</v>
      </c>
      <c r="G36" s="3158">
        <f>ROUND(1-(1-0%)*(2024-2009)/60,2)</f>
        <v>0.75</v>
      </c>
      <c r="H36" s="399">
        <f>LOOKUP(G36,110:110,111:111)-LOOKUP(C36,110:110,111:111)+100</f>
        <v>100</v>
      </c>
      <c r="I36" s="3158">
        <f>ROUND(1-(1-0%)*(2024-2003)/60,2)</f>
        <v>0.65</v>
      </c>
      <c r="J36" s="373">
        <f>LOOKUP(I36,110:110,111:111)-LOOKUP(C36,110:110,111:111)+100</f>
        <v>99</v>
      </c>
      <c r="K36" s="537">
        <v>1</v>
      </c>
      <c r="L36" s="2483"/>
      <c r="M36" s="2478"/>
      <c r="N36" s="2478"/>
      <c r="O36" s="2478"/>
      <c r="P36" s="3437"/>
      <c r="Q36" s="1260" t="str">
        <f t="shared" si="11"/>
        <v>成新度</v>
      </c>
      <c r="R36" s="665" t="s">
        <v>14</v>
      </c>
      <c r="S36" s="666">
        <f t="shared" si="12"/>
        <v>99</v>
      </c>
      <c r="T36" s="665" t="s">
        <v>14</v>
      </c>
      <c r="U36" s="666">
        <f t="shared" si="13"/>
        <v>100</v>
      </c>
      <c r="V36" s="665" t="s">
        <v>14</v>
      </c>
      <c r="W36" s="666">
        <f t="shared" si="14"/>
        <v>99</v>
      </c>
      <c r="X36" s="1262"/>
      <c r="Y36" s="3404"/>
      <c r="Z36" s="1261" t="str">
        <f t="shared" si="15"/>
        <v>成新度</v>
      </c>
      <c r="AA36" s="1261">
        <f t="shared" si="3"/>
        <v>1.0101010101010102</v>
      </c>
      <c r="AB36" s="1261">
        <f t="shared" si="4"/>
        <v>1</v>
      </c>
      <c r="AC36" s="1261">
        <f t="shared" si="5"/>
        <v>1.0101010101010102</v>
      </c>
    </row>
    <row r="37" spans="1:29" s="101" customFormat="1" ht="15">
      <c r="A37" s="409"/>
      <c r="B37" s="363" t="s">
        <v>1787</v>
      </c>
      <c r="C37" s="1756" t="s">
        <v>3503</v>
      </c>
      <c r="D37" s="118">
        <v>100</v>
      </c>
      <c r="E37" s="1756" t="s">
        <v>3503</v>
      </c>
      <c r="F37" s="399">
        <f>SUMIF(112:112,E37,113:113)-SUMIF(112:112,C37,113:113)+100</f>
        <v>100</v>
      </c>
      <c r="G37" s="1756" t="s">
        <v>3503</v>
      </c>
      <c r="H37" s="373">
        <f>SUMIF(112:112,G37,113:113)-SUMIF(112:112,C37,113:113)+100</f>
        <v>100</v>
      </c>
      <c r="I37" s="1756" t="s">
        <v>3503</v>
      </c>
      <c r="J37" s="373">
        <f>SUMIF(112:112,I37,113:113)-SUMIF(112:112,C37,113:113)+100</f>
        <v>100</v>
      </c>
      <c r="K37" s="537">
        <v>1</v>
      </c>
      <c r="L37" s="2479"/>
      <c r="M37" s="2431"/>
      <c r="N37" s="2431"/>
      <c r="O37" s="2431"/>
      <c r="P37" s="3437"/>
      <c r="Q37" s="529" t="str">
        <f t="shared" si="11"/>
        <v>市政基础设施</v>
      </c>
      <c r="R37" s="662" t="s">
        <v>14</v>
      </c>
      <c r="S37" s="663">
        <f t="shared" si="12"/>
        <v>100</v>
      </c>
      <c r="T37" s="662" t="s">
        <v>14</v>
      </c>
      <c r="U37" s="663">
        <f t="shared" si="13"/>
        <v>100</v>
      </c>
      <c r="V37" s="662" t="s">
        <v>14</v>
      </c>
      <c r="W37" s="663">
        <f t="shared" si="14"/>
        <v>100</v>
      </c>
      <c r="X37" s="664"/>
      <c r="Y37" s="3404"/>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7" t="s">
        <v>1696</v>
      </c>
      <c r="Q38" s="1260" t="str">
        <f t="shared" si="11"/>
        <v>业态</v>
      </c>
      <c r="R38" s="665" t="s">
        <v>14</v>
      </c>
      <c r="S38" s="666">
        <f t="shared" si="12"/>
        <v>100</v>
      </c>
      <c r="T38" s="665" t="s">
        <v>14</v>
      </c>
      <c r="U38" s="666">
        <f t="shared" si="13"/>
        <v>100</v>
      </c>
      <c r="V38" s="665" t="s">
        <v>14</v>
      </c>
      <c r="W38" s="666">
        <f t="shared" si="14"/>
        <v>100</v>
      </c>
      <c r="X38" s="1262"/>
      <c r="Y38" s="3404" t="s">
        <v>1696</v>
      </c>
      <c r="Z38" s="1261" t="str">
        <f t="shared" si="15"/>
        <v>业态</v>
      </c>
      <c r="AA38" s="1261">
        <f t="shared" si="3"/>
        <v>1</v>
      </c>
      <c r="AB38" s="1261">
        <f t="shared" si="4"/>
        <v>1</v>
      </c>
      <c r="AC38" s="1261">
        <f t="shared" si="5"/>
        <v>1</v>
      </c>
    </row>
    <row r="39" spans="1:29" ht="15">
      <c r="A39" s="408"/>
      <c r="B39" s="363" t="s">
        <v>1789</v>
      </c>
      <c r="C39" s="1756" t="s">
        <v>3506</v>
      </c>
      <c r="D39" s="373">
        <v>100</v>
      </c>
      <c r="E39" s="1756" t="s">
        <v>3506</v>
      </c>
      <c r="F39" s="399">
        <f>SUMIF(116:116,E39,117:117)-SUMIF(116:116,C39,117:117)+100</f>
        <v>100</v>
      </c>
      <c r="G39" s="1756" t="s">
        <v>3506</v>
      </c>
      <c r="H39" s="373">
        <f>SUMIF(116:116,G39,117:117)-SUMIF(116:116,C39,117:117)+100</f>
        <v>100</v>
      </c>
      <c r="I39" s="1756" t="s">
        <v>3506</v>
      </c>
      <c r="J39" s="373">
        <f>SUMIF(116:116,I39,117:117)-SUMIF(116:116,C39,117:117)+100</f>
        <v>100</v>
      </c>
      <c r="K39" s="537">
        <v>2</v>
      </c>
      <c r="L39" s="2483"/>
      <c r="M39" s="2478"/>
      <c r="N39" s="2478"/>
      <c r="O39" s="2478"/>
      <c r="P39" s="3437"/>
      <c r="Q39" s="1260" t="str">
        <f t="shared" si="11"/>
        <v>层高</v>
      </c>
      <c r="R39" s="665" t="s">
        <v>14</v>
      </c>
      <c r="S39" s="666">
        <f t="shared" si="12"/>
        <v>100</v>
      </c>
      <c r="T39" s="665" t="s">
        <v>14</v>
      </c>
      <c r="U39" s="666">
        <f t="shared" si="13"/>
        <v>100</v>
      </c>
      <c r="V39" s="665" t="s">
        <v>14</v>
      </c>
      <c r="W39" s="666">
        <f t="shared" si="14"/>
        <v>100</v>
      </c>
      <c r="X39" s="1262"/>
      <c r="Y39" s="3404"/>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7"/>
      <c r="Q40" s="1260" t="str">
        <f t="shared" si="11"/>
        <v>单套建筑面积</v>
      </c>
      <c r="R40" s="665" t="s">
        <v>14</v>
      </c>
      <c r="S40" s="666">
        <f t="shared" si="12"/>
        <v>100</v>
      </c>
      <c r="T40" s="665" t="s">
        <v>14</v>
      </c>
      <c r="U40" s="666">
        <f t="shared" si="13"/>
        <v>100</v>
      </c>
      <c r="V40" s="665" t="s">
        <v>14</v>
      </c>
      <c r="W40" s="666">
        <f t="shared" si="14"/>
        <v>100</v>
      </c>
      <c r="X40" s="1262"/>
      <c r="Y40" s="3404"/>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7"/>
      <c r="Q41" s="530" t="str">
        <f t="shared" si="11"/>
        <v>进深比</v>
      </c>
      <c r="R41" s="667" t="s">
        <v>14</v>
      </c>
      <c r="S41" s="668">
        <f t="shared" si="12"/>
        <v>100</v>
      </c>
      <c r="T41" s="667" t="s">
        <v>14</v>
      </c>
      <c r="U41" s="668">
        <f t="shared" si="13"/>
        <v>100</v>
      </c>
      <c r="V41" s="667" t="s">
        <v>14</v>
      </c>
      <c r="W41" s="668">
        <f t="shared" si="14"/>
        <v>100</v>
      </c>
      <c r="X41" s="669"/>
      <c r="Y41" s="3404"/>
      <c r="Z41" s="670" t="str">
        <f t="shared" si="15"/>
        <v>进深比</v>
      </c>
      <c r="AA41" s="1261">
        <f t="shared" si="3"/>
        <v>1</v>
      </c>
      <c r="AB41" s="1261">
        <f t="shared" si="4"/>
        <v>1</v>
      </c>
      <c r="AC41" s="1261">
        <f t="shared" si="5"/>
        <v>1</v>
      </c>
    </row>
    <row r="42" spans="1:29" ht="15">
      <c r="A42" s="408"/>
      <c r="B42" s="363" t="s">
        <v>1792</v>
      </c>
      <c r="C42" s="1756" t="s">
        <v>3411</v>
      </c>
      <c r="D42" s="373">
        <v>100</v>
      </c>
      <c r="E42" s="1756" t="s">
        <v>3411</v>
      </c>
      <c r="F42" s="399">
        <f>SUMIF(122:122,E42,123:123)-SUMIF(122:122,C42,123:123)+100</f>
        <v>100</v>
      </c>
      <c r="G42" s="1756" t="s">
        <v>3411</v>
      </c>
      <c r="H42" s="373">
        <f>SUMIF(122:122,G42,123:123)-SUMIF(122:122,C42,123:123)+100</f>
        <v>100</v>
      </c>
      <c r="I42" s="1756" t="s">
        <v>3411</v>
      </c>
      <c r="J42" s="373">
        <f>SUMIF(122:122,I42,123:123)-SUMIF(122:122,C42,123:123)+100</f>
        <v>100</v>
      </c>
      <c r="K42" s="537">
        <v>1</v>
      </c>
      <c r="L42" s="2483"/>
      <c r="M42" s="2478"/>
      <c r="N42" s="2478"/>
      <c r="O42" s="2478"/>
      <c r="P42" s="3437"/>
      <c r="Q42" s="1260" t="str">
        <f t="shared" si="11"/>
        <v>内部装修</v>
      </c>
      <c r="R42" s="665" t="s">
        <v>14</v>
      </c>
      <c r="S42" s="666">
        <f t="shared" si="12"/>
        <v>100</v>
      </c>
      <c r="T42" s="665" t="s">
        <v>14</v>
      </c>
      <c r="U42" s="666">
        <f t="shared" si="13"/>
        <v>100</v>
      </c>
      <c r="V42" s="665" t="s">
        <v>14</v>
      </c>
      <c r="W42" s="666">
        <f t="shared" si="14"/>
        <v>100</v>
      </c>
      <c r="X42" s="1262"/>
      <c r="Y42" s="3404"/>
      <c r="Z42" s="1261" t="str">
        <f t="shared" si="15"/>
        <v>内部装修</v>
      </c>
      <c r="AA42" s="1261">
        <f t="shared" si="3"/>
        <v>1</v>
      </c>
      <c r="AB42" s="1261">
        <f t="shared" si="4"/>
        <v>1</v>
      </c>
      <c r="AC42" s="1261">
        <f t="shared" si="5"/>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7"/>
      <c r="Q43" s="1260" t="str">
        <f t="shared" si="11"/>
        <v>内部装修维护情况</v>
      </c>
      <c r="R43" s="665" t="s">
        <v>14</v>
      </c>
      <c r="S43" s="666">
        <f t="shared" si="12"/>
        <v>100</v>
      </c>
      <c r="T43" s="665" t="s">
        <v>14</v>
      </c>
      <c r="U43" s="666">
        <f t="shared" si="13"/>
        <v>100</v>
      </c>
      <c r="V43" s="665" t="s">
        <v>14</v>
      </c>
      <c r="W43" s="666">
        <f t="shared" si="14"/>
        <v>100</v>
      </c>
      <c r="X43" s="1262"/>
      <c r="Y43" s="3404"/>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7"/>
      <c r="Q44" s="529">
        <f t="shared" si="11"/>
        <v>111</v>
      </c>
      <c r="R44" s="662" t="s">
        <v>14</v>
      </c>
      <c r="S44" s="663">
        <f t="shared" si="12"/>
        <v>100</v>
      </c>
      <c r="T44" s="662" t="s">
        <v>14</v>
      </c>
      <c r="U44" s="663">
        <f t="shared" si="13"/>
        <v>100</v>
      </c>
      <c r="V44" s="662" t="s">
        <v>14</v>
      </c>
      <c r="W44" s="663">
        <f t="shared" si="14"/>
        <v>100</v>
      </c>
      <c r="X44" s="664"/>
      <c r="Y44" s="3404"/>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7"/>
      <c r="Q45" s="1260">
        <f t="shared" si="11"/>
        <v>111</v>
      </c>
      <c r="R45" s="665" t="s">
        <v>14</v>
      </c>
      <c r="S45" s="666">
        <f t="shared" si="12"/>
        <v>100</v>
      </c>
      <c r="T45" s="665" t="s">
        <v>14</v>
      </c>
      <c r="U45" s="666">
        <f t="shared" si="13"/>
        <v>100</v>
      </c>
      <c r="V45" s="665" t="s">
        <v>14</v>
      </c>
      <c r="W45" s="666">
        <f t="shared" si="14"/>
        <v>100</v>
      </c>
      <c r="X45" s="1262"/>
      <c r="Y45" s="3404"/>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8"/>
      <c r="Q46" s="1260">
        <f t="shared" si="11"/>
        <v>111</v>
      </c>
      <c r="R46" s="665" t="s">
        <v>14</v>
      </c>
      <c r="S46" s="666">
        <f t="shared" si="12"/>
        <v>100</v>
      </c>
      <c r="T46" s="665" t="s">
        <v>14</v>
      </c>
      <c r="U46" s="666">
        <f t="shared" si="13"/>
        <v>100</v>
      </c>
      <c r="V46" s="665" t="s">
        <v>14</v>
      </c>
      <c r="W46" s="666">
        <f t="shared" si="14"/>
        <v>100</v>
      </c>
      <c r="X46" s="1262"/>
      <c r="Y46" s="3439"/>
      <c r="Z46" s="1261">
        <f t="shared" si="15"/>
        <v>111</v>
      </c>
      <c r="AA46" s="1261">
        <f t="shared" si="3"/>
        <v>1</v>
      </c>
      <c r="AB46" s="1261">
        <f t="shared" si="4"/>
        <v>1</v>
      </c>
      <c r="AC46" s="1261">
        <f t="shared" si="5"/>
        <v>1</v>
      </c>
    </row>
    <row r="47" spans="1:29" ht="15">
      <c r="A47" s="415" t="s">
        <v>1708</v>
      </c>
      <c r="B47" s="416"/>
      <c r="C47" s="1079" t="s">
        <v>0</v>
      </c>
      <c r="D47" s="417"/>
      <c r="E47" s="3186">
        <v>60000</v>
      </c>
      <c r="F47" s="419"/>
      <c r="G47" s="3187">
        <f>E47</f>
        <v>60000</v>
      </c>
      <c r="H47" s="421"/>
      <c r="I47" s="3186">
        <f>G47</f>
        <v>60000</v>
      </c>
      <c r="J47" s="421"/>
      <c r="K47" s="672"/>
      <c r="L47" s="2485"/>
      <c r="M47" s="2478"/>
      <c r="N47" s="2478"/>
      <c r="O47" s="2478"/>
      <c r="P47" s="3400" t="str">
        <f>A47</f>
        <v>成交单价（元/平方米）</v>
      </c>
      <c r="Q47" s="3400"/>
      <c r="R47" s="3405">
        <f>E47</f>
        <v>60000</v>
      </c>
      <c r="S47" s="3405"/>
      <c r="T47" s="3405">
        <f>G47</f>
        <v>60000</v>
      </c>
      <c r="U47" s="3405"/>
      <c r="V47" s="3405">
        <f>I47</f>
        <v>60000</v>
      </c>
      <c r="W47" s="3405"/>
      <c r="X47" s="384"/>
      <c r="Y47" s="671"/>
      <c r="Z47" s="384"/>
      <c r="AA47" s="384"/>
      <c r="AB47" s="384"/>
      <c r="AC47" s="384"/>
    </row>
    <row r="48" spans="1:29" ht="15.75" thickBot="1">
      <c r="A48" s="422" t="s">
        <v>1793</v>
      </c>
      <c r="B48" s="423"/>
      <c r="C48" s="1080">
        <f>R49</f>
        <v>47478</v>
      </c>
      <c r="D48" s="2135" t="s">
        <v>2137</v>
      </c>
      <c r="E48" s="1081">
        <f>R48</f>
        <v>47784</v>
      </c>
      <c r="F48" s="2136"/>
      <c r="G48" s="1080">
        <f>T48</f>
        <v>45928</v>
      </c>
      <c r="H48" s="2136"/>
      <c r="I48" s="1081">
        <f>V48</f>
        <v>48721</v>
      </c>
      <c r="J48" s="2136"/>
      <c r="K48" s="2138">
        <f>F48+H48+J48</f>
        <v>0</v>
      </c>
      <c r="L48" s="2485"/>
      <c r="M48" s="2478"/>
      <c r="N48" s="2478"/>
      <c r="O48" s="2478"/>
      <c r="P48" s="3400" t="str">
        <f>A48</f>
        <v>比较价值（元/平方米）</v>
      </c>
      <c r="Q48" s="3400"/>
      <c r="R48" s="3405">
        <f>IF(F1="售价",ROUND(PRODUCT(R47,AA7:AA46),0),ROUND(PRODUCT(R47,AA7:AA46),1))</f>
        <v>47784</v>
      </c>
      <c r="S48" s="3405"/>
      <c r="T48" s="3405">
        <f>IF(F1="售价",ROUND(PRODUCT(T47,AB7:AB46),0),ROUND(PRODUCT(T47,AB7:AB46),1))</f>
        <v>45928</v>
      </c>
      <c r="U48" s="3405"/>
      <c r="V48" s="3405">
        <f>IF(F1="售价",ROUND(PRODUCT(V47,AC7:AC46),0),ROUND(PRODUCT(V47,AC7:AC46),1))</f>
        <v>48721</v>
      </c>
      <c r="W48" s="3405"/>
      <c r="X48" s="384"/>
      <c r="Y48" s="384"/>
      <c r="Z48" s="384"/>
      <c r="AA48" s="384"/>
      <c r="AB48" s="384"/>
      <c r="AC48" s="384"/>
    </row>
    <row r="49" spans="1:29" ht="15.75" thickBot="1">
      <c r="A49" s="426" t="s">
        <v>1794</v>
      </c>
      <c r="B49" s="427"/>
      <c r="C49" s="350">
        <f>R49</f>
        <v>47478</v>
      </c>
      <c r="D49" s="350"/>
      <c r="E49" s="350"/>
      <c r="F49" s="350"/>
      <c r="G49" s="350"/>
      <c r="H49" s="350"/>
      <c r="I49" s="350"/>
      <c r="J49" s="350"/>
      <c r="K49" s="673"/>
      <c r="L49" s="2485"/>
      <c r="M49" s="2478"/>
      <c r="N49" s="2478"/>
      <c r="O49" s="2478"/>
      <c r="P49" s="3394" t="str">
        <f>A49</f>
        <v>估价对象XX用房的比较价值（楼面单价，元/平方米）</v>
      </c>
      <c r="Q49" s="3395"/>
      <c r="R49" s="3435">
        <f>IF(F1="售价",ROUND(IF(D48="简单平均",AVERAGE(R48:V48),R48*F48+T48*H48+V48*J48),0),ROUND(IF(D48="简单平均",AVERAGE(R48:V48),R48*F48+T48*H48+V48*J48),1))</f>
        <v>47478</v>
      </c>
      <c r="S49" s="3435"/>
      <c r="T49" s="3435"/>
      <c r="U49" s="3435"/>
      <c r="V49" s="3435"/>
      <c r="W49" s="3435"/>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0.25565042692114526</v>
      </c>
      <c r="F52" s="434" t="str">
        <f>IF(OR(E52&gt;=0.3,E52&lt;=-0.3),"超过30%","")</f>
        <v/>
      </c>
      <c r="G52" s="433">
        <f>IF(G47&lt;G48,G48/G47-1,G47/G48-1)</f>
        <v>0.30639261452708588</v>
      </c>
      <c r="H52" s="434" t="str">
        <f>IF(OR(G52&gt;=0.3,G52&lt;=-0.3),"超过30%","")</f>
        <v>超过30%</v>
      </c>
      <c r="I52" s="433">
        <f>IF(I47&lt;I48,I48/I47-1,I47/I48-1)</f>
        <v>0.2315018164651792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4.0411078209371176E-2</v>
      </c>
      <c r="F53" s="434" t="str">
        <f>IF(OR(E53&gt;=0.2,E53&lt;=-0.2),"超过20%","")</f>
        <v/>
      </c>
      <c r="G53" s="433">
        <f>IF(G48&lt;I48,I48/G48-1,G48/I48-1)</f>
        <v>6.0812576206235924E-2</v>
      </c>
      <c r="H53" s="434" t="str">
        <f>IF(OR(G53&gt;=0.2,G53&lt;=-0.2),"超过20%","")</f>
        <v/>
      </c>
      <c r="I53" s="433">
        <f>IF(I48&lt;E48,E48/I48-1,I48/E48-1)</f>
        <v>1.9609074167085128E-2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2024-4</v>
      </c>
      <c r="D58" s="1101">
        <f>EDATE(C58,-1)</f>
        <v>45352</v>
      </c>
      <c r="E58" s="1101">
        <f t="shared" ref="E58:N58" si="16">EDATE(D58,-1)</f>
        <v>45323</v>
      </c>
      <c r="F58" s="1101">
        <f t="shared" si="16"/>
        <v>45292</v>
      </c>
      <c r="G58" s="1101">
        <f t="shared" si="16"/>
        <v>45261</v>
      </c>
      <c r="H58" s="1101">
        <f t="shared" si="16"/>
        <v>45231</v>
      </c>
      <c r="I58" s="1101">
        <f t="shared" si="16"/>
        <v>45200</v>
      </c>
      <c r="J58" s="1101">
        <f t="shared" si="16"/>
        <v>45170</v>
      </c>
      <c r="K58" s="1101">
        <f t="shared" si="16"/>
        <v>45139</v>
      </c>
      <c r="L58" s="1101">
        <f t="shared" si="16"/>
        <v>45108</v>
      </c>
      <c r="M58" s="1101">
        <f t="shared" si="16"/>
        <v>45078</v>
      </c>
      <c r="N58" s="1101">
        <f t="shared" si="16"/>
        <v>45047</v>
      </c>
      <c r="O58" s="1101">
        <f>EDATE(N58,-1)</f>
        <v>45017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3489</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3490</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3435</v>
      </c>
      <c r="D88" s="3169" t="s">
        <v>3416</v>
      </c>
      <c r="E88" s="3169" t="s">
        <v>3413</v>
      </c>
      <c r="F88" s="3171" t="s">
        <v>3414</v>
      </c>
      <c r="G88" s="3169" t="s">
        <v>3521</v>
      </c>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v>97</v>
      </c>
      <c r="E89" s="3168">
        <v>94</v>
      </c>
      <c r="F89" s="3168">
        <v>91</v>
      </c>
      <c r="G89" s="3168">
        <v>88</v>
      </c>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3491</v>
      </c>
      <c r="D90" s="3172" t="s">
        <v>3492</v>
      </c>
      <c r="E90" s="3172" t="s">
        <v>3413</v>
      </c>
      <c r="F90" s="3172" t="s">
        <v>3493</v>
      </c>
      <c r="G90" s="3172" t="s">
        <v>3494</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3495</v>
      </c>
      <c r="D92" s="3174" t="s">
        <v>3496</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85</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3497</v>
      </c>
      <c r="D100" s="3175" t="s">
        <v>3498</v>
      </c>
      <c r="E100" s="3175" t="s">
        <v>3499</v>
      </c>
      <c r="F100" s="3175" t="s">
        <v>3500</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3501</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3502</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3503</v>
      </c>
      <c r="E112" s="3182" t="s">
        <v>3446</v>
      </c>
      <c r="F112" s="3182" t="s">
        <v>3504</v>
      </c>
      <c r="G112" s="3182" t="s">
        <v>3505</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3513</v>
      </c>
      <c r="D114" s="3136" t="s">
        <v>3514</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3506</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3515</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5" t="s">
        <v>694</v>
      </c>
      <c r="C6" s="1009" t="e">
        <f ca="1">ROUND(F6*F8*F7*(1-F9)/10000,0)</f>
        <v>#N/A</v>
      </c>
      <c r="D6" s="146" t="s">
        <v>2108</v>
      </c>
      <c r="E6" s="293" t="s">
        <v>696</v>
      </c>
      <c r="F6" s="294" t="e">
        <f ca="1">INDIRECT("'数据-取费表'!u"&amp;$G$1)</f>
        <v>#N/A</v>
      </c>
      <c r="G6" s="1289"/>
      <c r="H6" s="1004" t="s">
        <v>398</v>
      </c>
      <c r="I6" s="3465" t="s">
        <v>694</v>
      </c>
      <c r="J6" s="292" t="e">
        <f ca="1">ROUND(M6*M8*M7*(1-M9)/10000,0)</f>
        <v>#N/A</v>
      </c>
      <c r="K6" s="146" t="s">
        <v>2107</v>
      </c>
      <c r="L6" s="293" t="s">
        <v>696</v>
      </c>
      <c r="M6" s="294" t="e">
        <f ca="1">INDIRECT("'数据-取费表'!z"&amp;$G$1)</f>
        <v>#N/A</v>
      </c>
    </row>
    <row r="7" spans="1:37" ht="18" customHeight="1">
      <c r="A7" s="1008"/>
      <c r="B7" s="3466"/>
      <c r="C7" s="1010"/>
      <c r="D7" s="298"/>
      <c r="E7" s="1011" t="s">
        <v>697</v>
      </c>
      <c r="F7" s="294" t="e">
        <f ca="1">IF(INDIRECT("'数据-取费表'!ah"&amp;$G$1)="",INDIRECT("'数据-取费表'!k"&amp;$G$1),INDIRECT("'数据-取费表'!ah"&amp;$G$1))</f>
        <v>#N/A</v>
      </c>
      <c r="G7" s="1289"/>
      <c r="H7" s="295"/>
      <c r="I7" s="3466"/>
      <c r="J7" s="297"/>
      <c r="K7" s="298"/>
      <c r="L7" s="293" t="s">
        <v>697</v>
      </c>
      <c r="M7" s="294" t="e">
        <f ca="1">F7</f>
        <v>#N/A</v>
      </c>
    </row>
    <row r="8" spans="1:37" ht="18" customHeight="1">
      <c r="A8" s="295"/>
      <c r="B8" s="3466"/>
      <c r="C8" s="297"/>
      <c r="D8" s="298"/>
      <c r="E8" s="293" t="s">
        <v>698</v>
      </c>
      <c r="F8" s="294" t="e">
        <f ca="1">INDIRECT("'数据-取费表'!ai"&amp;$G$1)</f>
        <v>#N/A</v>
      </c>
      <c r="G8" s="1289"/>
      <c r="H8" s="295"/>
      <c r="I8" s="3466"/>
      <c r="J8" s="297"/>
      <c r="K8" s="298"/>
      <c r="L8" s="293" t="s">
        <v>698</v>
      </c>
      <c r="M8" s="294" t="e">
        <f ca="1">INDIRECT("'数据-取费表'!ai"&amp;$G$1)</f>
        <v>#N/A</v>
      </c>
    </row>
    <row r="9" spans="1:37" ht="18" customHeight="1">
      <c r="A9" s="295"/>
      <c r="B9" s="3467"/>
      <c r="C9" s="297"/>
      <c r="D9" s="298"/>
      <c r="E9" s="293" t="s">
        <v>699</v>
      </c>
      <c r="F9" s="303" t="e">
        <f ca="1">INDIRECT("'数据-取费表'!w"&amp;$G$1)</f>
        <v>#N/A</v>
      </c>
      <c r="G9" s="1289"/>
      <c r="H9" s="295"/>
      <c r="I9" s="3467"/>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1.4999999999999999E-2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18</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3481</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2004</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30</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63" t="s">
        <v>837</v>
      </c>
      <c r="L53" s="3464"/>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3482</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18</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J22" sqref="J22"/>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25</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316.13560000000001</v>
      </c>
      <c r="C2" s="1286" t="s">
        <v>879</v>
      </c>
      <c r="D2" s="1372">
        <f ca="1">C40+J29+L46</f>
        <v>3161356</v>
      </c>
      <c r="E2" s="1292" t="s">
        <v>880</v>
      </c>
      <c r="F2" s="1293"/>
      <c r="G2" s="2469"/>
      <c r="H2" s="2459"/>
      <c r="I2" s="2459"/>
      <c r="J2" s="2459"/>
      <c r="K2" s="2460"/>
      <c r="L2" s="2459"/>
      <c r="M2" s="2459"/>
    </row>
    <row r="3" spans="1:37" ht="18" customHeight="1" thickBot="1">
      <c r="A3" s="1294" t="s">
        <v>881</v>
      </c>
      <c r="B3" s="1295">
        <f ca="1">IF(ISERROR(D2/F43),0,ROUND(D2/F43,0))</f>
        <v>13358</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272440</v>
      </c>
      <c r="D5" s="1270" t="s">
        <v>889</v>
      </c>
      <c r="E5" s="1006"/>
      <c r="F5" s="1007"/>
      <c r="G5" s="1289"/>
      <c r="H5" s="290">
        <v>1</v>
      </c>
      <c r="I5" s="291" t="s">
        <v>888</v>
      </c>
      <c r="J5" s="1005">
        <f ca="1">J6+J10+J12</f>
        <v>0</v>
      </c>
      <c r="K5" s="1270" t="s">
        <v>889</v>
      </c>
      <c r="L5" s="1006"/>
      <c r="M5" s="1007"/>
    </row>
    <row r="6" spans="1:37" ht="18" customHeight="1">
      <c r="A6" s="1004" t="s">
        <v>398</v>
      </c>
      <c r="B6" s="3465" t="s">
        <v>694</v>
      </c>
      <c r="C6" s="3185">
        <f ca="1">ROUND(F6*F7*F8*(1-F9),0)</f>
        <v>272100</v>
      </c>
      <c r="D6" s="146" t="s">
        <v>2105</v>
      </c>
      <c r="E6" s="293" t="s">
        <v>696</v>
      </c>
      <c r="F6" s="294">
        <f ca="1">INDIRECT("'数据-取费表'!u"&amp;$G$1)</f>
        <v>3.5</v>
      </c>
      <c r="G6" s="1289"/>
      <c r="H6" s="1004" t="s">
        <v>398</v>
      </c>
      <c r="I6" s="3465" t="s">
        <v>694</v>
      </c>
      <c r="J6" s="292">
        <f ca="1">ROUND(M6*M8*M7*(1-M9),0)</f>
        <v>0</v>
      </c>
      <c r="K6" s="1281" t="s">
        <v>2106</v>
      </c>
      <c r="L6" s="293" t="s">
        <v>696</v>
      </c>
      <c r="M6" s="294">
        <f ca="1">INDIRECT("'数据-取费表'!z"&amp;$G$1)</f>
        <v>0</v>
      </c>
    </row>
    <row r="7" spans="1:37" ht="18" customHeight="1">
      <c r="A7" s="1008"/>
      <c r="B7" s="3466"/>
      <c r="C7" s="1010"/>
      <c r="D7" s="298"/>
      <c r="E7" s="1011" t="s">
        <v>697</v>
      </c>
      <c r="F7" s="294">
        <f ca="1">IF(INDIRECT("'数据-取费表'!ah"&amp;$G$1)="",INDIRECT("'数据-取费表'!k"&amp;$G$1),INDIRECT("'数据-取费表'!ah"&amp;$G$1))</f>
        <v>236.66</v>
      </c>
      <c r="G7" s="1289"/>
      <c r="H7" s="295"/>
      <c r="I7" s="3466"/>
      <c r="J7" s="297"/>
      <c r="K7" s="298"/>
      <c r="L7" s="293" t="s">
        <v>697</v>
      </c>
      <c r="M7" s="294">
        <f ca="1">F7</f>
        <v>236.66</v>
      </c>
    </row>
    <row r="8" spans="1:37" ht="18" customHeight="1">
      <c r="A8" s="295"/>
      <c r="B8" s="3466"/>
      <c r="C8" s="297"/>
      <c r="D8" s="298"/>
      <c r="E8" s="293" t="s">
        <v>698</v>
      </c>
      <c r="F8" s="294">
        <f ca="1">INDIRECT("'数据-取费表'!ai"&amp;$G$1)</f>
        <v>365</v>
      </c>
      <c r="G8" s="1289"/>
      <c r="H8" s="295"/>
      <c r="I8" s="3466"/>
      <c r="J8" s="297"/>
      <c r="K8" s="298"/>
      <c r="L8" s="293" t="s">
        <v>698</v>
      </c>
      <c r="M8" s="294">
        <f ca="1">INDIRECT("'数据-取费表'!ai"&amp;$G$1)</f>
        <v>365</v>
      </c>
    </row>
    <row r="9" spans="1:37" ht="18" customHeight="1">
      <c r="A9" s="295"/>
      <c r="B9" s="3467"/>
      <c r="C9" s="297"/>
      <c r="D9" s="298"/>
      <c r="E9" s="293" t="s">
        <v>699</v>
      </c>
      <c r="F9" s="303">
        <f ca="1">INDIRECT("'数据-取费表'!w"&amp;$G$1)</f>
        <v>0.1</v>
      </c>
      <c r="G9" s="1289"/>
      <c r="H9" s="295"/>
      <c r="I9" s="3467"/>
      <c r="J9" s="297"/>
      <c r="K9" s="298"/>
      <c r="L9" s="304" t="s">
        <v>699</v>
      </c>
      <c r="M9" s="305">
        <f ca="1">INDIRECT("'数据-取费表'!ab"&amp;$G$1)</f>
        <v>0</v>
      </c>
    </row>
    <row r="10" spans="1:37" ht="18" customHeight="1">
      <c r="A10" s="1004" t="s">
        <v>402</v>
      </c>
      <c r="B10" s="1271" t="s">
        <v>700</v>
      </c>
      <c r="C10" s="307">
        <f ca="1">ROUND(IF(F10="押一",C6/12*F11,IF(F10="押二",C6/12*2*F11,IF(F10="押三",C6/12*3*F11,C11*F11))),0)</f>
        <v>340</v>
      </c>
      <c r="D10" s="149" t="s">
        <v>2115</v>
      </c>
      <c r="E10" s="304" t="s">
        <v>701</v>
      </c>
      <c r="F10" s="1051" t="s">
        <v>3417</v>
      </c>
      <c r="G10" s="1289"/>
      <c r="H10" s="1004" t="s">
        <v>402</v>
      </c>
      <c r="I10" s="1271" t="s">
        <v>700</v>
      </c>
      <c r="J10" s="292">
        <f ca="1">ROUND(IF(M10="押一",J6/12*M11,IF(M10="押二",J6/12*2*M11,IF(M10="押三",J6/12*3*M11,J11*M11))),0)</f>
        <v>0</v>
      </c>
      <c r="K10" s="1282" t="s">
        <v>2117</v>
      </c>
      <c r="L10" s="304" t="s">
        <v>701</v>
      </c>
      <c r="M10" s="1051" t="s">
        <v>3417</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1139037</v>
      </c>
      <c r="D13" s="1016" t="s">
        <v>705</v>
      </c>
      <c r="E13" s="1016" t="s">
        <v>706</v>
      </c>
      <c r="F13" s="1017">
        <f ca="1">INDIRECT("'数据-取费表'!y"&amp;$G$1)</f>
        <v>0.75</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1064970</v>
      </c>
      <c r="D14" s="1254" t="s">
        <v>708</v>
      </c>
      <c r="E14" s="1252"/>
      <c r="F14" s="310"/>
      <c r="G14" s="1289"/>
      <c r="H14" s="926" t="s">
        <v>398</v>
      </c>
      <c r="I14" s="293" t="s">
        <v>709</v>
      </c>
      <c r="J14" s="21">
        <f ca="1">C29</f>
        <v>1518716</v>
      </c>
      <c r="K14" s="12"/>
      <c r="L14" s="757"/>
      <c r="M14" s="758"/>
    </row>
    <row r="15" spans="1:37" s="1301" customFormat="1" ht="18" customHeight="1" thickBot="1">
      <c r="A15" s="926" t="s">
        <v>399</v>
      </c>
      <c r="B15" s="293" t="s">
        <v>710</v>
      </c>
      <c r="C15" s="21">
        <f ca="1">ROUND(C14*F15,0)</f>
        <v>31949</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22781</v>
      </c>
      <c r="K16" s="1022" t="s">
        <v>715</v>
      </c>
      <c r="L16" s="1023"/>
      <c r="M16" s="1007"/>
    </row>
    <row r="17" spans="1:37" s="1301" customFormat="1" ht="18" customHeight="1">
      <c r="A17" s="926" t="s">
        <v>681</v>
      </c>
      <c r="B17" s="293" t="s">
        <v>716</v>
      </c>
      <c r="C17" s="21">
        <f ca="1">ROUND(F17*(F43+INDIRECT("'数据-取费表'!S"&amp;$G$1)),0)</f>
        <v>47332</v>
      </c>
      <c r="D17" s="293" t="s">
        <v>717</v>
      </c>
      <c r="E17" s="293" t="s">
        <v>718</v>
      </c>
      <c r="F17" s="23">
        <f>'数据-取费表'!B35</f>
        <v>200</v>
      </c>
      <c r="G17" s="1300"/>
      <c r="H17" s="926" t="s">
        <v>398</v>
      </c>
      <c r="I17" s="293" t="s">
        <v>719</v>
      </c>
      <c r="J17" s="2134">
        <f ca="1">ROUND(IF(AND(项目基本情况!B11="自然人",项目基本情况!B10="北京市"),J6*M17/(1+'数据-取费表'!C42),J18+J19+J20),0)</f>
        <v>0</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15975</v>
      </c>
      <c r="D18" s="293" t="s">
        <v>711</v>
      </c>
      <c r="E18" s="293" t="s">
        <v>712</v>
      </c>
      <c r="F18" s="313">
        <f>'数据-取费表'!B36</f>
        <v>1.4999999999999999E-2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1160226</v>
      </c>
      <c r="D19" s="122" t="s">
        <v>726</v>
      </c>
      <c r="E19" s="1266"/>
      <c r="F19" s="23"/>
      <c r="G19" s="1289"/>
      <c r="H19" s="926" t="s">
        <v>399</v>
      </c>
      <c r="I19" s="293" t="s">
        <v>727</v>
      </c>
      <c r="J19" s="21">
        <f ca="1">IF(K19="按租金收入计税",ROUND(J6*M19/(1+'数据-取费表'!C42),0),ROUND(C29*M19*0.7,0))</f>
        <v>0</v>
      </c>
      <c r="K19" s="1275" t="s">
        <v>3330</v>
      </c>
      <c r="L19" s="293" t="s">
        <v>712</v>
      </c>
      <c r="M19" s="313">
        <f>IF(K19="按租金收入计税",'数据-取费表'!B51,'数据-取费表'!B50)</f>
        <v>0.12</v>
      </c>
    </row>
    <row r="20" spans="1:37" s="1301" customFormat="1" ht="18" customHeight="1">
      <c r="A20" s="926" t="s">
        <v>402</v>
      </c>
      <c r="B20" s="293" t="s">
        <v>728</v>
      </c>
      <c r="C20" s="21">
        <f ca="1">ROUND(C19*F20,0)</f>
        <v>23205</v>
      </c>
      <c r="D20" s="314" t="s">
        <v>729</v>
      </c>
      <c r="E20" s="293" t="s">
        <v>712</v>
      </c>
      <c r="F20" s="313">
        <f>'数据-取费表'!B37</f>
        <v>0.02</v>
      </c>
      <c r="G20" s="1300"/>
      <c r="H20" s="926" t="s">
        <v>680</v>
      </c>
      <c r="I20" s="146" t="s">
        <v>730</v>
      </c>
      <c r="J20" s="22">
        <f ca="1">ROUND(M20*M21,0)</f>
        <v>0</v>
      </c>
      <c r="K20" s="315" t="s">
        <v>731</v>
      </c>
      <c r="L20" s="293" t="s">
        <v>732</v>
      </c>
      <c r="M20" s="316">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f ca="1">ROUND(J14*M22,0)</f>
        <v>22781</v>
      </c>
      <c r="K22" s="1253" t="s">
        <v>739</v>
      </c>
      <c r="L22" s="293" t="s">
        <v>712</v>
      </c>
      <c r="M22" s="319">
        <f ca="1">INDIRECT("'数据-取费表'!Ak"&amp;$G$1)</f>
        <v>1.4999999999999999E-2</v>
      </c>
    </row>
    <row r="23" spans="1:37" s="1301" customFormat="1" ht="18" customHeight="1">
      <c r="A23" s="926" t="s">
        <v>397</v>
      </c>
      <c r="B23" s="293" t="s">
        <v>740</v>
      </c>
      <c r="C23" s="21">
        <f ca="1">IF('数据-取费表'!B22&lt;=1,ROUND(C19*F24*F23/2,0)+ROUND(C20*F24*F23/2,0),ROUND(C19*(POWER((1+F24),F23/2)-1),0)+ROUND(C20*(POWER((1+F24),F23/2)-1),0))</f>
        <v>40829</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ROUND(J13*M23,0)</f>
        <v>0</v>
      </c>
      <c r="K23" s="1253" t="s">
        <v>743</v>
      </c>
      <c r="L23" s="293" t="s">
        <v>744</v>
      </c>
      <c r="M23" s="320">
        <f ca="1">INDIRECT("'数据-取费表'!Al"&amp;$G$1)</f>
        <v>1.5E-3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1.4999999999999999E-2</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-22781</v>
      </c>
      <c r="K25" s="1030" t="s">
        <v>753</v>
      </c>
      <c r="L25" s="1031"/>
      <c r="M25" s="1032"/>
    </row>
    <row r="26" spans="1:37" ht="18" customHeight="1">
      <c r="A26" s="926" t="s">
        <v>397</v>
      </c>
      <c r="B26" s="293" t="s">
        <v>754</v>
      </c>
      <c r="C26" s="21">
        <f ca="1">ROUND((C19+C20)*F26,0)</f>
        <v>177515</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0.06</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1518716</v>
      </c>
      <c r="D29" s="1027"/>
      <c r="E29" s="1025"/>
      <c r="F29" s="1028"/>
      <c r="G29" s="1300"/>
      <c r="H29" s="324" t="s">
        <v>396</v>
      </c>
      <c r="I29" s="325" t="s">
        <v>768</v>
      </c>
      <c r="J29" s="326">
        <f ca="1">ROUND(J26/(1+F40)^F41,0)</f>
        <v>0</v>
      </c>
      <c r="K29" s="327" t="s">
        <v>769</v>
      </c>
      <c r="L29" s="328"/>
      <c r="M29" s="329">
        <f ca="1">INDIRECT("'数据-取费表'!k"&amp;$G$1)</f>
        <v>236.66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74186</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45609</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14512</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31097</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0</v>
      </c>
      <c r="D34" s="315" t="s">
        <v>731</v>
      </c>
      <c r="E34" s="293" t="s">
        <v>732</v>
      </c>
      <c r="F34" s="316">
        <f>'数据-取费表'!B52</f>
        <v>18</v>
      </c>
      <c r="G34" s="1289"/>
      <c r="H34" s="2461"/>
      <c r="I34" s="1302"/>
      <c r="J34" s="1303"/>
      <c r="K34" s="2466"/>
      <c r="L34" s="2467"/>
      <c r="M34" s="2467"/>
    </row>
    <row r="35" spans="1:18" ht="18" customHeight="1">
      <c r="A35" s="1038"/>
      <c r="B35" s="1036"/>
      <c r="C35" s="26"/>
      <c r="D35" s="318"/>
      <c r="E35" s="293" t="s">
        <v>736</v>
      </c>
      <c r="F35" s="294">
        <f ca="1">INDIRECT("'数据-取费表'!r"&amp;$G$1)</f>
        <v>0</v>
      </c>
      <c r="G35" s="1289"/>
      <c r="H35" s="2461"/>
      <c r="I35" s="1302"/>
      <c r="J35" s="1303"/>
      <c r="K35" s="2465"/>
      <c r="L35" s="2464"/>
      <c r="M35" s="2464"/>
    </row>
    <row r="36" spans="1:18" ht="18" customHeight="1">
      <c r="A36" s="1037" t="s">
        <v>402</v>
      </c>
      <c r="B36" s="293" t="s">
        <v>738</v>
      </c>
      <c r="C36" s="21">
        <f ca="1">ROUND(C29*F36,0)</f>
        <v>22781</v>
      </c>
      <c r="D36" s="1253" t="s">
        <v>771</v>
      </c>
      <c r="E36" s="293" t="s">
        <v>712</v>
      </c>
      <c r="F36" s="319">
        <f ca="1">INDIRECT("'数据-取费表'!Ak"&amp;$G$1)</f>
        <v>1.4999999999999999E-2</v>
      </c>
      <c r="G36" s="1289"/>
      <c r="H36" s="2464"/>
      <c r="I36" s="1302"/>
      <c r="J36" s="1303"/>
      <c r="K36" s="2322"/>
      <c r="L36" s="2464"/>
      <c r="M36" s="2464"/>
    </row>
    <row r="37" spans="1:18" ht="18" customHeight="1">
      <c r="A37" s="926" t="s">
        <v>437</v>
      </c>
      <c r="B37" s="293" t="s">
        <v>742</v>
      </c>
      <c r="C37" s="21">
        <f ca="1">ROUND(C13*F37,0)</f>
        <v>1709</v>
      </c>
      <c r="D37" s="1253" t="s">
        <v>743</v>
      </c>
      <c r="E37" s="293" t="s">
        <v>744</v>
      </c>
      <c r="F37" s="320">
        <f ca="1">INDIRECT("'数据-取费表'!Al"&amp;$G$1)</f>
        <v>1.5E-3</v>
      </c>
      <c r="G37" s="1289"/>
      <c r="H37" s="2464"/>
      <c r="I37" s="1302"/>
      <c r="J37" s="1303"/>
      <c r="K37" s="2322"/>
      <c r="L37" s="2464"/>
      <c r="M37" s="2464"/>
    </row>
    <row r="38" spans="1:18" ht="18" customHeight="1" thickBot="1">
      <c r="A38" s="1024" t="s">
        <v>684</v>
      </c>
      <c r="B38" s="1025" t="s">
        <v>728</v>
      </c>
      <c r="C38" s="1026">
        <f ca="1">ROUND(C5*F38,0)</f>
        <v>4087</v>
      </c>
      <c r="D38" s="1027" t="s">
        <v>748</v>
      </c>
      <c r="E38" s="1025" t="s">
        <v>744</v>
      </c>
      <c r="F38" s="1021">
        <f ca="1">INDIRECT("'数据-取费表'!Am"&amp;$G$1)</f>
        <v>1.4999999999999999E-2</v>
      </c>
      <c r="G38" s="1289"/>
      <c r="H38" s="2464"/>
      <c r="I38" s="1302"/>
      <c r="J38" s="1303"/>
      <c r="K38" s="2462"/>
      <c r="L38" s="2464"/>
      <c r="M38" s="2464"/>
    </row>
    <row r="39" spans="1:18" ht="24.6" customHeight="1" thickTop="1">
      <c r="A39" s="1014" t="s">
        <v>394</v>
      </c>
      <c r="B39" s="1029" t="s">
        <v>772</v>
      </c>
      <c r="C39" s="301">
        <f ca="1">C5-C30</f>
        <v>198254</v>
      </c>
      <c r="D39" s="1030" t="s">
        <v>773</v>
      </c>
      <c r="E39" s="1031"/>
      <c r="F39" s="1032"/>
      <c r="G39" s="1289"/>
      <c r="H39" s="2464">
        <f ca="1">C39/C5</f>
        <v>0.72769784172661867</v>
      </c>
      <c r="I39" s="1302"/>
      <c r="J39" s="1303"/>
      <c r="K39" s="2462"/>
      <c r="L39" s="2464"/>
      <c r="M39" s="2464"/>
    </row>
    <row r="40" spans="1:18" ht="18" customHeight="1">
      <c r="A40" s="290" t="s">
        <v>395</v>
      </c>
      <c r="B40" s="291" t="s">
        <v>774</v>
      </c>
      <c r="C40" s="292">
        <f ca="1">ROUND(C39*(1-((1+F42)/(1+F40))^F41)/(F40-F42),0)</f>
        <v>3061741</v>
      </c>
      <c r="D40" s="315" t="s">
        <v>758</v>
      </c>
      <c r="E40" s="293" t="s">
        <v>759</v>
      </c>
      <c r="F40" s="303">
        <f ca="1">INDIRECT("'数据-取费表'!I"&amp;$G$1)</f>
        <v>0.06</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25</v>
      </c>
      <c r="G41" s="1289"/>
      <c r="H41" s="120"/>
      <c r="I41" s="1302">
        <f ca="1">C40+J29</f>
        <v>3061741</v>
      </c>
      <c r="J41" s="1303"/>
      <c r="K41" s="2322"/>
      <c r="L41" s="120"/>
      <c r="M41" s="120"/>
    </row>
    <row r="42" spans="1:18" ht="18" customHeight="1">
      <c r="A42" s="299"/>
      <c r="B42" s="300"/>
      <c r="C42" s="301"/>
      <c r="D42" s="318"/>
      <c r="E42" s="293" t="s">
        <v>766</v>
      </c>
      <c r="F42" s="303">
        <f ca="1">INDIRECT("'数据-取费表'!v"&amp;$G$1)</f>
        <v>0.02</v>
      </c>
      <c r="G42" s="1289"/>
      <c r="H42" s="120"/>
      <c r="I42" s="1302"/>
      <c r="J42" s="1303"/>
      <c r="K42" s="2322"/>
      <c r="L42" s="120"/>
      <c r="M42" s="120"/>
    </row>
    <row r="43" spans="1:18" ht="18" customHeight="1" thickBot="1">
      <c r="A43" s="324" t="s">
        <v>396</v>
      </c>
      <c r="B43" s="325" t="s">
        <v>776</v>
      </c>
      <c r="C43" s="326">
        <f ca="1">ROUND(C40/F43,0)</f>
        <v>12937</v>
      </c>
      <c r="D43" s="327" t="s">
        <v>777</v>
      </c>
      <c r="E43" s="328" t="s">
        <v>778</v>
      </c>
      <c r="F43" s="329">
        <f ca="1">INDIRECT("'数据-取费表'!k"&amp;$G$1)</f>
        <v>236.66</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-337.48050000000001</v>
      </c>
      <c r="D45" s="3119" t="s">
        <v>3347</v>
      </c>
      <c r="E45" s="1304"/>
      <c r="F45" s="1304"/>
      <c r="O45" s="1307" t="s">
        <v>808</v>
      </c>
      <c r="P45" s="1363"/>
      <c r="Q45" s="1363"/>
      <c r="R45" s="1363"/>
    </row>
    <row r="46" spans="1:18" s="1289" customFormat="1" ht="13.5" thickBot="1">
      <c r="A46" s="1308" t="s">
        <v>809</v>
      </c>
      <c r="C46" s="1309">
        <f ca="1">ROUND(C45,0)</f>
        <v>-337</v>
      </c>
      <c r="D46" s="1310" t="str">
        <f>C2</f>
        <v>万元</v>
      </c>
      <c r="I46" s="1311" t="s">
        <v>810</v>
      </c>
      <c r="J46" s="1312"/>
      <c r="K46" s="1313"/>
      <c r="L46" s="1314">
        <f ca="1">IF(M47="住宅",0,IF(L48&gt;J51,L60,J60))</f>
        <v>99615</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3061741</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25</v>
      </c>
      <c r="O48" s="1322" t="s">
        <v>404</v>
      </c>
      <c r="P48" s="1323" t="s">
        <v>821</v>
      </c>
      <c r="Q48" s="1324">
        <f ca="1">J60</f>
        <v>99615</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2004</v>
      </c>
      <c r="K49" s="1327" t="s">
        <v>824</v>
      </c>
      <c r="L49" s="1330"/>
      <c r="O49" s="1331" t="s">
        <v>405</v>
      </c>
      <c r="P49" s="1323" t="s">
        <v>825</v>
      </c>
      <c r="Q49" s="1324">
        <f ca="1">C29</f>
        <v>1518716</v>
      </c>
      <c r="R49" s="1324" t="s">
        <v>818</v>
      </c>
    </row>
    <row r="50" spans="1:18" s="1289" customFormat="1" ht="13.5" thickBot="1">
      <c r="A50" s="920"/>
      <c r="B50" s="923"/>
      <c r="C50" s="924"/>
      <c r="D50" s="897"/>
      <c r="E50" s="991" t="s">
        <v>697</v>
      </c>
      <c r="F50" s="992">
        <f ca="1">F7</f>
        <v>236.66</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40</v>
      </c>
      <c r="K51" s="1336" t="s">
        <v>830</v>
      </c>
      <c r="L51" s="1337">
        <f ca="1">ROUND(-PV(INDIRECT("'数据-取费表'!h"&amp;$G$1),J51,(C39-C13*C76),0),0)</f>
        <v>2033719</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25</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25</v>
      </c>
      <c r="K53" s="3463" t="s">
        <v>837</v>
      </c>
      <c r="L53" s="3464"/>
      <c r="O53" s="1322" t="s">
        <v>409</v>
      </c>
      <c r="P53" s="1323" t="s">
        <v>838</v>
      </c>
      <c r="Q53" s="1324">
        <f ca="1">Q47+Q48</f>
        <v>3161356</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0.25</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1139037</v>
      </c>
      <c r="D56" s="1349"/>
      <c r="E56" s="1350"/>
      <c r="F56" s="1342"/>
      <c r="I56" s="1351" t="s">
        <v>842</v>
      </c>
      <c r="J56" s="1352" t="s">
        <v>3375</v>
      </c>
      <c r="K56" s="1325" t="s">
        <v>843</v>
      </c>
      <c r="L56" s="1328" t="str">
        <f ca="1">IF(L48&lt;J51,"——",L48-J51)</f>
        <v>——</v>
      </c>
      <c r="O56" s="1322" t="s">
        <v>403</v>
      </c>
      <c r="P56" s="1323" t="s">
        <v>817</v>
      </c>
      <c r="Q56" s="1324">
        <f ca="1">C40+J29</f>
        <v>3061741</v>
      </c>
      <c r="R56" s="1324" t="s">
        <v>818</v>
      </c>
    </row>
    <row r="57" spans="1:18" s="1289" customFormat="1" ht="24.75" thickBot="1">
      <c r="A57" s="1353"/>
      <c r="B57" s="894" t="s">
        <v>767</v>
      </c>
      <c r="C57" s="229">
        <f ca="1">C29</f>
        <v>1518716</v>
      </c>
      <c r="D57" s="1354"/>
      <c r="E57" s="1355"/>
      <c r="F57" s="1356"/>
      <c r="I57" s="1357" t="s">
        <v>844</v>
      </c>
      <c r="J57" s="1358">
        <f ca="1">IF(OR(M47="住宅",J51&lt;L48,J56="是"),"——",J51-L48)</f>
        <v>15</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24490</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607486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99615</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18</v>
      </c>
      <c r="I62" s="1364" t="s">
        <v>858</v>
      </c>
      <c r="J62" s="608" t="s">
        <v>859</v>
      </c>
      <c r="K62" s="608" t="s">
        <v>860</v>
      </c>
      <c r="L62" s="608" t="s">
        <v>861</v>
      </c>
      <c r="M62" s="1365" t="s">
        <v>862</v>
      </c>
      <c r="O62" s="1322" t="s">
        <v>409</v>
      </c>
      <c r="P62" s="1323" t="s">
        <v>863</v>
      </c>
      <c r="Q62" s="1324">
        <f ca="1">Q56+Q57</f>
        <v>3061741</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22781</v>
      </c>
      <c r="D64" s="908" t="s">
        <v>791</v>
      </c>
      <c r="E64" s="894" t="s">
        <v>783</v>
      </c>
      <c r="F64" s="319">
        <f t="shared" ca="1" si="0"/>
        <v>1.4999999999999999E-2</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1709</v>
      </c>
      <c r="D65" s="908" t="s">
        <v>743</v>
      </c>
      <c r="E65" s="894" t="s">
        <v>744</v>
      </c>
      <c r="F65" s="320">
        <f t="shared" ca="1" si="0"/>
        <v>1.5E-3</v>
      </c>
      <c r="I65" s="1364" t="s">
        <v>867</v>
      </c>
      <c r="J65" s="608">
        <v>40</v>
      </c>
      <c r="K65" s="608">
        <v>30</v>
      </c>
      <c r="L65" s="608">
        <v>50</v>
      </c>
      <c r="M65" s="1366">
        <v>0.02</v>
      </c>
      <c r="O65" s="1322" t="s">
        <v>403</v>
      </c>
      <c r="P65" s="1323" t="s">
        <v>868</v>
      </c>
      <c r="Q65" s="1324">
        <f ca="1">C40+J29</f>
        <v>3061741</v>
      </c>
      <c r="R65" s="1324" t="s">
        <v>818</v>
      </c>
    </row>
    <row r="66" spans="1:18" s="1289" customFormat="1" ht="16.5" thickBot="1">
      <c r="A66" s="926" t="s">
        <v>793</v>
      </c>
      <c r="B66" s="894" t="s">
        <v>728</v>
      </c>
      <c r="C66" s="21">
        <f ca="1">ROUND(C48*F66,0)</f>
        <v>0</v>
      </c>
      <c r="D66" s="908" t="s">
        <v>794</v>
      </c>
      <c r="E66" s="894" t="s">
        <v>712</v>
      </c>
      <c r="F66" s="303">
        <f t="shared" ca="1" si="0"/>
        <v>1.4999999999999999E-2</v>
      </c>
      <c r="O66" s="1322" t="s">
        <v>404</v>
      </c>
      <c r="P66" s="1323" t="s">
        <v>846</v>
      </c>
      <c r="Q66" s="1324">
        <f ca="1">L60</f>
        <v>0</v>
      </c>
      <c r="R66" s="1324" t="s">
        <v>869</v>
      </c>
    </row>
    <row r="67" spans="1:18" s="1289" customFormat="1" ht="16.5" thickBot="1">
      <c r="A67" s="901" t="s">
        <v>394</v>
      </c>
      <c r="B67" s="911" t="s">
        <v>752</v>
      </c>
      <c r="C67" s="307">
        <f ca="1">C48-C58</f>
        <v>-24490</v>
      </c>
      <c r="D67" s="907" t="s">
        <v>753</v>
      </c>
      <c r="E67" s="912"/>
      <c r="F67" s="913"/>
      <c r="O67" s="1331" t="s">
        <v>405</v>
      </c>
      <c r="P67" s="1323" t="s">
        <v>850</v>
      </c>
      <c r="Q67" s="1367">
        <f ca="1">L51</f>
        <v>2033719</v>
      </c>
      <c r="R67" s="1324" t="s">
        <v>870</v>
      </c>
    </row>
    <row r="68" spans="1:18" s="1289" customFormat="1" ht="16.5" thickBot="1">
      <c r="A68" s="891" t="s">
        <v>395</v>
      </c>
      <c r="B68" s="892" t="s">
        <v>774</v>
      </c>
      <c r="C68" s="292">
        <f ca="1">ROUND(C67*(1-((1+F70)/(1+F68))^F69)/(F68-F70),0)</f>
        <v>-313064</v>
      </c>
      <c r="D68" s="909" t="s">
        <v>758</v>
      </c>
      <c r="E68" s="894" t="s">
        <v>759</v>
      </c>
      <c r="F68" s="303">
        <f ca="1">F40</f>
        <v>0.06</v>
      </c>
      <c r="O68" s="1331" t="s">
        <v>406</v>
      </c>
      <c r="P68" s="1368" t="s">
        <v>871</v>
      </c>
      <c r="Q68" s="1324">
        <f ca="1">ROUND(Q69-Q70*Q71,0)</f>
        <v>118521</v>
      </c>
      <c r="R68" s="1324" t="s">
        <v>414</v>
      </c>
    </row>
    <row r="69" spans="1:18" s="1289" customFormat="1" ht="13.5" thickBot="1">
      <c r="A69" s="895"/>
      <c r="B69" s="896"/>
      <c r="C69" s="297"/>
      <c r="D69" s="914" t="s">
        <v>762</v>
      </c>
      <c r="E69" s="894" t="s">
        <v>763</v>
      </c>
      <c r="F69" s="323">
        <f ca="1">F41</f>
        <v>25</v>
      </c>
      <c r="O69" s="1331" t="s">
        <v>411</v>
      </c>
      <c r="P69" s="1368" t="s">
        <v>872</v>
      </c>
      <c r="Q69" s="1324">
        <f ca="1">C39</f>
        <v>198254</v>
      </c>
      <c r="R69" s="1324" t="s">
        <v>818</v>
      </c>
    </row>
    <row r="70" spans="1:18" s="1289" customFormat="1" ht="13.5" thickBot="1">
      <c r="A70" s="898"/>
      <c r="B70" s="899"/>
      <c r="C70" s="301"/>
      <c r="D70" s="910"/>
      <c r="E70" s="894" t="s">
        <v>766</v>
      </c>
      <c r="F70" s="989"/>
      <c r="O70" s="1331" t="s">
        <v>412</v>
      </c>
      <c r="P70" s="1368" t="s">
        <v>873</v>
      </c>
      <c r="Q70" s="1324">
        <f ca="1">C13</f>
        <v>1139037</v>
      </c>
      <c r="R70" s="1324" t="s">
        <v>818</v>
      </c>
    </row>
    <row r="71" spans="1:18" s="1289" customFormat="1" ht="13.5" thickBot="1">
      <c r="A71" s="915" t="s">
        <v>396</v>
      </c>
      <c r="B71" s="916" t="s">
        <v>776</v>
      </c>
      <c r="C71" s="326">
        <f ca="1">ROUND(C68/F71,0)</f>
        <v>-1323</v>
      </c>
      <c r="D71" s="917" t="s">
        <v>777</v>
      </c>
      <c r="E71" s="918" t="s">
        <v>778</v>
      </c>
      <c r="F71" s="329">
        <f ca="1">F43</f>
        <v>236.66</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79733</v>
      </c>
      <c r="D75" s="1289"/>
      <c r="E75" s="1289"/>
      <c r="F75" s="1289"/>
      <c r="K75" s="1306"/>
      <c r="L75" s="1289"/>
      <c r="O75" s="1322" t="s">
        <v>409</v>
      </c>
      <c r="P75" s="1323" t="s">
        <v>838</v>
      </c>
      <c r="Q75" s="1324">
        <f ca="1">Q65+Q66</f>
        <v>3061741</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0.59799999999999998</v>
      </c>
    </row>
    <row r="80" spans="1:18">
      <c r="B80" s="330" t="s">
        <v>800</v>
      </c>
      <c r="C80" s="265">
        <f ca="1">ROUND(C75/C39,3)</f>
        <v>0.40200000000000002</v>
      </c>
    </row>
    <row r="81" spans="2:3">
      <c r="B81" s="261" t="s">
        <v>801</v>
      </c>
      <c r="C81" s="229"/>
    </row>
    <row r="82" spans="2:3">
      <c r="B82" s="264" t="s">
        <v>802</v>
      </c>
      <c r="C82" s="266">
        <f ca="1">1-C83</f>
        <v>0.628</v>
      </c>
    </row>
    <row r="83" spans="2:3">
      <c r="B83" s="264" t="s">
        <v>803</v>
      </c>
      <c r="C83" s="265">
        <f ca="1">ROUND(C13/C40,3)</f>
        <v>0.372</v>
      </c>
    </row>
  </sheetData>
  <sheetProtection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316.13560000000001</v>
      </c>
      <c r="C2" s="1726" t="s">
        <v>1651</v>
      </c>
      <c r="D2" s="1727" t="s">
        <v>1652</v>
      </c>
      <c r="E2" s="2384">
        <f>SUM(E6:E13)</f>
        <v>236.66</v>
      </c>
      <c r="F2" s="2470"/>
      <c r="G2" s="458"/>
      <c r="H2" s="458"/>
      <c r="I2" s="458"/>
      <c r="J2" s="458"/>
      <c r="K2" s="458"/>
      <c r="L2" s="458"/>
      <c r="M2" s="458"/>
      <c r="N2" s="458"/>
      <c r="O2" s="458"/>
      <c r="P2" s="458"/>
      <c r="Q2" s="458"/>
      <c r="R2" s="458"/>
      <c r="S2" s="458"/>
    </row>
    <row r="3" spans="1:22" ht="15.75">
      <c r="A3" s="1725" t="s">
        <v>686</v>
      </c>
      <c r="B3" s="2378">
        <f ca="1">ROUND(B2*10000/E2,0)</f>
        <v>13358</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8" t="s">
        <v>1654</v>
      </c>
      <c r="C5" s="3469"/>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316.13560000000001</v>
      </c>
      <c r="C6" s="1726" t="s">
        <v>1651</v>
      </c>
      <c r="D6" s="2470"/>
      <c r="E6" s="2383">
        <f>IF(OR(A6=0,F6="否"),0,'数据-取费表'!K6+'数据-取费表'!S6)</f>
        <v>236.66</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估价对象为北京市房地产，为所有。根据《国有土地使用证》[]，估价对象（分摊）出让国有建设用地使用权面积为0平方米，建筑面积为236.66平方米。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估价对象为北京市房地产,属开发建设的居住项目，该项目尚在开发建设中。根据《国有土地使用证》[]，估价对象（分摊）出让国有建设用地使用权面积为0平方米，规划建筑面积为236.66平方米。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2024年4月10日（评估专业人员实地查勘之日）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236.66</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76" t="s">
        <v>1775</v>
      </c>
      <c r="Q4" s="3477"/>
      <c r="R4" s="3480" t="s">
        <v>1771</v>
      </c>
      <c r="S4" s="3481"/>
      <c r="T4" s="3480" t="s">
        <v>1772</v>
      </c>
      <c r="U4" s="3481"/>
      <c r="V4" s="3482" t="s">
        <v>1773</v>
      </c>
      <c r="W4" s="3482"/>
      <c r="X4" s="1803"/>
      <c r="Y4" s="3480" t="s">
        <v>1775</v>
      </c>
      <c r="Z4" s="3481"/>
      <c r="AA4" s="3484" t="s">
        <v>1771</v>
      </c>
      <c r="AB4" s="3484" t="s">
        <v>1772</v>
      </c>
      <c r="AC4" s="3473" t="s">
        <v>1773</v>
      </c>
    </row>
    <row r="5" spans="1:29" ht="15">
      <c r="A5" s="347"/>
      <c r="B5" s="348"/>
      <c r="C5" s="3426" t="s">
        <v>1673</v>
      </c>
      <c r="D5" s="3427"/>
      <c r="E5" s="3433" t="s">
        <v>1674</v>
      </c>
      <c r="F5" s="3434"/>
      <c r="G5" s="3426" t="s">
        <v>1675</v>
      </c>
      <c r="H5" s="3427"/>
      <c r="I5" s="3426" t="s">
        <v>1676</v>
      </c>
      <c r="J5" s="3427"/>
      <c r="K5" s="536"/>
      <c r="L5" s="2477"/>
      <c r="M5" s="2478"/>
      <c r="N5" s="2478"/>
      <c r="O5" s="2478"/>
      <c r="P5" s="3478"/>
      <c r="Q5" s="3415"/>
      <c r="R5" s="3420"/>
      <c r="S5" s="3421"/>
      <c r="T5" s="3420"/>
      <c r="U5" s="3421"/>
      <c r="V5" s="3405"/>
      <c r="W5" s="3405"/>
      <c r="X5" s="1262"/>
      <c r="Y5" s="3420"/>
      <c r="Z5" s="3421"/>
      <c r="AA5" s="3407"/>
      <c r="AB5" s="3407"/>
      <c r="AC5" s="3474"/>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79"/>
      <c r="Q6" s="3417"/>
      <c r="R6" s="3420"/>
      <c r="S6" s="3421"/>
      <c r="T6" s="3422"/>
      <c r="U6" s="3423"/>
      <c r="V6" s="3405"/>
      <c r="W6" s="3405"/>
      <c r="X6" s="1262"/>
      <c r="Y6" s="3422"/>
      <c r="Z6" s="3423"/>
      <c r="AA6" s="3408"/>
      <c r="AB6" s="3408"/>
      <c r="AC6" s="3475"/>
    </row>
    <row r="7" spans="1:29" s="101" customFormat="1" ht="15.75" thickBot="1">
      <c r="A7" s="351" t="s">
        <v>1679</v>
      </c>
      <c r="B7" s="352"/>
      <c r="C7" s="353">
        <f>'数据-取费表'!B2</f>
        <v>45392</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3"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3" t="s">
        <v>1683</v>
      </c>
      <c r="Q8" s="3429"/>
      <c r="R8" s="662" t="s">
        <v>14</v>
      </c>
      <c r="S8" s="663">
        <f t="shared" si="0"/>
        <v>100</v>
      </c>
      <c r="T8" s="662" t="s">
        <v>14</v>
      </c>
      <c r="U8" s="663">
        <f t="shared" si="1"/>
        <v>100</v>
      </c>
      <c r="V8" s="662" t="s">
        <v>14</v>
      </c>
      <c r="W8" s="663">
        <f t="shared" si="2"/>
        <v>100</v>
      </c>
      <c r="X8" s="664"/>
      <c r="Y8" s="3428" t="s">
        <v>1683</v>
      </c>
      <c r="Z8" s="3429"/>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99"/>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399"/>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40" t="s">
        <v>1691</v>
      </c>
      <c r="Q15" s="1260" t="str">
        <f t="shared" si="6"/>
        <v>办公集聚程度</v>
      </c>
      <c r="R15" s="665" t="s">
        <v>14</v>
      </c>
      <c r="S15" s="666">
        <f t="shared" si="0"/>
        <v>100</v>
      </c>
      <c r="T15" s="665" t="s">
        <v>14</v>
      </c>
      <c r="U15" s="666">
        <f t="shared" si="1"/>
        <v>100</v>
      </c>
      <c r="V15" s="665" t="s">
        <v>14</v>
      </c>
      <c r="W15" s="666">
        <f t="shared" si="2"/>
        <v>100</v>
      </c>
      <c r="X15" s="1262"/>
      <c r="Y15" s="3401"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1"/>
      <c r="Q16" s="1260"/>
      <c r="R16" s="665"/>
      <c r="S16" s="666"/>
      <c r="T16" s="665"/>
      <c r="U16" s="666"/>
      <c r="V16" s="665"/>
      <c r="W16" s="666"/>
      <c r="X16" s="1262"/>
      <c r="Y16" s="3402"/>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1"/>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1"/>
      <c r="Q18" s="1260"/>
      <c r="R18" s="665"/>
      <c r="S18" s="666"/>
      <c r="T18" s="665"/>
      <c r="U18" s="666"/>
      <c r="V18" s="665"/>
      <c r="W18" s="666"/>
      <c r="X18" s="1262"/>
      <c r="Y18" s="3402"/>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1"/>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1"/>
      <c r="Q20" s="1260"/>
      <c r="R20" s="665"/>
      <c r="S20" s="666"/>
      <c r="T20" s="665"/>
      <c r="U20" s="666"/>
      <c r="V20" s="665"/>
      <c r="W20" s="666"/>
      <c r="X20" s="1262"/>
      <c r="Y20" s="3402"/>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1"/>
      <c r="Q22" s="1260"/>
      <c r="R22" s="665"/>
      <c r="S22" s="666"/>
      <c r="T22" s="665"/>
      <c r="U22" s="666"/>
      <c r="V22" s="665"/>
      <c r="W22" s="666"/>
      <c r="X22" s="1262"/>
      <c r="Y22" s="3402"/>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1"/>
      <c r="Q23" s="1260" t="str">
        <f>B23</f>
        <v>环境质量</v>
      </c>
      <c r="R23" s="665" t="s">
        <v>14</v>
      </c>
      <c r="S23" s="666">
        <f>F23</f>
        <v>100</v>
      </c>
      <c r="T23" s="665" t="s">
        <v>14</v>
      </c>
      <c r="U23" s="666">
        <f>H23</f>
        <v>100</v>
      </c>
      <c r="V23" s="665" t="s">
        <v>14</v>
      </c>
      <c r="W23" s="666">
        <f>J23</f>
        <v>100</v>
      </c>
      <c r="X23" s="1262"/>
      <c r="Y23" s="3402"/>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1"/>
      <c r="Q24" s="1260"/>
      <c r="R24" s="665"/>
      <c r="S24" s="666"/>
      <c r="T24" s="665"/>
      <c r="U24" s="666"/>
      <c r="V24" s="665"/>
      <c r="W24" s="666"/>
      <c r="X24" s="1262"/>
      <c r="Y24" s="3402"/>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1"/>
      <c r="Q25" s="1260" t="str">
        <f>B25</f>
        <v>毗邻道路的类型与等级</v>
      </c>
      <c r="R25" s="665" t="s">
        <v>14</v>
      </c>
      <c r="S25" s="666">
        <f>F25</f>
        <v>100</v>
      </c>
      <c r="T25" s="665" t="s">
        <v>14</v>
      </c>
      <c r="U25" s="666">
        <f>H25</f>
        <v>100</v>
      </c>
      <c r="V25" s="665" t="s">
        <v>14</v>
      </c>
      <c r="W25" s="666">
        <f>J25</f>
        <v>100</v>
      </c>
      <c r="X25" s="1262"/>
      <c r="Y25" s="3402"/>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1"/>
      <c r="Q26" s="1260"/>
      <c r="R26" s="665"/>
      <c r="S26" s="666"/>
      <c r="T26" s="665"/>
      <c r="U26" s="666"/>
      <c r="V26" s="665"/>
      <c r="W26" s="666"/>
      <c r="X26" s="1262"/>
      <c r="Y26" s="3402"/>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1"/>
      <c r="Q27" s="1260" t="str">
        <f t="shared" ref="Q27:Q47" si="11">B27</f>
        <v>楼层</v>
      </c>
      <c r="R27" s="665" t="s">
        <v>14</v>
      </c>
      <c r="S27" s="666">
        <f>F27</f>
        <v>100</v>
      </c>
      <c r="T27" s="665" t="s">
        <v>14</v>
      </c>
      <c r="U27" s="666">
        <f>H27</f>
        <v>100</v>
      </c>
      <c r="V27" s="665" t="s">
        <v>14</v>
      </c>
      <c r="W27" s="666">
        <f>J27</f>
        <v>100</v>
      </c>
      <c r="X27" s="1262"/>
      <c r="Y27" s="3402"/>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1"/>
      <c r="Q28" s="529" t="str">
        <f t="shared" si="11"/>
        <v>朝向</v>
      </c>
      <c r="R28" s="662" t="s">
        <v>14</v>
      </c>
      <c r="S28" s="663">
        <f>F28</f>
        <v>100</v>
      </c>
      <c r="T28" s="662" t="s">
        <v>14</v>
      </c>
      <c r="U28" s="663">
        <f>H28</f>
        <v>100</v>
      </c>
      <c r="V28" s="662" t="s">
        <v>14</v>
      </c>
      <c r="W28" s="663">
        <f>J28</f>
        <v>100</v>
      </c>
      <c r="X28" s="664"/>
      <c r="Y28" s="3402"/>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1"/>
      <c r="Q29" s="1260">
        <f t="shared" si="11"/>
        <v>111</v>
      </c>
      <c r="R29" s="665" t="s">
        <v>14</v>
      </c>
      <c r="S29" s="666">
        <f t="shared" ref="S29:S47" si="12">F29</f>
        <v>100</v>
      </c>
      <c r="T29" s="665" t="s">
        <v>14</v>
      </c>
      <c r="U29" s="666">
        <f t="shared" ref="U29:U47" si="13">H29</f>
        <v>100</v>
      </c>
      <c r="V29" s="665" t="s">
        <v>14</v>
      </c>
      <c r="W29" s="666">
        <f t="shared" ref="W29:W47" si="14">J29</f>
        <v>100</v>
      </c>
      <c r="X29" s="1262"/>
      <c r="Y29" s="3402"/>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1"/>
      <c r="Q30" s="1260">
        <f t="shared" si="11"/>
        <v>111</v>
      </c>
      <c r="R30" s="665" t="s">
        <v>14</v>
      </c>
      <c r="S30" s="666">
        <f t="shared" si="12"/>
        <v>100</v>
      </c>
      <c r="T30" s="665" t="s">
        <v>14</v>
      </c>
      <c r="U30" s="666">
        <f t="shared" si="13"/>
        <v>100</v>
      </c>
      <c r="V30" s="665" t="s">
        <v>14</v>
      </c>
      <c r="W30" s="666">
        <f t="shared" si="14"/>
        <v>100</v>
      </c>
      <c r="X30" s="1262"/>
      <c r="Y30" s="3402"/>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1"/>
      <c r="Q31" s="1260">
        <f t="shared" si="11"/>
        <v>111</v>
      </c>
      <c r="R31" s="665" t="s">
        <v>14</v>
      </c>
      <c r="S31" s="666">
        <f t="shared" si="12"/>
        <v>100</v>
      </c>
      <c r="T31" s="665" t="s">
        <v>14</v>
      </c>
      <c r="U31" s="666">
        <f t="shared" si="13"/>
        <v>100</v>
      </c>
      <c r="V31" s="665" t="s">
        <v>14</v>
      </c>
      <c r="W31" s="666">
        <f t="shared" si="14"/>
        <v>100</v>
      </c>
      <c r="X31" s="1262"/>
      <c r="Y31" s="3402"/>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1"/>
      <c r="Q32" s="1260">
        <f t="shared" si="11"/>
        <v>111</v>
      </c>
      <c r="R32" s="665" t="s">
        <v>14</v>
      </c>
      <c r="S32" s="666">
        <f t="shared" si="12"/>
        <v>100</v>
      </c>
      <c r="T32" s="665" t="s">
        <v>14</v>
      </c>
      <c r="U32" s="666">
        <f t="shared" si="13"/>
        <v>100</v>
      </c>
      <c r="V32" s="665" t="s">
        <v>14</v>
      </c>
      <c r="W32" s="666">
        <f t="shared" si="14"/>
        <v>100</v>
      </c>
      <c r="X32" s="1262"/>
      <c r="Y32" s="3402"/>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6" t="s">
        <v>1696</v>
      </c>
      <c r="Q33" s="1260" t="str">
        <f t="shared" si="11"/>
        <v>建筑类型</v>
      </c>
      <c r="R33" s="665" t="s">
        <v>14</v>
      </c>
      <c r="S33" s="666">
        <f t="shared" si="12"/>
        <v>100</v>
      </c>
      <c r="T33" s="665" t="s">
        <v>14</v>
      </c>
      <c r="U33" s="666">
        <f t="shared" si="13"/>
        <v>100</v>
      </c>
      <c r="V33" s="665" t="s">
        <v>14</v>
      </c>
      <c r="W33" s="666">
        <f t="shared" si="14"/>
        <v>100</v>
      </c>
      <c r="X33" s="1262"/>
      <c r="Y33" s="3404"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7"/>
      <c r="Q34" s="530" t="str">
        <f t="shared" si="11"/>
        <v>项目建筑规模</v>
      </c>
      <c r="R34" s="667" t="s">
        <v>14</v>
      </c>
      <c r="S34" s="668" t="e">
        <f t="shared" si="12"/>
        <v>#N/A</v>
      </c>
      <c r="T34" s="667" t="s">
        <v>14</v>
      </c>
      <c r="U34" s="668" t="e">
        <f t="shared" si="13"/>
        <v>#N/A</v>
      </c>
      <c r="V34" s="667" t="s">
        <v>14</v>
      </c>
      <c r="W34" s="668" t="e">
        <f t="shared" si="14"/>
        <v>#N/A</v>
      </c>
      <c r="X34" s="669"/>
      <c r="Y34" s="3404"/>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7"/>
      <c r="Q35" s="1260" t="str">
        <f t="shared" si="11"/>
        <v>建筑结构</v>
      </c>
      <c r="R35" s="665" t="s">
        <v>14</v>
      </c>
      <c r="S35" s="666">
        <f t="shared" si="12"/>
        <v>100</v>
      </c>
      <c r="T35" s="665" t="s">
        <v>14</v>
      </c>
      <c r="U35" s="666">
        <f t="shared" si="13"/>
        <v>100</v>
      </c>
      <c r="V35" s="665" t="s">
        <v>14</v>
      </c>
      <c r="W35" s="666">
        <f t="shared" si="14"/>
        <v>100</v>
      </c>
      <c r="X35" s="1262"/>
      <c r="Y35" s="3404"/>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7"/>
      <c r="Q36" s="1260" t="str">
        <f t="shared" si="11"/>
        <v>公共部分装修</v>
      </c>
      <c r="R36" s="665" t="s">
        <v>14</v>
      </c>
      <c r="S36" s="666">
        <f t="shared" si="12"/>
        <v>100</v>
      </c>
      <c r="T36" s="665" t="s">
        <v>14</v>
      </c>
      <c r="U36" s="666">
        <f t="shared" si="13"/>
        <v>100</v>
      </c>
      <c r="V36" s="665" t="s">
        <v>14</v>
      </c>
      <c r="W36" s="666">
        <f t="shared" si="14"/>
        <v>100</v>
      </c>
      <c r="X36" s="1262"/>
      <c r="Y36" s="3404"/>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7"/>
      <c r="Q37" s="1260" t="str">
        <f t="shared" si="11"/>
        <v>成新度</v>
      </c>
      <c r="R37" s="665" t="s">
        <v>14</v>
      </c>
      <c r="S37" s="666" t="e">
        <f t="shared" si="12"/>
        <v>#N/A</v>
      </c>
      <c r="T37" s="665" t="s">
        <v>14</v>
      </c>
      <c r="U37" s="666" t="e">
        <f t="shared" si="13"/>
        <v>#N/A</v>
      </c>
      <c r="V37" s="665" t="s">
        <v>14</v>
      </c>
      <c r="W37" s="666" t="e">
        <f t="shared" si="14"/>
        <v>#N/A</v>
      </c>
      <c r="X37" s="1262"/>
      <c r="Y37" s="3404"/>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7"/>
      <c r="Q38" s="529" t="str">
        <f t="shared" si="11"/>
        <v>写字楼等级</v>
      </c>
      <c r="R38" s="662" t="s">
        <v>14</v>
      </c>
      <c r="S38" s="663">
        <f t="shared" si="12"/>
        <v>100</v>
      </c>
      <c r="T38" s="662" t="s">
        <v>14</v>
      </c>
      <c r="U38" s="663">
        <f t="shared" si="13"/>
        <v>100</v>
      </c>
      <c r="V38" s="662" t="s">
        <v>14</v>
      </c>
      <c r="W38" s="663">
        <f t="shared" si="14"/>
        <v>100</v>
      </c>
      <c r="X38" s="664"/>
      <c r="Y38" s="3404"/>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7" t="s">
        <v>1696</v>
      </c>
      <c r="Q39" s="1260" t="str">
        <f t="shared" si="11"/>
        <v>物业管理</v>
      </c>
      <c r="R39" s="665" t="s">
        <v>14</v>
      </c>
      <c r="S39" s="666">
        <f t="shared" si="12"/>
        <v>100</v>
      </c>
      <c r="T39" s="665" t="s">
        <v>14</v>
      </c>
      <c r="U39" s="666">
        <f t="shared" si="13"/>
        <v>100</v>
      </c>
      <c r="V39" s="665" t="s">
        <v>14</v>
      </c>
      <c r="W39" s="666">
        <f t="shared" si="14"/>
        <v>100</v>
      </c>
      <c r="X39" s="1262"/>
      <c r="Y39" s="3404"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7"/>
      <c r="Q40" s="1260" t="str">
        <f t="shared" si="11"/>
        <v>市政基础设施</v>
      </c>
      <c r="R40" s="665" t="s">
        <v>14</v>
      </c>
      <c r="S40" s="666">
        <f t="shared" si="12"/>
        <v>100</v>
      </c>
      <c r="T40" s="665" t="s">
        <v>14</v>
      </c>
      <c r="U40" s="666">
        <f t="shared" si="13"/>
        <v>100</v>
      </c>
      <c r="V40" s="665" t="s">
        <v>14</v>
      </c>
      <c r="W40" s="666">
        <f t="shared" si="14"/>
        <v>100</v>
      </c>
      <c r="X40" s="1262"/>
      <c r="Y40" s="3404"/>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7"/>
      <c r="Q41" s="1260" t="str">
        <f t="shared" si="11"/>
        <v>层高</v>
      </c>
      <c r="R41" s="665" t="s">
        <v>14</v>
      </c>
      <c r="S41" s="666">
        <f t="shared" si="12"/>
        <v>100</v>
      </c>
      <c r="T41" s="665" t="s">
        <v>14</v>
      </c>
      <c r="U41" s="666">
        <f t="shared" si="13"/>
        <v>100</v>
      </c>
      <c r="V41" s="665" t="s">
        <v>14</v>
      </c>
      <c r="W41" s="666">
        <f t="shared" si="14"/>
        <v>100</v>
      </c>
      <c r="X41" s="1262"/>
      <c r="Y41" s="3404"/>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7"/>
      <c r="Q42" s="530" t="str">
        <f t="shared" si="11"/>
        <v>单套建筑面积</v>
      </c>
      <c r="R42" s="667" t="s">
        <v>14</v>
      </c>
      <c r="S42" s="668">
        <f t="shared" si="12"/>
        <v>100</v>
      </c>
      <c r="T42" s="667" t="s">
        <v>14</v>
      </c>
      <c r="U42" s="668">
        <f t="shared" si="13"/>
        <v>100</v>
      </c>
      <c r="V42" s="667" t="s">
        <v>14</v>
      </c>
      <c r="W42" s="668">
        <f t="shared" si="14"/>
        <v>100</v>
      </c>
      <c r="X42" s="669"/>
      <c r="Y42" s="3404"/>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7"/>
      <c r="Q43" s="1260" t="str">
        <f t="shared" si="11"/>
        <v>内部装修</v>
      </c>
      <c r="R43" s="665" t="s">
        <v>14</v>
      </c>
      <c r="S43" s="666">
        <f t="shared" si="12"/>
        <v>100</v>
      </c>
      <c r="T43" s="665" t="s">
        <v>14</v>
      </c>
      <c r="U43" s="666">
        <f t="shared" si="13"/>
        <v>100</v>
      </c>
      <c r="V43" s="665" t="s">
        <v>14</v>
      </c>
      <c r="W43" s="666">
        <f t="shared" si="14"/>
        <v>100</v>
      </c>
      <c r="X43" s="1262"/>
      <c r="Y43" s="3404"/>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7"/>
      <c r="Q44" s="1260" t="str">
        <f t="shared" si="11"/>
        <v>内部装修维护情况</v>
      </c>
      <c r="R44" s="665" t="s">
        <v>14</v>
      </c>
      <c r="S44" s="666">
        <f t="shared" si="12"/>
        <v>100</v>
      </c>
      <c r="T44" s="665" t="s">
        <v>14</v>
      </c>
      <c r="U44" s="666">
        <f t="shared" si="13"/>
        <v>100</v>
      </c>
      <c r="V44" s="665" t="s">
        <v>14</v>
      </c>
      <c r="W44" s="666">
        <f t="shared" si="14"/>
        <v>100</v>
      </c>
      <c r="X44" s="1262"/>
      <c r="Y44" s="3404"/>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7"/>
      <c r="Q45" s="529">
        <f t="shared" si="11"/>
        <v>111</v>
      </c>
      <c r="R45" s="662" t="s">
        <v>14</v>
      </c>
      <c r="S45" s="663">
        <f t="shared" si="12"/>
        <v>100</v>
      </c>
      <c r="T45" s="662" t="s">
        <v>14</v>
      </c>
      <c r="U45" s="663">
        <f t="shared" si="13"/>
        <v>100</v>
      </c>
      <c r="V45" s="662" t="s">
        <v>14</v>
      </c>
      <c r="W45" s="663">
        <f t="shared" si="14"/>
        <v>100</v>
      </c>
      <c r="X45" s="664"/>
      <c r="Y45" s="3404"/>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7"/>
      <c r="Q46" s="1260">
        <f t="shared" si="11"/>
        <v>111</v>
      </c>
      <c r="R46" s="665" t="s">
        <v>14</v>
      </c>
      <c r="S46" s="666">
        <f t="shared" si="12"/>
        <v>100</v>
      </c>
      <c r="T46" s="665" t="s">
        <v>14</v>
      </c>
      <c r="U46" s="666">
        <f t="shared" si="13"/>
        <v>100</v>
      </c>
      <c r="V46" s="665" t="s">
        <v>14</v>
      </c>
      <c r="W46" s="666">
        <f t="shared" si="14"/>
        <v>100</v>
      </c>
      <c r="X46" s="1262"/>
      <c r="Y46" s="3404"/>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8"/>
      <c r="Q47" s="1260">
        <f t="shared" si="11"/>
        <v>111</v>
      </c>
      <c r="R47" s="665" t="s">
        <v>14</v>
      </c>
      <c r="S47" s="666">
        <f t="shared" si="12"/>
        <v>100</v>
      </c>
      <c r="T47" s="665" t="s">
        <v>14</v>
      </c>
      <c r="U47" s="666">
        <f t="shared" si="13"/>
        <v>100</v>
      </c>
      <c r="V47" s="665" t="s">
        <v>14</v>
      </c>
      <c r="W47" s="666">
        <f t="shared" si="14"/>
        <v>100</v>
      </c>
      <c r="X47" s="1262"/>
      <c r="Y47" s="3439"/>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399" t="str">
        <f>A48</f>
        <v>成交单价（元/平方米）</v>
      </c>
      <c r="Q48" s="3400"/>
      <c r="R48" s="3405">
        <f>E48</f>
        <v>0</v>
      </c>
      <c r="S48" s="3405"/>
      <c r="T48" s="3405">
        <f>G48</f>
        <v>0</v>
      </c>
      <c r="U48" s="3405"/>
      <c r="V48" s="3405">
        <f>I48</f>
        <v>0</v>
      </c>
      <c r="W48" s="3405"/>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399" t="str">
        <f>A49</f>
        <v>比较价值（元/平方米）</v>
      </c>
      <c r="Q49" s="340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2024-4</v>
      </c>
      <c r="D59" s="1101">
        <f>EDATE(C59,-1)</f>
        <v>45352</v>
      </c>
      <c r="E59" s="1101">
        <f>EDATE(D59,-1)</f>
        <v>45323</v>
      </c>
      <c r="F59" s="1101">
        <f t="shared" ref="F59:O59" si="16">EDATE(E59,-1)</f>
        <v>45292</v>
      </c>
      <c r="G59" s="1101">
        <f t="shared" si="16"/>
        <v>45261</v>
      </c>
      <c r="H59" s="1101">
        <f t="shared" si="16"/>
        <v>45231</v>
      </c>
      <c r="I59" s="1101">
        <f t="shared" si="16"/>
        <v>45200</v>
      </c>
      <c r="J59" s="1101">
        <f t="shared" si="16"/>
        <v>45170</v>
      </c>
      <c r="K59" s="1101">
        <f t="shared" si="16"/>
        <v>45139</v>
      </c>
      <c r="L59" s="1101">
        <f t="shared" si="16"/>
        <v>45108</v>
      </c>
      <c r="M59" s="1101">
        <f t="shared" si="16"/>
        <v>45078</v>
      </c>
      <c r="N59" s="1101">
        <f t="shared" si="16"/>
        <v>45047</v>
      </c>
      <c r="O59" s="1101">
        <f t="shared" si="16"/>
        <v>45017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236.66</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858"/>
      <c r="M4" s="859"/>
      <c r="N4" s="859"/>
      <c r="O4" s="859"/>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858"/>
      <c r="M5" s="859"/>
      <c r="N5" s="859"/>
      <c r="O5" s="859"/>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858"/>
      <c r="M6" s="859"/>
      <c r="N6" s="859"/>
      <c r="O6" s="859"/>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45392</v>
      </c>
      <c r="D7" s="354">
        <v>100</v>
      </c>
      <c r="E7" s="355"/>
      <c r="F7" s="356">
        <f>SUMIF(52:52,YEAR(E7)&amp;"-"&amp;MONTH(E7),53:53)</f>
        <v>0</v>
      </c>
      <c r="G7" s="355"/>
      <c r="H7" s="354">
        <f>SUMIF(52:52,YEAR(G7)&amp;"-"&amp;MONTH(G7),53:53)</f>
        <v>0</v>
      </c>
      <c r="I7" s="355"/>
      <c r="J7" s="354">
        <f>SUMIF(52:52,YEAR(I7)&amp;"-"&amp;MONTH(I7),53:53)</f>
        <v>0</v>
      </c>
      <c r="K7" s="38"/>
      <c r="L7" s="860"/>
      <c r="M7" s="861"/>
      <c r="N7" s="861"/>
      <c r="O7" s="86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8" t="s">
        <v>1683</v>
      </c>
      <c r="Q8" s="3429"/>
      <c r="R8" s="662" t="s">
        <v>14</v>
      </c>
      <c r="S8" s="663">
        <f t="shared" si="0"/>
        <v>100</v>
      </c>
      <c r="T8" s="662" t="s">
        <v>14</v>
      </c>
      <c r="U8" s="663">
        <f t="shared" si="1"/>
        <v>100</v>
      </c>
      <c r="V8" s="662" t="s">
        <v>14</v>
      </c>
      <c r="W8" s="663">
        <f t="shared" si="2"/>
        <v>100</v>
      </c>
      <c r="X8" s="664"/>
      <c r="Y8" s="3428" t="s">
        <v>1683</v>
      </c>
      <c r="Z8" s="342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00"/>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1" t="s">
        <v>1691</v>
      </c>
      <c r="Q15" s="1260" t="str">
        <f t="shared" si="6"/>
        <v>产业集聚程度</v>
      </c>
      <c r="R15" s="665" t="s">
        <v>14</v>
      </c>
      <c r="S15" s="666">
        <f t="shared" si="0"/>
        <v>100</v>
      </c>
      <c r="T15" s="665" t="s">
        <v>14</v>
      </c>
      <c r="U15" s="666">
        <f t="shared" si="1"/>
        <v>100</v>
      </c>
      <c r="V15" s="665" t="s">
        <v>14</v>
      </c>
      <c r="W15" s="666">
        <f t="shared" si="2"/>
        <v>100</v>
      </c>
      <c r="X15" s="1262"/>
      <c r="Y15" s="3401"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2"/>
      <c r="Q16" s="1260"/>
      <c r="R16" s="665"/>
      <c r="S16" s="666"/>
      <c r="T16" s="665"/>
      <c r="U16" s="666"/>
      <c r="V16" s="665"/>
      <c r="W16" s="666"/>
      <c r="X16" s="1262"/>
      <c r="Y16" s="3402"/>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2"/>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02"/>
      <c r="Q18" s="1260"/>
      <c r="R18" s="665"/>
      <c r="S18" s="666"/>
      <c r="T18" s="665"/>
      <c r="U18" s="666"/>
      <c r="V18" s="665"/>
      <c r="W18" s="666"/>
      <c r="X18" s="1262"/>
      <c r="Y18" s="3402"/>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2"/>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02"/>
      <c r="Q20" s="1260"/>
      <c r="R20" s="665"/>
      <c r="S20" s="666"/>
      <c r="T20" s="665"/>
      <c r="U20" s="666"/>
      <c r="V20" s="665"/>
      <c r="W20" s="666"/>
      <c r="X20" s="1262"/>
      <c r="Y20" s="3402"/>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2"/>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02"/>
      <c r="Q22" s="1260"/>
      <c r="R22" s="665"/>
      <c r="S22" s="666"/>
      <c r="T22" s="665"/>
      <c r="U22" s="666"/>
      <c r="V22" s="665"/>
      <c r="W22" s="666"/>
      <c r="X22" s="1262"/>
      <c r="Y22" s="3402"/>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2"/>
      <c r="Q23" s="1260" t="str">
        <f>B23</f>
        <v>环境质量</v>
      </c>
      <c r="R23" s="665" t="s">
        <v>14</v>
      </c>
      <c r="S23" s="666">
        <f>F23</f>
        <v>100</v>
      </c>
      <c r="T23" s="665" t="s">
        <v>14</v>
      </c>
      <c r="U23" s="666">
        <f>H23</f>
        <v>100</v>
      </c>
      <c r="V23" s="665" t="s">
        <v>14</v>
      </c>
      <c r="W23" s="666">
        <f>J23</f>
        <v>100</v>
      </c>
      <c r="X23" s="1262"/>
      <c r="Y23" s="3402"/>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02"/>
      <c r="Q24" s="1260"/>
      <c r="R24" s="665"/>
      <c r="S24" s="666"/>
      <c r="T24" s="665"/>
      <c r="U24" s="666"/>
      <c r="V24" s="665"/>
      <c r="W24" s="666"/>
      <c r="X24" s="1262"/>
      <c r="Y24" s="3402"/>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2"/>
      <c r="Q25" s="1260">
        <f>B25</f>
        <v>111</v>
      </c>
      <c r="R25" s="665" t="s">
        <v>14</v>
      </c>
      <c r="S25" s="666">
        <f>F25</f>
        <v>100</v>
      </c>
      <c r="T25" s="665" t="s">
        <v>14</v>
      </c>
      <c r="U25" s="666">
        <f>H25</f>
        <v>100</v>
      </c>
      <c r="V25" s="665" t="s">
        <v>14</v>
      </c>
      <c r="W25" s="666">
        <f>J25</f>
        <v>100</v>
      </c>
      <c r="X25" s="1262"/>
      <c r="Y25" s="3402"/>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2"/>
      <c r="Q26" s="1260">
        <f t="shared" ref="Q26:Q40" si="11">B26</f>
        <v>111</v>
      </c>
      <c r="R26" s="665" t="s">
        <v>14</v>
      </c>
      <c r="S26" s="666">
        <f>F26</f>
        <v>100</v>
      </c>
      <c r="T26" s="665" t="s">
        <v>14</v>
      </c>
      <c r="U26" s="666">
        <f>H26</f>
        <v>100</v>
      </c>
      <c r="V26" s="665" t="s">
        <v>14</v>
      </c>
      <c r="W26" s="666">
        <f>J26</f>
        <v>100</v>
      </c>
      <c r="X26" s="1262"/>
      <c r="Y26" s="3402"/>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2"/>
      <c r="Q27" s="529">
        <f t="shared" si="11"/>
        <v>111</v>
      </c>
      <c r="R27" s="662" t="s">
        <v>14</v>
      </c>
      <c r="S27" s="663">
        <f>F27</f>
        <v>100</v>
      </c>
      <c r="T27" s="662" t="s">
        <v>14</v>
      </c>
      <c r="U27" s="663">
        <f>H27</f>
        <v>100</v>
      </c>
      <c r="V27" s="662" t="s">
        <v>14</v>
      </c>
      <c r="W27" s="663">
        <f>J27</f>
        <v>100</v>
      </c>
      <c r="X27" s="664"/>
      <c r="Y27" s="3402"/>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2"/>
      <c r="Q28" s="1260">
        <f t="shared" si="11"/>
        <v>111</v>
      </c>
      <c r="R28" s="665" t="s">
        <v>14</v>
      </c>
      <c r="S28" s="666">
        <f t="shared" ref="S28:S40" si="12">F28</f>
        <v>100</v>
      </c>
      <c r="T28" s="665" t="s">
        <v>14</v>
      </c>
      <c r="U28" s="666">
        <f t="shared" ref="U28:U40" si="13">H28</f>
        <v>100</v>
      </c>
      <c r="V28" s="665" t="s">
        <v>14</v>
      </c>
      <c r="W28" s="666">
        <f t="shared" ref="W28:W40" si="14">J28</f>
        <v>100</v>
      </c>
      <c r="X28" s="1262"/>
      <c r="Y28" s="3402"/>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03" t="s">
        <v>1696</v>
      </c>
      <c r="Q29" s="1260" t="str">
        <f t="shared" si="11"/>
        <v>建筑类型</v>
      </c>
      <c r="R29" s="665" t="s">
        <v>14</v>
      </c>
      <c r="S29" s="666">
        <f t="shared" si="12"/>
        <v>100</v>
      </c>
      <c r="T29" s="665" t="s">
        <v>14</v>
      </c>
      <c r="U29" s="666">
        <f t="shared" si="13"/>
        <v>100</v>
      </c>
      <c r="V29" s="665" t="s">
        <v>14</v>
      </c>
      <c r="W29" s="666">
        <f t="shared" si="14"/>
        <v>100</v>
      </c>
      <c r="X29" s="1262"/>
      <c r="Y29" s="3404"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4"/>
      <c r="Q30" s="530" t="str">
        <f t="shared" si="11"/>
        <v>项目建筑规模</v>
      </c>
      <c r="R30" s="667" t="s">
        <v>14</v>
      </c>
      <c r="S30" s="668" t="e">
        <f t="shared" si="12"/>
        <v>#N/A</v>
      </c>
      <c r="T30" s="667" t="s">
        <v>14</v>
      </c>
      <c r="U30" s="668" t="e">
        <f t="shared" si="13"/>
        <v>#N/A</v>
      </c>
      <c r="V30" s="667" t="s">
        <v>14</v>
      </c>
      <c r="W30" s="668" t="e">
        <f t="shared" si="14"/>
        <v>#N/A</v>
      </c>
      <c r="X30" s="669"/>
      <c r="Y30" s="3404"/>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4"/>
      <c r="Q31" s="1260" t="str">
        <f t="shared" si="11"/>
        <v>建筑结构</v>
      </c>
      <c r="R31" s="665" t="s">
        <v>14</v>
      </c>
      <c r="S31" s="666">
        <f t="shared" si="12"/>
        <v>100</v>
      </c>
      <c r="T31" s="665" t="s">
        <v>14</v>
      </c>
      <c r="U31" s="666">
        <f t="shared" si="13"/>
        <v>100</v>
      </c>
      <c r="V31" s="665" t="s">
        <v>14</v>
      </c>
      <c r="W31" s="666">
        <f t="shared" si="14"/>
        <v>100</v>
      </c>
      <c r="X31" s="1262"/>
      <c r="Y31" s="3404"/>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4"/>
      <c r="Q32" s="1260" t="str">
        <f t="shared" si="11"/>
        <v>公共部分装修</v>
      </c>
      <c r="R32" s="665" t="s">
        <v>14</v>
      </c>
      <c r="S32" s="666">
        <f t="shared" si="12"/>
        <v>100</v>
      </c>
      <c r="T32" s="665" t="s">
        <v>14</v>
      </c>
      <c r="U32" s="666">
        <f t="shared" si="13"/>
        <v>100</v>
      </c>
      <c r="V32" s="665" t="s">
        <v>14</v>
      </c>
      <c r="W32" s="666">
        <f t="shared" si="14"/>
        <v>100</v>
      </c>
      <c r="X32" s="1262"/>
      <c r="Y32" s="3404"/>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4"/>
      <c r="Q33" s="1260" t="str">
        <f t="shared" si="11"/>
        <v>成新度</v>
      </c>
      <c r="R33" s="665" t="s">
        <v>14</v>
      </c>
      <c r="S33" s="666" t="e">
        <f t="shared" si="12"/>
        <v>#N/A</v>
      </c>
      <c r="T33" s="665" t="s">
        <v>14</v>
      </c>
      <c r="U33" s="666" t="e">
        <f t="shared" si="13"/>
        <v>#N/A</v>
      </c>
      <c r="V33" s="665" t="s">
        <v>14</v>
      </c>
      <c r="W33" s="666" t="e">
        <f t="shared" si="14"/>
        <v>#N/A</v>
      </c>
      <c r="X33" s="1262"/>
      <c r="Y33" s="3404"/>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4"/>
      <c r="Q34" s="529" t="str">
        <f t="shared" si="11"/>
        <v>物业管理</v>
      </c>
      <c r="R34" s="662" t="s">
        <v>14</v>
      </c>
      <c r="S34" s="663">
        <f t="shared" si="12"/>
        <v>100</v>
      </c>
      <c r="T34" s="662" t="s">
        <v>14</v>
      </c>
      <c r="U34" s="663">
        <f t="shared" si="13"/>
        <v>100</v>
      </c>
      <c r="V34" s="662" t="s">
        <v>14</v>
      </c>
      <c r="W34" s="663">
        <f t="shared" si="14"/>
        <v>100</v>
      </c>
      <c r="X34" s="664"/>
      <c r="Y34" s="340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4" t="s">
        <v>1696</v>
      </c>
      <c r="Q35" s="1260" t="str">
        <f t="shared" si="11"/>
        <v>市政基础设施</v>
      </c>
      <c r="R35" s="665" t="s">
        <v>14</v>
      </c>
      <c r="S35" s="666">
        <f t="shared" si="12"/>
        <v>100</v>
      </c>
      <c r="T35" s="665" t="s">
        <v>14</v>
      </c>
      <c r="U35" s="666">
        <f t="shared" si="13"/>
        <v>100</v>
      </c>
      <c r="V35" s="665" t="s">
        <v>14</v>
      </c>
      <c r="W35" s="666">
        <f t="shared" si="14"/>
        <v>100</v>
      </c>
      <c r="X35" s="1262"/>
      <c r="Y35" s="3404"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4"/>
      <c r="Q36" s="1260" t="str">
        <f t="shared" si="11"/>
        <v>内部装修</v>
      </c>
      <c r="R36" s="665" t="s">
        <v>14</v>
      </c>
      <c r="S36" s="666">
        <f t="shared" si="12"/>
        <v>100</v>
      </c>
      <c r="T36" s="665" t="s">
        <v>14</v>
      </c>
      <c r="U36" s="666">
        <f t="shared" si="13"/>
        <v>100</v>
      </c>
      <c r="V36" s="665" t="s">
        <v>14</v>
      </c>
      <c r="W36" s="666">
        <f t="shared" si="14"/>
        <v>100</v>
      </c>
      <c r="X36" s="1262"/>
      <c r="Y36" s="3404"/>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4"/>
      <c r="Q37" s="1260" t="str">
        <f t="shared" si="11"/>
        <v>内部装修状况</v>
      </c>
      <c r="R37" s="665" t="s">
        <v>14</v>
      </c>
      <c r="S37" s="666">
        <f t="shared" si="12"/>
        <v>100</v>
      </c>
      <c r="T37" s="665" t="s">
        <v>14</v>
      </c>
      <c r="U37" s="666">
        <f t="shared" si="13"/>
        <v>100</v>
      </c>
      <c r="V37" s="665" t="s">
        <v>14</v>
      </c>
      <c r="W37" s="666">
        <f t="shared" si="14"/>
        <v>100</v>
      </c>
      <c r="X37" s="1262"/>
      <c r="Y37" s="3404"/>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4"/>
      <c r="Q38" s="530">
        <f t="shared" si="11"/>
        <v>111</v>
      </c>
      <c r="R38" s="667" t="s">
        <v>14</v>
      </c>
      <c r="S38" s="668">
        <f t="shared" si="12"/>
        <v>100</v>
      </c>
      <c r="T38" s="667" t="s">
        <v>14</v>
      </c>
      <c r="U38" s="668">
        <f t="shared" si="13"/>
        <v>100</v>
      </c>
      <c r="V38" s="667" t="s">
        <v>14</v>
      </c>
      <c r="W38" s="668">
        <f t="shared" si="14"/>
        <v>100</v>
      </c>
      <c r="X38" s="669"/>
      <c r="Y38" s="3404"/>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4"/>
      <c r="Q39" s="1260">
        <f t="shared" si="11"/>
        <v>111</v>
      </c>
      <c r="R39" s="665" t="s">
        <v>14</v>
      </c>
      <c r="S39" s="666">
        <f t="shared" si="12"/>
        <v>100</v>
      </c>
      <c r="T39" s="665" t="s">
        <v>14</v>
      </c>
      <c r="U39" s="666">
        <f t="shared" si="13"/>
        <v>100</v>
      </c>
      <c r="V39" s="665" t="s">
        <v>14</v>
      </c>
      <c r="W39" s="666">
        <f t="shared" si="14"/>
        <v>100</v>
      </c>
      <c r="X39" s="1262"/>
      <c r="Y39" s="3404"/>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9"/>
      <c r="Q40" s="1260">
        <f t="shared" si="11"/>
        <v>111</v>
      </c>
      <c r="R40" s="665" t="s">
        <v>14</v>
      </c>
      <c r="S40" s="666">
        <f t="shared" si="12"/>
        <v>100</v>
      </c>
      <c r="T40" s="665" t="s">
        <v>14</v>
      </c>
      <c r="U40" s="666">
        <f t="shared" si="13"/>
        <v>100</v>
      </c>
      <c r="V40" s="665" t="s">
        <v>14</v>
      </c>
      <c r="W40" s="666">
        <f t="shared" si="14"/>
        <v>100</v>
      </c>
      <c r="X40" s="1262"/>
      <c r="Y40" s="3439"/>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00" t="str">
        <f>A41</f>
        <v>成交单价（元/平方米）</v>
      </c>
      <c r="Q41" s="3400"/>
      <c r="R41" s="3405">
        <f>E41</f>
        <v>0</v>
      </c>
      <c r="S41" s="3405"/>
      <c r="T41" s="3405">
        <f>G41</f>
        <v>0</v>
      </c>
      <c r="U41" s="3405"/>
      <c r="V41" s="3405">
        <f>I41</f>
        <v>0</v>
      </c>
      <c r="W41" s="3405"/>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00" t="str">
        <f>A42</f>
        <v>比较价值（元/平方米）</v>
      </c>
      <c r="Q42" s="340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4" t="str">
        <f>A43</f>
        <v>估价对象XX用房的比较价值（楼面单价，元/平方米）</v>
      </c>
      <c r="Q43" s="3395"/>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2024-4</v>
      </c>
      <c r="D52" s="1101">
        <f>EDATE(C52,-1)</f>
        <v>45352</v>
      </c>
      <c r="E52" s="1101">
        <f t="shared" ref="E52:O52" si="16">EDATE(D52,-1)</f>
        <v>45323</v>
      </c>
      <c r="F52" s="1101">
        <f t="shared" si="16"/>
        <v>45292</v>
      </c>
      <c r="G52" s="1101">
        <f t="shared" si="16"/>
        <v>45261</v>
      </c>
      <c r="H52" s="1101">
        <f t="shared" si="16"/>
        <v>45231</v>
      </c>
      <c r="I52" s="1101">
        <f t="shared" si="16"/>
        <v>45200</v>
      </c>
      <c r="J52" s="1101">
        <f t="shared" si="16"/>
        <v>45170</v>
      </c>
      <c r="K52" s="1101">
        <f t="shared" si="16"/>
        <v>45139</v>
      </c>
      <c r="L52" s="1101">
        <f t="shared" si="16"/>
        <v>45108</v>
      </c>
      <c r="M52" s="1101">
        <f t="shared" si="16"/>
        <v>45078</v>
      </c>
      <c r="N52" s="1101">
        <f t="shared" si="16"/>
        <v>45047</v>
      </c>
      <c r="O52" s="1101">
        <f t="shared" si="16"/>
        <v>45017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45392</v>
      </c>
      <c r="D7" s="354">
        <v>100</v>
      </c>
      <c r="E7" s="355"/>
      <c r="F7" s="356">
        <f>SUMIF(48:48,YEAR(E7)&amp;"-"&amp;MONTH(E7),49:49)</f>
        <v>0</v>
      </c>
      <c r="G7" s="355"/>
      <c r="H7" s="354">
        <f>SUMIF(48:48,YEAR(G7)&amp;"-"&amp;MONTH(G7),49:49)</f>
        <v>0</v>
      </c>
      <c r="I7" s="355"/>
      <c r="J7" s="354">
        <f>SUMIF(48:48,YEAR(I7)&amp;"-"&amp;MONTH(I7),49:49)</f>
        <v>0</v>
      </c>
      <c r="K7" s="38"/>
      <c r="L7" s="2479"/>
      <c r="M7" s="2431"/>
      <c r="N7" s="2431"/>
      <c r="O7" s="2431"/>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00"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00"/>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01" t="s">
        <v>1691</v>
      </c>
      <c r="Q14" s="1260" t="str">
        <f t="shared" si="6"/>
        <v>交通便捷度</v>
      </c>
      <c r="R14" s="665" t="s">
        <v>14</v>
      </c>
      <c r="S14" s="666">
        <f t="shared" si="0"/>
        <v>100</v>
      </c>
      <c r="T14" s="665" t="s">
        <v>14</v>
      </c>
      <c r="U14" s="666">
        <f t="shared" si="1"/>
        <v>100</v>
      </c>
      <c r="V14" s="665" t="s">
        <v>14</v>
      </c>
      <c r="W14" s="666">
        <f t="shared" si="2"/>
        <v>100</v>
      </c>
      <c r="X14" s="1262"/>
      <c r="Y14" s="3401"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02"/>
      <c r="Q15" s="1260"/>
      <c r="R15" s="665"/>
      <c r="S15" s="666"/>
      <c r="T15" s="665"/>
      <c r="U15" s="666"/>
      <c r="V15" s="665"/>
      <c r="W15" s="666"/>
      <c r="X15" s="1262"/>
      <c r="Y15" s="3402"/>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02"/>
      <c r="Q16" s="1260" t="str">
        <f>B16</f>
        <v>公共配套设施</v>
      </c>
      <c r="R16" s="665" t="s">
        <v>14</v>
      </c>
      <c r="S16" s="666">
        <f>F16</f>
        <v>100</v>
      </c>
      <c r="T16" s="665" t="s">
        <v>14</v>
      </c>
      <c r="U16" s="666">
        <f>H16</f>
        <v>100</v>
      </c>
      <c r="V16" s="665" t="s">
        <v>14</v>
      </c>
      <c r="W16" s="666">
        <f>J16</f>
        <v>100</v>
      </c>
      <c r="X16" s="1262"/>
      <c r="Y16" s="3402"/>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02"/>
      <c r="Q17" s="1260"/>
      <c r="R17" s="665"/>
      <c r="S17" s="666"/>
      <c r="T17" s="665"/>
      <c r="U17" s="666"/>
      <c r="V17" s="665"/>
      <c r="W17" s="666"/>
      <c r="X17" s="1262"/>
      <c r="Y17" s="3402"/>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02"/>
      <c r="Q18" s="1260" t="str">
        <f>B18</f>
        <v>基础设施水平</v>
      </c>
      <c r="R18" s="665" t="s">
        <v>14</v>
      </c>
      <c r="S18" s="666">
        <f>F18</f>
        <v>100</v>
      </c>
      <c r="T18" s="665" t="s">
        <v>14</v>
      </c>
      <c r="U18" s="666">
        <f>H18</f>
        <v>100</v>
      </c>
      <c r="V18" s="665" t="s">
        <v>14</v>
      </c>
      <c r="W18" s="666">
        <f>J18</f>
        <v>100</v>
      </c>
      <c r="X18" s="1262"/>
      <c r="Y18" s="3402"/>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02"/>
      <c r="Q19" s="1260"/>
      <c r="R19" s="665"/>
      <c r="S19" s="666"/>
      <c r="T19" s="665"/>
      <c r="U19" s="666"/>
      <c r="V19" s="665"/>
      <c r="W19" s="666"/>
      <c r="X19" s="1262"/>
      <c r="Y19" s="3402"/>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02"/>
      <c r="Q20" s="1260" t="str">
        <f>B20</f>
        <v>自然及人文环境</v>
      </c>
      <c r="R20" s="665" t="s">
        <v>14</v>
      </c>
      <c r="S20" s="666">
        <f>F20</f>
        <v>100</v>
      </c>
      <c r="T20" s="665" t="s">
        <v>14</v>
      </c>
      <c r="U20" s="666">
        <f>H20</f>
        <v>100</v>
      </c>
      <c r="V20" s="665" t="s">
        <v>14</v>
      </c>
      <c r="W20" s="666">
        <f>J20</f>
        <v>100</v>
      </c>
      <c r="X20" s="1262"/>
      <c r="Y20" s="3402"/>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02"/>
      <c r="Q21" s="1260"/>
      <c r="R21" s="665"/>
      <c r="S21" s="666"/>
      <c r="T21" s="665"/>
      <c r="U21" s="666"/>
      <c r="V21" s="665"/>
      <c r="W21" s="666"/>
      <c r="X21" s="1262"/>
      <c r="Y21" s="3402"/>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02"/>
      <c r="Q22" s="1260" t="str">
        <f>B22</f>
        <v>楼层</v>
      </c>
      <c r="R22" s="665" t="s">
        <v>14</v>
      </c>
      <c r="S22" s="666">
        <f>F22</f>
        <v>100</v>
      </c>
      <c r="T22" s="665" t="s">
        <v>14</v>
      </c>
      <c r="U22" s="666">
        <f>H22</f>
        <v>100</v>
      </c>
      <c r="V22" s="665" t="s">
        <v>14</v>
      </c>
      <c r="W22" s="666">
        <f>J22</f>
        <v>100</v>
      </c>
      <c r="X22" s="1262"/>
      <c r="Y22" s="3402"/>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02"/>
      <c r="Q23" s="1260">
        <f>B23</f>
        <v>111</v>
      </c>
      <c r="R23" s="665" t="s">
        <v>14</v>
      </c>
      <c r="S23" s="666">
        <f>F23</f>
        <v>100</v>
      </c>
      <c r="T23" s="665" t="s">
        <v>14</v>
      </c>
      <c r="U23" s="666">
        <f>H23</f>
        <v>100</v>
      </c>
      <c r="V23" s="665" t="s">
        <v>14</v>
      </c>
      <c r="W23" s="666">
        <f>J23</f>
        <v>100</v>
      </c>
      <c r="X23" s="1262"/>
      <c r="Y23" s="3402"/>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02"/>
      <c r="Q24" s="1260">
        <f t="shared" ref="Q24:Q36" si="11">B24</f>
        <v>111</v>
      </c>
      <c r="R24" s="665" t="s">
        <v>14</v>
      </c>
      <c r="S24" s="666">
        <f>F24</f>
        <v>100</v>
      </c>
      <c r="T24" s="665" t="s">
        <v>14</v>
      </c>
      <c r="U24" s="666">
        <f>H24</f>
        <v>100</v>
      </c>
      <c r="V24" s="665" t="s">
        <v>14</v>
      </c>
      <c r="W24" s="666">
        <f>J24</f>
        <v>100</v>
      </c>
      <c r="X24" s="1262"/>
      <c r="Y24" s="3402"/>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02"/>
      <c r="Q25" s="529">
        <f t="shared" si="11"/>
        <v>111</v>
      </c>
      <c r="R25" s="662" t="s">
        <v>14</v>
      </c>
      <c r="S25" s="663">
        <f>F25</f>
        <v>100</v>
      </c>
      <c r="T25" s="662" t="s">
        <v>14</v>
      </c>
      <c r="U25" s="663">
        <f>H25</f>
        <v>100</v>
      </c>
      <c r="V25" s="662" t="s">
        <v>14</v>
      </c>
      <c r="W25" s="663">
        <f>J25</f>
        <v>100</v>
      </c>
      <c r="X25" s="664"/>
      <c r="Y25" s="3402"/>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03"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4"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04"/>
      <c r="Q27" s="530" t="str">
        <f t="shared" si="11"/>
        <v>项目停车位配比</v>
      </c>
      <c r="R27" s="667" t="s">
        <v>14</v>
      </c>
      <c r="S27" s="668">
        <f t="shared" si="12"/>
        <v>100</v>
      </c>
      <c r="T27" s="667" t="s">
        <v>14</v>
      </c>
      <c r="U27" s="668">
        <f t="shared" si="13"/>
        <v>100</v>
      </c>
      <c r="V27" s="667" t="s">
        <v>14</v>
      </c>
      <c r="W27" s="668">
        <f t="shared" si="14"/>
        <v>100</v>
      </c>
      <c r="X27" s="669"/>
      <c r="Y27" s="3404"/>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04"/>
      <c r="Q28" s="1260" t="str">
        <f t="shared" si="11"/>
        <v>公共部分装修</v>
      </c>
      <c r="R28" s="665" t="s">
        <v>14</v>
      </c>
      <c r="S28" s="666">
        <f t="shared" si="12"/>
        <v>100</v>
      </c>
      <c r="T28" s="665" t="s">
        <v>14</v>
      </c>
      <c r="U28" s="666">
        <f t="shared" si="13"/>
        <v>100</v>
      </c>
      <c r="V28" s="665" t="s">
        <v>14</v>
      </c>
      <c r="W28" s="666">
        <f t="shared" si="14"/>
        <v>100</v>
      </c>
      <c r="X28" s="1262"/>
      <c r="Y28" s="3404"/>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04"/>
      <c r="Q29" s="1260" t="str">
        <f t="shared" si="11"/>
        <v>成新率</v>
      </c>
      <c r="R29" s="665" t="s">
        <v>14</v>
      </c>
      <c r="S29" s="666" t="e">
        <f t="shared" si="12"/>
        <v>#N/A</v>
      </c>
      <c r="T29" s="665" t="s">
        <v>14</v>
      </c>
      <c r="U29" s="666" t="e">
        <f t="shared" si="13"/>
        <v>#N/A</v>
      </c>
      <c r="V29" s="665" t="s">
        <v>14</v>
      </c>
      <c r="W29" s="666" t="e">
        <f t="shared" si="14"/>
        <v>#N/A</v>
      </c>
      <c r="X29" s="1262"/>
      <c r="Y29" s="3404"/>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04"/>
      <c r="Q30" s="1260" t="str">
        <f t="shared" si="11"/>
        <v>物业等级</v>
      </c>
      <c r="R30" s="665" t="s">
        <v>14</v>
      </c>
      <c r="S30" s="666">
        <f t="shared" si="12"/>
        <v>100</v>
      </c>
      <c r="T30" s="665" t="s">
        <v>14</v>
      </c>
      <c r="U30" s="666">
        <f t="shared" si="13"/>
        <v>100</v>
      </c>
      <c r="V30" s="665" t="s">
        <v>14</v>
      </c>
      <c r="W30" s="666">
        <f t="shared" si="14"/>
        <v>100</v>
      </c>
      <c r="X30" s="1262"/>
      <c r="Y30" s="3404"/>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04"/>
      <c r="Q31" s="529" t="str">
        <f t="shared" si="11"/>
        <v>停车位面积</v>
      </c>
      <c r="R31" s="662" t="s">
        <v>14</v>
      </c>
      <c r="S31" s="663" t="e">
        <f t="shared" si="12"/>
        <v>#N/A</v>
      </c>
      <c r="T31" s="662" t="s">
        <v>14</v>
      </c>
      <c r="U31" s="663" t="e">
        <f t="shared" si="13"/>
        <v>#N/A</v>
      </c>
      <c r="V31" s="662" t="s">
        <v>14</v>
      </c>
      <c r="W31" s="663" t="e">
        <f t="shared" si="14"/>
        <v>#N/A</v>
      </c>
      <c r="X31" s="664"/>
      <c r="Y31" s="3404"/>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04" t="s">
        <v>1696</v>
      </c>
      <c r="Q32" s="1260" t="str">
        <f t="shared" si="11"/>
        <v>车位类型</v>
      </c>
      <c r="R32" s="665" t="s">
        <v>14</v>
      </c>
      <c r="S32" s="666">
        <f t="shared" si="12"/>
        <v>100</v>
      </c>
      <c r="T32" s="665" t="s">
        <v>14</v>
      </c>
      <c r="U32" s="666">
        <f t="shared" si="13"/>
        <v>100</v>
      </c>
      <c r="V32" s="665" t="s">
        <v>14</v>
      </c>
      <c r="W32" s="666">
        <f t="shared" si="14"/>
        <v>100</v>
      </c>
      <c r="X32" s="1262"/>
      <c r="Y32" s="3404"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04"/>
      <c r="Q33" s="1260" t="str">
        <f t="shared" si="11"/>
        <v>是否直接入户</v>
      </c>
      <c r="R33" s="665" t="s">
        <v>14</v>
      </c>
      <c r="S33" s="666">
        <f t="shared" si="12"/>
        <v>100</v>
      </c>
      <c r="T33" s="665" t="s">
        <v>14</v>
      </c>
      <c r="U33" s="666">
        <f t="shared" si="13"/>
        <v>100</v>
      </c>
      <c r="V33" s="665" t="s">
        <v>14</v>
      </c>
      <c r="W33" s="666">
        <f t="shared" si="14"/>
        <v>100</v>
      </c>
      <c r="X33" s="1262"/>
      <c r="Y33" s="3404"/>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04"/>
      <c r="Q35" s="530">
        <f t="shared" si="11"/>
        <v>111</v>
      </c>
      <c r="R35" s="667" t="s">
        <v>14</v>
      </c>
      <c r="S35" s="668">
        <f t="shared" si="12"/>
        <v>100</v>
      </c>
      <c r="T35" s="667" t="s">
        <v>14</v>
      </c>
      <c r="U35" s="668">
        <f t="shared" si="13"/>
        <v>100</v>
      </c>
      <c r="V35" s="667" t="s">
        <v>14</v>
      </c>
      <c r="W35" s="668">
        <f t="shared" si="14"/>
        <v>100</v>
      </c>
      <c r="X35" s="669"/>
      <c r="Y35" s="3404"/>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04"/>
      <c r="Q36" s="1260">
        <f t="shared" si="11"/>
        <v>111</v>
      </c>
      <c r="R36" s="665" t="s">
        <v>14</v>
      </c>
      <c r="S36" s="666">
        <f t="shared" si="12"/>
        <v>100</v>
      </c>
      <c r="T36" s="665" t="s">
        <v>14</v>
      </c>
      <c r="U36" s="666">
        <f t="shared" si="13"/>
        <v>100</v>
      </c>
      <c r="V36" s="665" t="s">
        <v>14</v>
      </c>
      <c r="W36" s="666">
        <f t="shared" si="14"/>
        <v>100</v>
      </c>
      <c r="X36" s="1262"/>
      <c r="Y36" s="3404"/>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400" t="str">
        <f>A37</f>
        <v>成交单价</v>
      </c>
      <c r="Q37" s="3400"/>
      <c r="R37" s="3405">
        <f>E37</f>
        <v>0</v>
      </c>
      <c r="S37" s="3405"/>
      <c r="T37" s="3405">
        <f>G37</f>
        <v>0</v>
      </c>
      <c r="U37" s="3405"/>
      <c r="V37" s="3405">
        <f>I37</f>
        <v>0</v>
      </c>
      <c r="W37" s="3405"/>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00" t="str">
        <f>A38</f>
        <v>比较价值（元/平方米）</v>
      </c>
      <c r="Q38" s="340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394" t="str">
        <f>A39</f>
        <v>估价对象XX用房的比较价值（楼面单价，元/平方米）</v>
      </c>
      <c r="Q39" s="3395"/>
      <c r="R39" s="3485" t="e">
        <f>IF(F1="售价",ROUND(IF(D38="简单平均",AVERAGE(R38:W38),R38*F38+T38*H38+V38*J38),0),ROUND(IF(D38="简单平均",AVERAGE(R38:V38),R38*F38+T38*H38+V38*J38),1))</f>
        <v>#DIV/0!</v>
      </c>
      <c r="S39" s="3485"/>
      <c r="T39" s="3485"/>
      <c r="U39" s="3485"/>
      <c r="V39" s="3485"/>
      <c r="W39" s="3485"/>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2024-4</v>
      </c>
      <c r="D48" s="1101">
        <f>EDATE(C48,-1)</f>
        <v>45352</v>
      </c>
      <c r="E48" s="1101">
        <f t="shared" ref="E48:O48" si="16">EDATE(D48,-1)</f>
        <v>45323</v>
      </c>
      <c r="F48" s="1101">
        <f t="shared" si="16"/>
        <v>45292</v>
      </c>
      <c r="G48" s="1101">
        <f t="shared" si="16"/>
        <v>45261</v>
      </c>
      <c r="H48" s="1101">
        <f t="shared" si="16"/>
        <v>45231</v>
      </c>
      <c r="I48" s="1101">
        <f t="shared" si="16"/>
        <v>45200</v>
      </c>
      <c r="J48" s="1101">
        <f t="shared" si="16"/>
        <v>45170</v>
      </c>
      <c r="K48" s="1101">
        <f t="shared" si="16"/>
        <v>45139</v>
      </c>
      <c r="L48" s="1101">
        <f t="shared" si="16"/>
        <v>45108</v>
      </c>
      <c r="M48" s="1101">
        <f t="shared" si="16"/>
        <v>45078</v>
      </c>
      <c r="N48" s="1101">
        <f t="shared" si="16"/>
        <v>45047</v>
      </c>
      <c r="O48" s="1101">
        <f t="shared" si="16"/>
        <v>45017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45392</v>
      </c>
      <c r="D7" s="354">
        <v>100</v>
      </c>
      <c r="E7" s="355"/>
      <c r="F7" s="356">
        <f>SUMIF(46:46,YEAR(E7)&amp;"-"&amp;MONTH(E7),47:47)</f>
        <v>0</v>
      </c>
      <c r="G7" s="1816"/>
      <c r="H7" s="354">
        <f>SUMIF(46:46,YEAR(G7)&amp;"-"&amp;MONTH(G7),47:47)</f>
        <v>0</v>
      </c>
      <c r="I7" s="355"/>
      <c r="J7" s="354">
        <f>SUMIF(46:46,YEAR(I7)&amp;"-"&amp;MONTH(I7),47:47)</f>
        <v>0</v>
      </c>
      <c r="K7" s="38"/>
      <c r="L7" s="2479"/>
      <c r="M7" s="2431"/>
      <c r="N7" s="2431"/>
      <c r="O7" s="2431"/>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00"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00"/>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01" t="s">
        <v>1691</v>
      </c>
      <c r="Q14" s="1260" t="str">
        <f t="shared" si="6"/>
        <v>交通便捷度</v>
      </c>
      <c r="R14" s="665" t="s">
        <v>14</v>
      </c>
      <c r="S14" s="666">
        <f t="shared" si="0"/>
        <v>100</v>
      </c>
      <c r="T14" s="665" t="s">
        <v>14</v>
      </c>
      <c r="U14" s="666">
        <f t="shared" si="1"/>
        <v>100</v>
      </c>
      <c r="V14" s="665" t="s">
        <v>14</v>
      </c>
      <c r="W14" s="666">
        <f t="shared" si="2"/>
        <v>100</v>
      </c>
      <c r="X14" s="1262"/>
      <c r="Y14" s="3401"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02"/>
      <c r="Q15" s="1260"/>
      <c r="R15" s="665"/>
      <c r="S15" s="666"/>
      <c r="T15" s="665"/>
      <c r="U15" s="666"/>
      <c r="V15" s="665"/>
      <c r="W15" s="666"/>
      <c r="X15" s="1262"/>
      <c r="Y15" s="3402"/>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02"/>
      <c r="Q16" s="1260" t="str">
        <f>B16</f>
        <v>公共配套设施</v>
      </c>
      <c r="R16" s="665" t="s">
        <v>14</v>
      </c>
      <c r="S16" s="666">
        <f>F16</f>
        <v>100</v>
      </c>
      <c r="T16" s="665" t="s">
        <v>14</v>
      </c>
      <c r="U16" s="666">
        <f>H16</f>
        <v>100</v>
      </c>
      <c r="V16" s="665" t="s">
        <v>14</v>
      </c>
      <c r="W16" s="666">
        <f>J16</f>
        <v>100</v>
      </c>
      <c r="X16" s="1262"/>
      <c r="Y16" s="3402"/>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02"/>
      <c r="Q17" s="1260"/>
      <c r="R17" s="665"/>
      <c r="S17" s="666"/>
      <c r="T17" s="665"/>
      <c r="U17" s="666"/>
      <c r="V17" s="665"/>
      <c r="W17" s="666"/>
      <c r="X17" s="1262"/>
      <c r="Y17" s="3402"/>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02"/>
      <c r="Q18" s="1260" t="str">
        <f>B18</f>
        <v>基础设施水平</v>
      </c>
      <c r="R18" s="665" t="s">
        <v>14</v>
      </c>
      <c r="S18" s="666">
        <f>F18</f>
        <v>100</v>
      </c>
      <c r="T18" s="665" t="s">
        <v>14</v>
      </c>
      <c r="U18" s="666">
        <f>H18</f>
        <v>100</v>
      </c>
      <c r="V18" s="665" t="s">
        <v>14</v>
      </c>
      <c r="W18" s="666">
        <f>J18</f>
        <v>100</v>
      </c>
      <c r="X18" s="1262"/>
      <c r="Y18" s="3402"/>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02"/>
      <c r="Q19" s="1260"/>
      <c r="R19" s="665"/>
      <c r="S19" s="666"/>
      <c r="T19" s="665"/>
      <c r="U19" s="666"/>
      <c r="V19" s="665"/>
      <c r="W19" s="666"/>
      <c r="X19" s="1262"/>
      <c r="Y19" s="3402"/>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02"/>
      <c r="Q20" s="1260" t="str">
        <f>B20</f>
        <v>自然及人文环境</v>
      </c>
      <c r="R20" s="665" t="s">
        <v>14</v>
      </c>
      <c r="S20" s="666">
        <f>F20</f>
        <v>100</v>
      </c>
      <c r="T20" s="665" t="s">
        <v>14</v>
      </c>
      <c r="U20" s="666">
        <f>H20</f>
        <v>100</v>
      </c>
      <c r="V20" s="665" t="s">
        <v>14</v>
      </c>
      <c r="W20" s="666">
        <f>J20</f>
        <v>100</v>
      </c>
      <c r="X20" s="1262"/>
      <c r="Y20" s="3402"/>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02"/>
      <c r="Q21" s="1260"/>
      <c r="R21" s="665"/>
      <c r="S21" s="666"/>
      <c r="T21" s="665"/>
      <c r="U21" s="666"/>
      <c r="V21" s="665"/>
      <c r="W21" s="666"/>
      <c r="X21" s="1262"/>
      <c r="Y21" s="3402"/>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02"/>
      <c r="Q22" s="1260" t="str">
        <f>B22</f>
        <v>楼层</v>
      </c>
      <c r="R22" s="665" t="s">
        <v>14</v>
      </c>
      <c r="S22" s="666">
        <f>F22</f>
        <v>100</v>
      </c>
      <c r="T22" s="665" t="s">
        <v>14</v>
      </c>
      <c r="U22" s="666">
        <f>H22</f>
        <v>100</v>
      </c>
      <c r="V22" s="665" t="s">
        <v>14</v>
      </c>
      <c r="W22" s="666">
        <f>J22</f>
        <v>100</v>
      </c>
      <c r="X22" s="1262"/>
      <c r="Y22" s="3402"/>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02"/>
      <c r="Q23" s="1260">
        <f>B23</f>
        <v>111</v>
      </c>
      <c r="R23" s="665" t="s">
        <v>14</v>
      </c>
      <c r="S23" s="666">
        <f>F23</f>
        <v>100</v>
      </c>
      <c r="T23" s="665" t="s">
        <v>14</v>
      </c>
      <c r="U23" s="666">
        <f>H23</f>
        <v>100</v>
      </c>
      <c r="V23" s="665" t="s">
        <v>14</v>
      </c>
      <c r="W23" s="666">
        <f>J23</f>
        <v>100</v>
      </c>
      <c r="X23" s="1262"/>
      <c r="Y23" s="3402"/>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02"/>
      <c r="Q24" s="1260">
        <f t="shared" ref="Q24:Q34" si="11">B24</f>
        <v>111</v>
      </c>
      <c r="R24" s="665" t="s">
        <v>14</v>
      </c>
      <c r="S24" s="666">
        <f>F24</f>
        <v>100</v>
      </c>
      <c r="T24" s="665" t="s">
        <v>14</v>
      </c>
      <c r="U24" s="666">
        <f>H24</f>
        <v>100</v>
      </c>
      <c r="V24" s="665" t="s">
        <v>14</v>
      </c>
      <c r="W24" s="666">
        <f>J24</f>
        <v>100</v>
      </c>
      <c r="X24" s="1262"/>
      <c r="Y24" s="3402"/>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02"/>
      <c r="Q25" s="529">
        <f t="shared" si="11"/>
        <v>111</v>
      </c>
      <c r="R25" s="662" t="s">
        <v>14</v>
      </c>
      <c r="S25" s="663">
        <f>F25</f>
        <v>100</v>
      </c>
      <c r="T25" s="662" t="s">
        <v>14</v>
      </c>
      <c r="U25" s="663">
        <f>H25</f>
        <v>100</v>
      </c>
      <c r="V25" s="662" t="s">
        <v>14</v>
      </c>
      <c r="W25" s="663">
        <f>J25</f>
        <v>100</v>
      </c>
      <c r="X25" s="664"/>
      <c r="Y25" s="3402"/>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03"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4"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04"/>
      <c r="Q27" s="530" t="str">
        <f t="shared" si="11"/>
        <v>成新率</v>
      </c>
      <c r="R27" s="667" t="s">
        <v>14</v>
      </c>
      <c r="S27" s="668" t="e">
        <f t="shared" si="12"/>
        <v>#N/A</v>
      </c>
      <c r="T27" s="667" t="s">
        <v>14</v>
      </c>
      <c r="U27" s="668" t="e">
        <f t="shared" si="13"/>
        <v>#N/A</v>
      </c>
      <c r="V27" s="667" t="s">
        <v>14</v>
      </c>
      <c r="W27" s="668" t="e">
        <f t="shared" si="14"/>
        <v>#N/A</v>
      </c>
      <c r="X27" s="669"/>
      <c r="Y27" s="3404"/>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04"/>
      <c r="Q28" s="1260" t="str">
        <f t="shared" si="11"/>
        <v>物业等级</v>
      </c>
      <c r="R28" s="665" t="s">
        <v>14</v>
      </c>
      <c r="S28" s="666">
        <f t="shared" si="12"/>
        <v>100</v>
      </c>
      <c r="T28" s="665" t="s">
        <v>14</v>
      </c>
      <c r="U28" s="666">
        <f t="shared" si="13"/>
        <v>100</v>
      </c>
      <c r="V28" s="665" t="s">
        <v>14</v>
      </c>
      <c r="W28" s="666">
        <f t="shared" si="14"/>
        <v>100</v>
      </c>
      <c r="X28" s="1262"/>
      <c r="Y28" s="3404"/>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04"/>
      <c r="Q29" s="1260" t="str">
        <f t="shared" si="11"/>
        <v>有无电梯</v>
      </c>
      <c r="R29" s="665" t="s">
        <v>14</v>
      </c>
      <c r="S29" s="666">
        <f t="shared" si="12"/>
        <v>100</v>
      </c>
      <c r="T29" s="665" t="s">
        <v>14</v>
      </c>
      <c r="U29" s="666">
        <f t="shared" si="13"/>
        <v>100</v>
      </c>
      <c r="V29" s="665" t="s">
        <v>14</v>
      </c>
      <c r="W29" s="666">
        <f t="shared" si="14"/>
        <v>100</v>
      </c>
      <c r="X29" s="1262"/>
      <c r="Y29" s="3404"/>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04"/>
      <c r="Q30" s="1260" t="str">
        <f t="shared" si="11"/>
        <v>建筑面积</v>
      </c>
      <c r="R30" s="665" t="s">
        <v>14</v>
      </c>
      <c r="S30" s="666" t="e">
        <f t="shared" si="12"/>
        <v>#N/A</v>
      </c>
      <c r="T30" s="665" t="s">
        <v>14</v>
      </c>
      <c r="U30" s="666" t="e">
        <f t="shared" si="13"/>
        <v>#N/A</v>
      </c>
      <c r="V30" s="665" t="s">
        <v>14</v>
      </c>
      <c r="W30" s="666" t="e">
        <f t="shared" si="14"/>
        <v>#N/A</v>
      </c>
      <c r="X30" s="1262"/>
      <c r="Y30" s="3404"/>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04"/>
      <c r="Q31" s="529" t="str">
        <f t="shared" si="11"/>
        <v>是否封闭</v>
      </c>
      <c r="R31" s="662" t="s">
        <v>14</v>
      </c>
      <c r="S31" s="663">
        <f t="shared" si="12"/>
        <v>100</v>
      </c>
      <c r="T31" s="662" t="s">
        <v>14</v>
      </c>
      <c r="U31" s="663">
        <f t="shared" si="13"/>
        <v>100</v>
      </c>
      <c r="V31" s="662" t="s">
        <v>14</v>
      </c>
      <c r="W31" s="663">
        <f t="shared" si="14"/>
        <v>100</v>
      </c>
      <c r="X31" s="664"/>
      <c r="Y31" s="340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04" t="s">
        <v>1696</v>
      </c>
      <c r="Q32" s="1260">
        <f t="shared" si="11"/>
        <v>111</v>
      </c>
      <c r="R32" s="665" t="s">
        <v>14</v>
      </c>
      <c r="S32" s="666">
        <f t="shared" si="12"/>
        <v>100</v>
      </c>
      <c r="T32" s="665" t="s">
        <v>14</v>
      </c>
      <c r="U32" s="666">
        <f t="shared" si="13"/>
        <v>100</v>
      </c>
      <c r="V32" s="665" t="s">
        <v>14</v>
      </c>
      <c r="W32" s="666">
        <f t="shared" si="14"/>
        <v>100</v>
      </c>
      <c r="X32" s="1262"/>
      <c r="Y32" s="3404"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04"/>
      <c r="Q33" s="1260">
        <f t="shared" si="11"/>
        <v>111</v>
      </c>
      <c r="R33" s="665" t="s">
        <v>14</v>
      </c>
      <c r="S33" s="666">
        <f t="shared" si="12"/>
        <v>100</v>
      </c>
      <c r="T33" s="665" t="s">
        <v>14</v>
      </c>
      <c r="U33" s="666">
        <f t="shared" si="13"/>
        <v>100</v>
      </c>
      <c r="V33" s="665" t="s">
        <v>14</v>
      </c>
      <c r="W33" s="666">
        <f t="shared" si="14"/>
        <v>100</v>
      </c>
      <c r="X33" s="1262"/>
      <c r="Y33" s="3404"/>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00" t="str">
        <f>A35</f>
        <v>成交单价（元/平方米）</v>
      </c>
      <c r="Q35" s="3400"/>
      <c r="R35" s="3405">
        <f>E35</f>
        <v>0</v>
      </c>
      <c r="S35" s="3405"/>
      <c r="T35" s="3405">
        <f>G35</f>
        <v>0</v>
      </c>
      <c r="U35" s="3405"/>
      <c r="V35" s="3405">
        <f>I35</f>
        <v>0</v>
      </c>
      <c r="W35" s="3405"/>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00" t="str">
        <f>A36</f>
        <v>比较价值（元/平方米）</v>
      </c>
      <c r="Q36" s="340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394" t="str">
        <f>A37</f>
        <v>估价对象XX用房的比较价值（楼面单价，元/平方米）</v>
      </c>
      <c r="Q37" s="3395"/>
      <c r="R37" s="3485" t="e">
        <f>IF(F1="售价",ROUND(IF(D36="简单平均",AVERAGE(R36:W36),R36*F36+T36*H36+V36*J36),0),ROUND(IF(D36="简单平均",AVERAGE(R36:V36),R36*F36+T36*H36+V36*J36),1))</f>
        <v>#DIV/0!</v>
      </c>
      <c r="S37" s="3485"/>
      <c r="T37" s="3485"/>
      <c r="U37" s="3485"/>
      <c r="V37" s="3485"/>
      <c r="W37" s="3485"/>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2024-4</v>
      </c>
      <c r="D46" s="1101">
        <f>EDATE(C46,-1)</f>
        <v>45352</v>
      </c>
      <c r="E46" s="1101">
        <f t="shared" ref="E46:O46" si="16">EDATE(D46,-1)</f>
        <v>45323</v>
      </c>
      <c r="F46" s="1101">
        <f t="shared" si="16"/>
        <v>45292</v>
      </c>
      <c r="G46" s="1101">
        <f t="shared" si="16"/>
        <v>45261</v>
      </c>
      <c r="H46" s="1101">
        <f t="shared" si="16"/>
        <v>45231</v>
      </c>
      <c r="I46" s="1101">
        <f t="shared" si="16"/>
        <v>45200</v>
      </c>
      <c r="J46" s="1101">
        <f t="shared" si="16"/>
        <v>45170</v>
      </c>
      <c r="K46" s="1101">
        <f t="shared" si="16"/>
        <v>45139</v>
      </c>
      <c r="L46" s="1101">
        <f t="shared" si="16"/>
        <v>45108</v>
      </c>
      <c r="M46" s="1101">
        <f t="shared" si="16"/>
        <v>45078</v>
      </c>
      <c r="N46" s="1101">
        <f t="shared" si="16"/>
        <v>45047</v>
      </c>
      <c r="O46" s="1101">
        <f t="shared" si="16"/>
        <v>45017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86" t="s">
        <v>1918</v>
      </c>
      <c r="D6" s="3487"/>
      <c r="E6" s="3488" t="s">
        <v>1918</v>
      </c>
      <c r="F6" s="3489"/>
      <c r="G6" s="3486" t="s">
        <v>1918</v>
      </c>
      <c r="H6" s="3487"/>
      <c r="I6" s="3486" t="s">
        <v>1918</v>
      </c>
      <c r="J6" s="3487"/>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45392</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428" t="s">
        <v>1683</v>
      </c>
      <c r="Q8" s="3429"/>
      <c r="R8" s="662" t="s">
        <v>14</v>
      </c>
      <c r="S8" s="663">
        <f t="shared" si="0"/>
        <v>0</v>
      </c>
      <c r="T8" s="662" t="s">
        <v>14</v>
      </c>
      <c r="U8" s="663">
        <f t="shared" si="1"/>
        <v>0</v>
      </c>
      <c r="V8" s="662" t="s">
        <v>14</v>
      </c>
      <c r="W8" s="663">
        <f t="shared" si="2"/>
        <v>0</v>
      </c>
      <c r="X8" s="664"/>
      <c r="Y8" s="3428" t="s">
        <v>1683</v>
      </c>
      <c r="Z8" s="3429"/>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122</v>
      </c>
      <c r="G10" s="370"/>
      <c r="H10" s="118">
        <f>ROUND(100/'数据-取费表'!G16,0)</f>
        <v>122</v>
      </c>
      <c r="I10" s="370"/>
      <c r="J10" s="118">
        <f>ROUND(100/'数据-取费表'!G16,0)</f>
        <v>122</v>
      </c>
      <c r="K10" s="590"/>
      <c r="L10" s="2480"/>
      <c r="M10" s="2481"/>
      <c r="N10" s="2481"/>
      <c r="O10" s="2532"/>
      <c r="P10" s="3400"/>
      <c r="Q10" s="529" t="str">
        <f t="shared" si="6"/>
        <v>土地使用年限（年）</v>
      </c>
      <c r="R10" s="662" t="s">
        <v>14</v>
      </c>
      <c r="S10" s="663">
        <f t="shared" si="0"/>
        <v>122</v>
      </c>
      <c r="T10" s="662" t="s">
        <v>14</v>
      </c>
      <c r="U10" s="663">
        <f t="shared" si="1"/>
        <v>122</v>
      </c>
      <c r="V10" s="662" t="s">
        <v>14</v>
      </c>
      <c r="W10" s="663">
        <f t="shared" si="2"/>
        <v>122</v>
      </c>
      <c r="X10" s="664"/>
      <c r="Y10" s="3278"/>
      <c r="Z10" s="50" t="str">
        <f t="shared" si="7"/>
        <v>土地使用年限（年）</v>
      </c>
      <c r="AA10" s="50">
        <f t="shared" si="3"/>
        <v>0.81967213114754101</v>
      </c>
      <c r="AB10" s="50">
        <f t="shared" si="4"/>
        <v>0.81967213114754101</v>
      </c>
      <c r="AC10" s="50">
        <f t="shared" si="5"/>
        <v>0.81967213114754101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00"/>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01" t="s">
        <v>1691</v>
      </c>
      <c r="Q15" s="1260" t="str">
        <f t="shared" si="6"/>
        <v>产业集聚程度</v>
      </c>
      <c r="R15" s="665" t="s">
        <v>14</v>
      </c>
      <c r="S15" s="666">
        <f t="shared" si="0"/>
        <v>100</v>
      </c>
      <c r="T15" s="665" t="s">
        <v>14</v>
      </c>
      <c r="U15" s="666">
        <f t="shared" si="1"/>
        <v>100</v>
      </c>
      <c r="V15" s="665" t="s">
        <v>14</v>
      </c>
      <c r="W15" s="666">
        <f t="shared" si="2"/>
        <v>100</v>
      </c>
      <c r="X15" s="1262"/>
      <c r="Y15" s="3401"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02"/>
      <c r="Q16" s="1260"/>
      <c r="R16" s="665"/>
      <c r="S16" s="666"/>
      <c r="T16" s="665"/>
      <c r="U16" s="666"/>
      <c r="V16" s="665"/>
      <c r="W16" s="666"/>
      <c r="X16" s="1262"/>
      <c r="Y16" s="3402"/>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02"/>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02"/>
      <c r="Q18" s="1260"/>
      <c r="R18" s="665"/>
      <c r="S18" s="666"/>
      <c r="T18" s="665"/>
      <c r="U18" s="666"/>
      <c r="V18" s="665"/>
      <c r="W18" s="666"/>
      <c r="X18" s="1262"/>
      <c r="Y18" s="3402"/>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02"/>
      <c r="Q19" s="1260" t="str">
        <f t="shared" ref="Q19:Q33" si="8">B19</f>
        <v>区域土地利用方向</v>
      </c>
      <c r="R19" s="665" t="s">
        <v>14</v>
      </c>
      <c r="S19" s="666">
        <f>F19</f>
        <v>100</v>
      </c>
      <c r="T19" s="665" t="s">
        <v>14</v>
      </c>
      <c r="U19" s="666">
        <f>H19</f>
        <v>100</v>
      </c>
      <c r="V19" s="665" t="s">
        <v>14</v>
      </c>
      <c r="W19" s="666">
        <f>J19</f>
        <v>100</v>
      </c>
      <c r="X19" s="1262"/>
      <c r="Y19" s="3402"/>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02"/>
      <c r="Q20" s="1260"/>
      <c r="R20" s="665"/>
      <c r="S20" s="666"/>
      <c r="T20" s="665"/>
      <c r="U20" s="666"/>
      <c r="V20" s="665"/>
      <c r="W20" s="666"/>
      <c r="X20" s="1262"/>
      <c r="Y20" s="3402"/>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02"/>
      <c r="Q21" s="1260" t="str">
        <f t="shared" si="8"/>
        <v>环境状况</v>
      </c>
      <c r="R21" s="665" t="s">
        <v>14</v>
      </c>
      <c r="S21" s="666">
        <f>F21</f>
        <v>100</v>
      </c>
      <c r="T21" s="665" t="s">
        <v>14</v>
      </c>
      <c r="U21" s="666">
        <f>H21</f>
        <v>100</v>
      </c>
      <c r="V21" s="665" t="s">
        <v>14</v>
      </c>
      <c r="W21" s="666">
        <f>J21</f>
        <v>100</v>
      </c>
      <c r="X21" s="1262"/>
      <c r="Y21" s="3402"/>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02"/>
      <c r="Q22" s="1260"/>
      <c r="R22" s="665"/>
      <c r="S22" s="666"/>
      <c r="T22" s="665"/>
      <c r="U22" s="666"/>
      <c r="V22" s="665"/>
      <c r="W22" s="666"/>
      <c r="X22" s="1262"/>
      <c r="Y22" s="3402"/>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02"/>
      <c r="Q23" s="529" t="str">
        <f t="shared" si="8"/>
        <v>公共配套设施</v>
      </c>
      <c r="R23" s="662" t="s">
        <v>14</v>
      </c>
      <c r="S23" s="663">
        <f>F23</f>
        <v>100</v>
      </c>
      <c r="T23" s="662" t="s">
        <v>14</v>
      </c>
      <c r="U23" s="663">
        <f>H23</f>
        <v>100</v>
      </c>
      <c r="V23" s="662" t="s">
        <v>14</v>
      </c>
      <c r="W23" s="663">
        <f>J23</f>
        <v>100</v>
      </c>
      <c r="X23" s="664"/>
      <c r="Y23" s="3402"/>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02"/>
      <c r="Q24" s="529"/>
      <c r="R24" s="662"/>
      <c r="S24" s="663"/>
      <c r="T24" s="662"/>
      <c r="U24" s="663"/>
      <c r="V24" s="662"/>
      <c r="W24" s="663"/>
      <c r="X24" s="664"/>
      <c r="Y24" s="3402"/>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02"/>
      <c r="Q25" s="529" t="str">
        <f t="shared" ref="Q25" si="9">B25</f>
        <v>基础设施水平</v>
      </c>
      <c r="R25" s="662" t="s">
        <v>14</v>
      </c>
      <c r="S25" s="663">
        <f>F25</f>
        <v>100</v>
      </c>
      <c r="T25" s="662" t="s">
        <v>14</v>
      </c>
      <c r="U25" s="663">
        <f>H25</f>
        <v>100</v>
      </c>
      <c r="V25" s="662" t="s">
        <v>14</v>
      </c>
      <c r="W25" s="663">
        <f>J25</f>
        <v>100</v>
      </c>
      <c r="X25" s="664"/>
      <c r="Y25" s="3402"/>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02"/>
      <c r="Q26" s="529"/>
      <c r="R26" s="662"/>
      <c r="S26" s="663"/>
      <c r="T26" s="662"/>
      <c r="U26" s="663"/>
      <c r="V26" s="662"/>
      <c r="W26" s="663"/>
      <c r="X26" s="664"/>
      <c r="Y26" s="3402"/>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02"/>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2"/>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02"/>
      <c r="Q28" s="1260" t="str">
        <f t="shared" si="8"/>
        <v>毗邻道路的类型与等级</v>
      </c>
      <c r="R28" s="665" t="s">
        <v>14</v>
      </c>
      <c r="S28" s="666">
        <f t="shared" si="10"/>
        <v>100</v>
      </c>
      <c r="T28" s="665" t="s">
        <v>14</v>
      </c>
      <c r="U28" s="666">
        <f t="shared" si="11"/>
        <v>100</v>
      </c>
      <c r="V28" s="665" t="s">
        <v>14</v>
      </c>
      <c r="W28" s="666">
        <f t="shared" si="12"/>
        <v>100</v>
      </c>
      <c r="X28" s="1262"/>
      <c r="Y28" s="3402"/>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02"/>
      <c r="Q29" s="1260"/>
      <c r="R29" s="665"/>
      <c r="S29" s="666"/>
      <c r="T29" s="665"/>
      <c r="U29" s="666"/>
      <c r="V29" s="665"/>
      <c r="W29" s="666"/>
      <c r="X29" s="1262"/>
      <c r="Y29" s="3402"/>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02"/>
      <c r="Q30" s="1260" t="str">
        <f t="shared" si="8"/>
        <v>土地级别</v>
      </c>
      <c r="R30" s="665" t="s">
        <v>14</v>
      </c>
      <c r="S30" s="666">
        <f t="shared" si="10"/>
        <v>100</v>
      </c>
      <c r="T30" s="665" t="s">
        <v>14</v>
      </c>
      <c r="U30" s="666">
        <f t="shared" si="11"/>
        <v>100</v>
      </c>
      <c r="V30" s="665" t="s">
        <v>14</v>
      </c>
      <c r="W30" s="666">
        <f t="shared" si="12"/>
        <v>100</v>
      </c>
      <c r="X30" s="1262"/>
      <c r="Y30" s="3402"/>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02"/>
      <c r="Q31" s="1260">
        <f t="shared" si="8"/>
        <v>111</v>
      </c>
      <c r="R31" s="665" t="s">
        <v>14</v>
      </c>
      <c r="S31" s="666">
        <f t="shared" si="10"/>
        <v>100</v>
      </c>
      <c r="T31" s="665" t="s">
        <v>14</v>
      </c>
      <c r="U31" s="666">
        <f t="shared" si="11"/>
        <v>100</v>
      </c>
      <c r="V31" s="665" t="s">
        <v>14</v>
      </c>
      <c r="W31" s="666">
        <f t="shared" si="12"/>
        <v>100</v>
      </c>
      <c r="X31" s="1262"/>
      <c r="Y31" s="3402"/>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03" t="s">
        <v>1696</v>
      </c>
      <c r="Q32" s="1260">
        <f t="shared" si="8"/>
        <v>111</v>
      </c>
      <c r="R32" s="665" t="s">
        <v>14</v>
      </c>
      <c r="S32" s="666">
        <f t="shared" si="10"/>
        <v>100</v>
      </c>
      <c r="T32" s="665" t="s">
        <v>14</v>
      </c>
      <c r="U32" s="666">
        <f t="shared" si="11"/>
        <v>100</v>
      </c>
      <c r="V32" s="665" t="s">
        <v>14</v>
      </c>
      <c r="W32" s="666">
        <f t="shared" si="12"/>
        <v>100</v>
      </c>
      <c r="X32" s="1262"/>
      <c r="Y32" s="3404"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04"/>
      <c r="Q33" s="1260">
        <f t="shared" si="8"/>
        <v>111</v>
      </c>
      <c r="R33" s="667" t="s">
        <v>14</v>
      </c>
      <c r="S33" s="668">
        <f t="shared" si="10"/>
        <v>100</v>
      </c>
      <c r="T33" s="667" t="s">
        <v>14</v>
      </c>
      <c r="U33" s="668">
        <f t="shared" si="11"/>
        <v>100</v>
      </c>
      <c r="V33" s="667" t="s">
        <v>14</v>
      </c>
      <c r="W33" s="668">
        <f t="shared" si="12"/>
        <v>100</v>
      </c>
      <c r="X33" s="669"/>
      <c r="Y33" s="3404"/>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04"/>
      <c r="Q34" s="1260" t="str">
        <f>B34</f>
        <v>宗地面积</v>
      </c>
      <c r="R34" s="665" t="s">
        <v>14</v>
      </c>
      <c r="S34" s="666" t="e">
        <f t="shared" si="10"/>
        <v>#N/A</v>
      </c>
      <c r="T34" s="665" t="s">
        <v>14</v>
      </c>
      <c r="U34" s="666" t="e">
        <f t="shared" si="11"/>
        <v>#N/A</v>
      </c>
      <c r="V34" s="665" t="s">
        <v>14</v>
      </c>
      <c r="W34" s="666" t="e">
        <f t="shared" si="12"/>
        <v>#N/A</v>
      </c>
      <c r="X34" s="1262"/>
      <c r="Y34" s="3404"/>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04"/>
      <c r="Q35" s="1260" t="str">
        <f t="shared" ref="Q35:Q40" si="14">B35</f>
        <v>宗地形状</v>
      </c>
      <c r="R35" s="665" t="s">
        <v>14</v>
      </c>
      <c r="S35" s="666">
        <f t="shared" si="10"/>
        <v>100</v>
      </c>
      <c r="T35" s="665" t="s">
        <v>14</v>
      </c>
      <c r="U35" s="666">
        <f t="shared" si="11"/>
        <v>100</v>
      </c>
      <c r="V35" s="665" t="s">
        <v>14</v>
      </c>
      <c r="W35" s="666">
        <f t="shared" si="12"/>
        <v>100</v>
      </c>
      <c r="X35" s="1262"/>
      <c r="Y35" s="3404"/>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04"/>
      <c r="Q36" s="1260" t="str">
        <f t="shared" si="14"/>
        <v>宗地开发程度</v>
      </c>
      <c r="R36" s="662" t="s">
        <v>14</v>
      </c>
      <c r="S36" s="663">
        <f t="shared" si="10"/>
        <v>100</v>
      </c>
      <c r="T36" s="662" t="s">
        <v>14</v>
      </c>
      <c r="U36" s="663">
        <f t="shared" si="11"/>
        <v>100</v>
      </c>
      <c r="V36" s="662" t="s">
        <v>14</v>
      </c>
      <c r="W36" s="663">
        <f t="shared" si="12"/>
        <v>100</v>
      </c>
      <c r="X36" s="664"/>
      <c r="Y36" s="3404"/>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04" t="s">
        <v>1696</v>
      </c>
      <c r="Q37" s="1260" t="str">
        <f t="shared" si="14"/>
        <v>工程地质条件</v>
      </c>
      <c r="R37" s="665" t="s">
        <v>14</v>
      </c>
      <c r="S37" s="666">
        <f t="shared" si="10"/>
        <v>100</v>
      </c>
      <c r="T37" s="665" t="s">
        <v>14</v>
      </c>
      <c r="U37" s="666">
        <f t="shared" si="11"/>
        <v>100</v>
      </c>
      <c r="V37" s="665" t="s">
        <v>14</v>
      </c>
      <c r="W37" s="666">
        <f t="shared" si="12"/>
        <v>100</v>
      </c>
      <c r="X37" s="1262"/>
      <c r="Y37" s="3404"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04"/>
      <c r="Q38" s="1260">
        <f t="shared" si="14"/>
        <v>111</v>
      </c>
      <c r="R38" s="665" t="s">
        <v>14</v>
      </c>
      <c r="S38" s="666">
        <f t="shared" si="10"/>
        <v>100</v>
      </c>
      <c r="T38" s="665" t="s">
        <v>14</v>
      </c>
      <c r="U38" s="666">
        <f t="shared" si="11"/>
        <v>100</v>
      </c>
      <c r="V38" s="665" t="s">
        <v>14</v>
      </c>
      <c r="W38" s="666">
        <f t="shared" si="12"/>
        <v>100</v>
      </c>
      <c r="X38" s="1262"/>
      <c r="Y38" s="3404"/>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04"/>
      <c r="Q39" s="1260">
        <f t="shared" si="14"/>
        <v>111</v>
      </c>
      <c r="R39" s="665" t="s">
        <v>14</v>
      </c>
      <c r="S39" s="666">
        <f t="shared" si="10"/>
        <v>100</v>
      </c>
      <c r="T39" s="665" t="s">
        <v>14</v>
      </c>
      <c r="U39" s="666">
        <f t="shared" si="11"/>
        <v>100</v>
      </c>
      <c r="V39" s="665" t="s">
        <v>14</v>
      </c>
      <c r="W39" s="666">
        <f t="shared" si="12"/>
        <v>100</v>
      </c>
      <c r="X39" s="1262"/>
      <c r="Y39" s="3404"/>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04"/>
      <c r="Q40" s="1260">
        <f t="shared" si="14"/>
        <v>111</v>
      </c>
      <c r="R40" s="667" t="s">
        <v>14</v>
      </c>
      <c r="S40" s="668">
        <f t="shared" si="10"/>
        <v>100</v>
      </c>
      <c r="T40" s="667" t="s">
        <v>14</v>
      </c>
      <c r="U40" s="668">
        <f t="shared" si="11"/>
        <v>100</v>
      </c>
      <c r="V40" s="667" t="s">
        <v>14</v>
      </c>
      <c r="W40" s="668">
        <f t="shared" si="12"/>
        <v>100</v>
      </c>
      <c r="X40" s="669"/>
      <c r="Y40" s="3404"/>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00" t="str">
        <f>A41</f>
        <v>成交单价</v>
      </c>
      <c r="Q41" s="3400"/>
      <c r="R41" s="3405">
        <f>E41</f>
        <v>0</v>
      </c>
      <c r="S41" s="3405"/>
      <c r="T41" s="3405">
        <f>G41</f>
        <v>0</v>
      </c>
      <c r="U41" s="3405"/>
      <c r="V41" s="3405">
        <f>I41</f>
        <v>0</v>
      </c>
      <c r="W41" s="3405"/>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00" t="str">
        <f>A42</f>
        <v>比较价值（元/平方米）</v>
      </c>
      <c r="Q42" s="3400"/>
      <c r="R42" s="3393" t="e">
        <f>ROUND(PRODUCT(R41,AA7:AA40),0)</f>
        <v>#DIV/0!</v>
      </c>
      <c r="S42" s="3393"/>
      <c r="T42" s="3393" t="e">
        <f>ROUND(PRODUCT(T41,AB7:AB40),0)</f>
        <v>#DIV/0!</v>
      </c>
      <c r="U42" s="3393"/>
      <c r="V42" s="3393" t="e">
        <f>ROUND(PRODUCT(V41,AC7:AC40),0)</f>
        <v>#DIV/0!</v>
      </c>
      <c r="W42" s="3393"/>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394" t="str">
        <f>A43</f>
        <v>估价对象XX用房的比较价值（楼面单价，元/平方米）</v>
      </c>
      <c r="Q43" s="3395"/>
      <c r="R43" s="3396" t="e">
        <f>ROUND(IF(D42="简单平均",AVERAGE(R42:W42),R42*F42+T42*H42+V42*J42),0)</f>
        <v>#DIV/0!</v>
      </c>
      <c r="S43" s="3396"/>
      <c r="T43" s="3396"/>
      <c r="U43" s="3396"/>
      <c r="V43" s="3396"/>
      <c r="W43" s="3396"/>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397" t="s">
        <v>1887</v>
      </c>
      <c r="H50" s="3398"/>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236.66</v>
      </c>
      <c r="F51" s="609" t="e">
        <f t="shared" ref="F51:F60" si="15">ROUND(B51*E51/10000,0)</f>
        <v>#DIV/0!</v>
      </c>
      <c r="G51" s="3399"/>
      <c r="H51" s="3400"/>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0.6</v>
      </c>
      <c r="D52" s="889">
        <v>0.25</v>
      </c>
      <c r="E52" s="612"/>
      <c r="F52" s="609" t="e">
        <f t="shared" si="15"/>
        <v>#DIV/0!</v>
      </c>
      <c r="G52" s="2739" t="s">
        <v>1892</v>
      </c>
      <c r="H52" s="832" t="str">
        <f>项目基本情况!B37</f>
        <v>四级</v>
      </c>
      <c r="I52" s="725">
        <f>SUMIF(修正!A57:A68,H52,修正!B57:B68)</f>
        <v>0.6</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0.3</v>
      </c>
      <c r="D53" s="889">
        <v>0.25</v>
      </c>
      <c r="E53" s="612"/>
      <c r="F53" s="609" t="e">
        <f t="shared" si="15"/>
        <v>#DIV/0!</v>
      </c>
      <c r="G53" s="2740"/>
      <c r="H53" s="832" t="str">
        <f>项目基本情况!B37</f>
        <v>四级</v>
      </c>
      <c r="I53" s="725">
        <f>SUMIF(修正!A57:A68,H53,修正!C57:C68)</f>
        <v>0.3</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0.25</v>
      </c>
      <c r="D54" s="889">
        <v>0.25</v>
      </c>
      <c r="E54" s="612"/>
      <c r="F54" s="609" t="e">
        <f t="shared" si="15"/>
        <v>#DIV/0!</v>
      </c>
      <c r="G54" s="2740"/>
      <c r="H54" s="832" t="str">
        <f>项目基本情况!B37</f>
        <v>四级</v>
      </c>
      <c r="I54" s="725">
        <f>SUMIF(修正!A57:A68,H54,修正!D57:D68)</f>
        <v>0.25</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0.15</v>
      </c>
      <c r="D59" s="889">
        <v>0.25</v>
      </c>
      <c r="E59" s="208">
        <f>'数据-汇总表'!E14</f>
        <v>0</v>
      </c>
      <c r="F59" s="609" t="e">
        <f t="shared" si="15"/>
        <v>#DIV/0!</v>
      </c>
      <c r="G59" s="1829" t="s">
        <v>1892</v>
      </c>
      <c r="H59" s="832" t="str">
        <f>项目基本情况!B37</f>
        <v>四级</v>
      </c>
      <c r="I59" s="725">
        <f>SUMIF(修正!A57:A68,H59,修正!G57:G68)</f>
        <v>0.15</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2024-4-1</v>
      </c>
      <c r="D63" s="654">
        <f>EDATE(C63,-3)</f>
        <v>45292</v>
      </c>
      <c r="E63" s="654">
        <f>EDATE(D63,-3)</f>
        <v>45200</v>
      </c>
      <c r="F63" s="654">
        <f t="shared" ref="F63:O63" si="18">EDATE(E63,-3)</f>
        <v>45108</v>
      </c>
      <c r="G63" s="654">
        <f t="shared" si="18"/>
        <v>45017</v>
      </c>
      <c r="H63" s="654">
        <f t="shared" si="18"/>
        <v>44927</v>
      </c>
      <c r="I63" s="654">
        <f t="shared" si="18"/>
        <v>44835</v>
      </c>
      <c r="J63" s="654">
        <f t="shared" si="18"/>
        <v>44743</v>
      </c>
      <c r="K63" s="654">
        <f t="shared" si="18"/>
        <v>44652</v>
      </c>
      <c r="L63" s="654">
        <f t="shared" si="18"/>
        <v>44562</v>
      </c>
      <c r="M63" s="654">
        <f t="shared" si="18"/>
        <v>44470</v>
      </c>
      <c r="N63" s="654">
        <f t="shared" si="18"/>
        <v>44378</v>
      </c>
      <c r="O63" s="654">
        <f t="shared" si="18"/>
        <v>44287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3" t="s">
        <v>2083</v>
      </c>
      <c r="D1" s="3494"/>
      <c r="E1" s="3494"/>
      <c r="F1" s="3494"/>
      <c r="G1" s="3494"/>
      <c r="H1" s="3494"/>
      <c r="I1" s="3494"/>
      <c r="J1" s="3494"/>
      <c r="K1" s="3494"/>
      <c r="L1" s="3494"/>
      <c r="M1" s="3494"/>
      <c r="N1" s="3494"/>
      <c r="O1" s="3494"/>
      <c r="P1" s="3494"/>
      <c r="Q1" s="3494"/>
      <c r="R1" s="3494"/>
      <c r="S1" s="3495"/>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f ca="1">SUMIF(B6:B13,"&lt;&gt;#ref!",B6:B13)</f>
        <v>473</v>
      </c>
      <c r="C2" s="1978" t="s">
        <v>2073</v>
      </c>
      <c r="D2" s="1978" t="s">
        <v>2074</v>
      </c>
      <c r="E2" s="2389">
        <f ca="1">SUMIF(E6:E13,"&lt;&gt;#ref!",E6:E13)</f>
        <v>236.66</v>
      </c>
      <c r="F2" s="2535"/>
      <c r="G2" s="2535"/>
      <c r="H2" s="2535"/>
      <c r="I2" s="2535"/>
      <c r="J2" s="2535"/>
      <c r="K2" s="2535"/>
      <c r="L2" s="2535"/>
      <c r="M2" s="2535"/>
      <c r="N2" s="2535"/>
      <c r="O2" s="2535"/>
      <c r="P2" s="2535"/>
    </row>
    <row r="3" spans="1:16" ht="15.75">
      <c r="A3" s="1978" t="s">
        <v>2075</v>
      </c>
      <c r="B3" s="2379">
        <f ca="1">ROUND(B2*10000/E2,0)</f>
        <v>19986</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f ca="1">SUMIF(INDIRECT("'"&amp;A6&amp;"'"&amp;"!A:A"),"总价",INDIRECT("'"&amp;A6&amp;"'"&amp;"!B:B"))</f>
        <v>473</v>
      </c>
      <c r="C6" s="1978" t="s">
        <v>2073</v>
      </c>
      <c r="D6" s="2535"/>
      <c r="E6" s="2389">
        <f ca="1">SUMIF(INDIRECT("'"&amp;A6&amp;"'"&amp;"!C:C"),"建筑面积",INDIRECT("'"&amp;A6&amp;"'"&amp;"!D:D"))</f>
        <v>236.66</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5" t="s">
        <v>2603</v>
      </c>
      <c r="B20" s="3500" t="s">
        <v>2624</v>
      </c>
      <c r="C20" s="2831" t="s">
        <v>2435</v>
      </c>
      <c r="D20" s="2832"/>
      <c r="E20" s="2833">
        <v>1</v>
      </c>
      <c r="F20" s="2834" t="s">
        <v>2436</v>
      </c>
      <c r="G20" s="2834"/>
    </row>
    <row r="21" spans="1:13" ht="19.5" customHeight="1">
      <c r="A21" s="3506"/>
      <c r="B21" s="3499"/>
      <c r="C21" s="2835" t="s">
        <v>2437</v>
      </c>
      <c r="D21" s="2836"/>
      <c r="E21" s="2837">
        <v>1</v>
      </c>
      <c r="F21" s="2834" t="s">
        <v>2438</v>
      </c>
      <c r="G21" s="2834"/>
    </row>
    <row r="22" spans="1:13" ht="19.5" customHeight="1">
      <c r="A22" s="3506"/>
      <c r="B22" s="3499"/>
      <c r="C22" s="2835" t="s">
        <v>2439</v>
      </c>
      <c r="D22" s="2836"/>
      <c r="E22" s="2837">
        <v>0.9</v>
      </c>
      <c r="F22" s="2834" t="s">
        <v>2440</v>
      </c>
      <c r="G22" s="2834"/>
    </row>
    <row r="23" spans="1:13" ht="19.5" customHeight="1">
      <c r="A23" s="3506"/>
      <c r="B23" s="3499"/>
      <c r="C23" s="2835" t="s">
        <v>2441</v>
      </c>
      <c r="D23" s="2836"/>
      <c r="E23" s="2837">
        <v>0.9</v>
      </c>
      <c r="F23" s="2834" t="s">
        <v>2442</v>
      </c>
      <c r="G23" s="2834"/>
    </row>
    <row r="24" spans="1:13" ht="19.5" customHeight="1">
      <c r="A24" s="3506"/>
      <c r="B24" s="3499"/>
      <c r="C24" s="2835" t="s">
        <v>2443</v>
      </c>
      <c r="D24" s="2836"/>
      <c r="E24" s="2837">
        <v>0.8</v>
      </c>
      <c r="F24" s="2834" t="s">
        <v>2444</v>
      </c>
      <c r="G24" s="2834"/>
    </row>
    <row r="25" spans="1:13" ht="19.5" customHeight="1" thickBot="1">
      <c r="A25" s="3507"/>
      <c r="B25" s="3501"/>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502" t="s">
        <v>2627</v>
      </c>
      <c r="B27" s="3500" t="s">
        <v>2608</v>
      </c>
      <c r="C27" s="2831" t="s">
        <v>2448</v>
      </c>
      <c r="D27" s="2832"/>
      <c r="E27" s="2833">
        <v>1</v>
      </c>
      <c r="F27" s="2834" t="s">
        <v>2449</v>
      </c>
      <c r="G27" s="2834"/>
    </row>
    <row r="28" spans="1:13" ht="19.5" customHeight="1">
      <c r="A28" s="3503"/>
      <c r="B28" s="3499"/>
      <c r="C28" s="2835" t="s">
        <v>2450</v>
      </c>
      <c r="D28" s="2836"/>
      <c r="E28" s="2837">
        <v>1</v>
      </c>
      <c r="F28" s="2834" t="s">
        <v>2451</v>
      </c>
      <c r="G28" s="2834"/>
    </row>
    <row r="29" spans="1:13" ht="19.5" customHeight="1">
      <c r="A29" s="3503"/>
      <c r="B29" s="3499"/>
      <c r="C29" s="2835" t="s">
        <v>2452</v>
      </c>
      <c r="D29" s="2836"/>
      <c r="E29" s="2837">
        <v>0.8</v>
      </c>
      <c r="F29" s="2834" t="s">
        <v>2453</v>
      </c>
      <c r="G29" s="2834"/>
    </row>
    <row r="30" spans="1:13" ht="19.5" customHeight="1">
      <c r="A30" s="3503"/>
      <c r="B30" s="3499"/>
      <c r="C30" s="2835" t="s">
        <v>2454</v>
      </c>
      <c r="D30" s="2836"/>
      <c r="E30" s="2837">
        <v>0.8</v>
      </c>
      <c r="F30" s="2834" t="s">
        <v>2455</v>
      </c>
      <c r="G30" s="2834"/>
    </row>
    <row r="31" spans="1:13" ht="19.5" customHeight="1">
      <c r="A31" s="3503"/>
      <c r="B31" s="3499"/>
      <c r="C31" s="2835" t="s">
        <v>2456</v>
      </c>
      <c r="D31" s="2836"/>
      <c r="E31" s="2837">
        <v>0.8</v>
      </c>
      <c r="F31" s="2834" t="s">
        <v>2457</v>
      </c>
      <c r="G31" s="2834"/>
    </row>
    <row r="32" spans="1:13" ht="19.5" customHeight="1">
      <c r="A32" s="3503"/>
      <c r="B32" s="3499"/>
      <c r="C32" s="2835" t="s">
        <v>2458</v>
      </c>
      <c r="D32" s="2836"/>
      <c r="E32" s="2837">
        <v>0.7</v>
      </c>
      <c r="F32" s="2834" t="s">
        <v>2459</v>
      </c>
      <c r="G32" s="2834"/>
    </row>
    <row r="33" spans="1:7" ht="19.5" customHeight="1">
      <c r="A33" s="3503"/>
      <c r="B33" s="3499"/>
      <c r="C33" s="2835" t="s">
        <v>2460</v>
      </c>
      <c r="D33" s="2836"/>
      <c r="E33" s="2837">
        <v>0.8</v>
      </c>
      <c r="F33" s="2834" t="s">
        <v>2461</v>
      </c>
      <c r="G33" s="2834"/>
    </row>
    <row r="34" spans="1:7" ht="19.5" customHeight="1">
      <c r="A34" s="3503"/>
      <c r="B34" s="3499"/>
      <c r="C34" s="2835" t="s">
        <v>2462</v>
      </c>
      <c r="D34" s="2836"/>
      <c r="E34" s="2837">
        <v>0.6</v>
      </c>
      <c r="F34" s="2834" t="s">
        <v>2463</v>
      </c>
      <c r="G34" s="2834"/>
    </row>
    <row r="35" spans="1:7" ht="19.5" customHeight="1">
      <c r="A35" s="3503"/>
      <c r="B35" s="3499"/>
      <c r="C35" s="2835" t="s">
        <v>2464</v>
      </c>
      <c r="D35" s="2836"/>
      <c r="E35" s="2837">
        <v>0.2</v>
      </c>
      <c r="F35" s="2834" t="s">
        <v>2465</v>
      </c>
      <c r="G35" s="2834"/>
    </row>
    <row r="36" spans="1:7" ht="19.5" customHeight="1">
      <c r="A36" s="3503"/>
      <c r="B36" s="3499"/>
      <c r="C36" s="2835" t="s">
        <v>2466</v>
      </c>
      <c r="D36" s="2836"/>
      <c r="E36" s="2837">
        <v>0.2</v>
      </c>
      <c r="F36" s="2834" t="s">
        <v>2467</v>
      </c>
      <c r="G36" s="2834"/>
    </row>
    <row r="37" spans="1:7" ht="19.5" customHeight="1">
      <c r="A37" s="3503"/>
      <c r="B37" s="3497" t="s">
        <v>2628</v>
      </c>
      <c r="C37" s="2835" t="s">
        <v>2468</v>
      </c>
      <c r="D37" s="2836"/>
      <c r="E37" s="2837">
        <v>0.6</v>
      </c>
      <c r="F37" s="2834" t="s">
        <v>2469</v>
      </c>
      <c r="G37" s="2834"/>
    </row>
    <row r="38" spans="1:7" ht="19.5" customHeight="1">
      <c r="A38" s="3503"/>
      <c r="B38" s="3499"/>
      <c r="C38" s="2835" t="s">
        <v>2470</v>
      </c>
      <c r="D38" s="2836"/>
      <c r="E38" s="2837">
        <v>0.6</v>
      </c>
      <c r="F38" s="2834" t="s">
        <v>2471</v>
      </c>
      <c r="G38" s="2834"/>
    </row>
    <row r="39" spans="1:7" ht="19.5" customHeight="1" thickBot="1">
      <c r="A39" s="3504"/>
      <c r="B39" s="3501"/>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5" t="s">
        <v>2606</v>
      </c>
      <c r="B41" s="3500" t="s">
        <v>2630</v>
      </c>
      <c r="C41" s="2831" t="s">
        <v>2475</v>
      </c>
      <c r="D41" s="2832"/>
      <c r="E41" s="2833">
        <v>1</v>
      </c>
      <c r="F41" s="2834" t="s">
        <v>2476</v>
      </c>
      <c r="G41" s="2834"/>
    </row>
    <row r="42" spans="1:7" ht="19.5" customHeight="1">
      <c r="A42" s="3506"/>
      <c r="B42" s="3499"/>
      <c r="C42" s="2835" t="s">
        <v>2477</v>
      </c>
      <c r="D42" s="2836"/>
      <c r="E42" s="2837">
        <v>1</v>
      </c>
      <c r="F42" s="2834" t="s">
        <v>2478</v>
      </c>
      <c r="G42" s="2834"/>
    </row>
    <row r="43" spans="1:7" ht="19.5" customHeight="1">
      <c r="A43" s="3506"/>
      <c r="B43" s="3498"/>
      <c r="C43" s="2835" t="s">
        <v>2479</v>
      </c>
      <c r="D43" s="2836"/>
      <c r="E43" s="2837">
        <v>1.5</v>
      </c>
      <c r="F43" s="2834" t="s">
        <v>2480</v>
      </c>
      <c r="G43" s="2834"/>
    </row>
    <row r="44" spans="1:7" ht="19.5" customHeight="1">
      <c r="A44" s="3506"/>
      <c r="B44" s="2846" t="s">
        <v>2631</v>
      </c>
      <c r="C44" s="2835" t="s">
        <v>2632</v>
      </c>
      <c r="D44" s="2836"/>
      <c r="E44" s="2837">
        <v>2</v>
      </c>
      <c r="F44" s="2834" t="s">
        <v>2481</v>
      </c>
      <c r="G44" s="2834"/>
    </row>
    <row r="45" spans="1:7" ht="19.5" customHeight="1">
      <c r="A45" s="3506"/>
      <c r="B45" s="3497" t="s">
        <v>2633</v>
      </c>
      <c r="C45" s="2835" t="s">
        <v>2482</v>
      </c>
      <c r="D45" s="2836"/>
      <c r="E45" s="2837">
        <v>1</v>
      </c>
      <c r="F45" s="2834" t="s">
        <v>2483</v>
      </c>
      <c r="G45" s="2834"/>
    </row>
    <row r="46" spans="1:7" ht="19.5" customHeight="1">
      <c r="A46" s="3506"/>
      <c r="B46" s="3499"/>
      <c r="C46" s="2835" t="s">
        <v>2484</v>
      </c>
      <c r="D46" s="2836"/>
      <c r="E46" s="2837">
        <v>1</v>
      </c>
      <c r="F46" s="2834" t="s">
        <v>2485</v>
      </c>
      <c r="G46" s="2834"/>
    </row>
    <row r="47" spans="1:7" ht="19.5" customHeight="1">
      <c r="A47" s="3506"/>
      <c r="B47" s="3499"/>
      <c r="C47" s="2835" t="s">
        <v>2486</v>
      </c>
      <c r="D47" s="2836"/>
      <c r="E47" s="2837">
        <v>1</v>
      </c>
      <c r="F47" s="2834" t="s">
        <v>2487</v>
      </c>
      <c r="G47" s="2834"/>
    </row>
    <row r="48" spans="1:7" ht="19.5" customHeight="1">
      <c r="A48" s="3506"/>
      <c r="B48" s="3499"/>
      <c r="C48" s="2835" t="s">
        <v>2488</v>
      </c>
      <c r="D48" s="2836"/>
      <c r="E48" s="2837">
        <v>1</v>
      </c>
      <c r="F48" s="2834" t="s">
        <v>2489</v>
      </c>
      <c r="G48" s="2834"/>
    </row>
    <row r="49" spans="1:7" ht="19.5" customHeight="1">
      <c r="A49" s="3506"/>
      <c r="B49" s="3499"/>
      <c r="C49" s="2835" t="s">
        <v>2490</v>
      </c>
      <c r="D49" s="2836"/>
      <c r="E49" s="2837">
        <v>1</v>
      </c>
      <c r="F49" s="2834" t="s">
        <v>2491</v>
      </c>
      <c r="G49" s="2834"/>
    </row>
    <row r="50" spans="1:7" ht="19.5" customHeight="1">
      <c r="A50" s="3506"/>
      <c r="B50" s="3499"/>
      <c r="C50" s="2835" t="s">
        <v>2492</v>
      </c>
      <c r="D50" s="2836"/>
      <c r="E50" s="2837">
        <v>1</v>
      </c>
      <c r="F50" s="2834" t="s">
        <v>2493</v>
      </c>
      <c r="G50" s="2834"/>
    </row>
    <row r="51" spans="1:7" ht="19.5" customHeight="1" thickBot="1">
      <c r="A51" s="3507"/>
      <c r="B51" s="3501"/>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7" t="s">
        <v>2647</v>
      </c>
      <c r="C73" s="2820" t="s">
        <v>2648</v>
      </c>
      <c r="D73" s="2820" t="s">
        <v>2649</v>
      </c>
      <c r="E73" s="2846">
        <v>0.2</v>
      </c>
      <c r="F73" s="2846">
        <v>25</v>
      </c>
    </row>
    <row r="74" spans="1:7" ht="24">
      <c r="A74" s="2846">
        <v>2</v>
      </c>
      <c r="B74" s="3499"/>
      <c r="C74" s="2820" t="s">
        <v>2650</v>
      </c>
      <c r="D74" s="2820" t="s">
        <v>2651</v>
      </c>
      <c r="E74" s="2846">
        <v>0.2</v>
      </c>
      <c r="F74" s="2846">
        <v>25</v>
      </c>
    </row>
    <row r="75" spans="1:7" ht="24">
      <c r="A75" s="2846">
        <v>3</v>
      </c>
      <c r="B75" s="3499"/>
      <c r="C75" s="2820" t="s">
        <v>2652</v>
      </c>
      <c r="D75" s="2820" t="s">
        <v>2653</v>
      </c>
      <c r="E75" s="2846">
        <v>0.2</v>
      </c>
      <c r="F75" s="2846">
        <v>25</v>
      </c>
    </row>
    <row r="76" spans="1:7" ht="13.5">
      <c r="A76" s="2846">
        <v>4</v>
      </c>
      <c r="B76" s="3499"/>
      <c r="C76" s="2820" t="s">
        <v>2654</v>
      </c>
      <c r="D76" s="2820" t="s">
        <v>2655</v>
      </c>
      <c r="E76" s="2846">
        <v>0.15</v>
      </c>
      <c r="F76" s="2846">
        <v>20</v>
      </c>
    </row>
    <row r="77" spans="1:7" ht="24">
      <c r="A77" s="2846">
        <v>5</v>
      </c>
      <c r="B77" s="3499"/>
      <c r="C77" s="2820" t="s">
        <v>2656</v>
      </c>
      <c r="D77" s="2820" t="s">
        <v>2657</v>
      </c>
      <c r="E77" s="2846">
        <v>0.15</v>
      </c>
      <c r="F77" s="2846">
        <v>20</v>
      </c>
    </row>
    <row r="78" spans="1:7" ht="24">
      <c r="A78" s="2846">
        <v>6</v>
      </c>
      <c r="B78" s="3499"/>
      <c r="C78" s="2820" t="s">
        <v>2658</v>
      </c>
      <c r="D78" s="2820" t="s">
        <v>2659</v>
      </c>
      <c r="E78" s="2846">
        <v>0.15</v>
      </c>
      <c r="F78" s="2846">
        <v>20</v>
      </c>
    </row>
    <row r="79" spans="1:7" ht="24">
      <c r="A79" s="2846">
        <v>7</v>
      </c>
      <c r="B79" s="3499"/>
      <c r="C79" s="2820" t="s">
        <v>2660</v>
      </c>
      <c r="D79" s="2820" t="s">
        <v>2661</v>
      </c>
      <c r="E79" s="2846">
        <v>0.15</v>
      </c>
      <c r="F79" s="2846">
        <v>20</v>
      </c>
    </row>
    <row r="80" spans="1:7" ht="24">
      <c r="A80" s="2846">
        <v>8</v>
      </c>
      <c r="B80" s="3499"/>
      <c r="C80" s="2820" t="s">
        <v>2662</v>
      </c>
      <c r="D80" s="2820" t="s">
        <v>2663</v>
      </c>
      <c r="E80" s="2846">
        <v>0.1</v>
      </c>
      <c r="F80" s="2846">
        <v>15</v>
      </c>
    </row>
    <row r="81" spans="1:6" ht="24">
      <c r="A81" s="2846">
        <v>9</v>
      </c>
      <c r="B81" s="3499"/>
      <c r="C81" s="2820" t="s">
        <v>2664</v>
      </c>
      <c r="D81" s="2820" t="s">
        <v>2665</v>
      </c>
      <c r="E81" s="2846">
        <v>0.1</v>
      </c>
      <c r="F81" s="2846">
        <v>15</v>
      </c>
    </row>
    <row r="82" spans="1:6" ht="24">
      <c r="A82" s="2846">
        <v>10</v>
      </c>
      <c r="B82" s="3499"/>
      <c r="C82" s="2820" t="s">
        <v>2666</v>
      </c>
      <c r="D82" s="2820" t="s">
        <v>2667</v>
      </c>
      <c r="E82" s="2846">
        <v>0.1</v>
      </c>
      <c r="F82" s="2846">
        <v>15</v>
      </c>
    </row>
    <row r="83" spans="1:6" ht="24">
      <c r="A83" s="2846">
        <v>11</v>
      </c>
      <c r="B83" s="3499"/>
      <c r="C83" s="2820" t="s">
        <v>2668</v>
      </c>
      <c r="D83" s="2820" t="s">
        <v>2669</v>
      </c>
      <c r="E83" s="2846">
        <v>0.1</v>
      </c>
      <c r="F83" s="2846">
        <v>15</v>
      </c>
    </row>
    <row r="84" spans="1:6" ht="24">
      <c r="A84" s="2846">
        <v>12</v>
      </c>
      <c r="B84" s="3499"/>
      <c r="C84" s="2820" t="s">
        <v>2670</v>
      </c>
      <c r="D84" s="2820" t="s">
        <v>2671</v>
      </c>
      <c r="E84" s="2846">
        <v>0.1</v>
      </c>
      <c r="F84" s="2846">
        <v>15</v>
      </c>
    </row>
    <row r="85" spans="1:6" ht="13.5">
      <c r="A85" s="2846">
        <v>13</v>
      </c>
      <c r="B85" s="3499"/>
      <c r="C85" s="2820" t="s">
        <v>2672</v>
      </c>
      <c r="D85" s="2820" t="s">
        <v>2673</v>
      </c>
      <c r="E85" s="2846">
        <v>0.1</v>
      </c>
      <c r="F85" s="2846">
        <v>15</v>
      </c>
    </row>
    <row r="86" spans="1:6" ht="13.5">
      <c r="A86" s="2846">
        <v>14</v>
      </c>
      <c r="B86" s="3499"/>
      <c r="C86" s="2820" t="s">
        <v>2674</v>
      </c>
      <c r="D86" s="2820" t="s">
        <v>2675</v>
      </c>
      <c r="E86" s="2846">
        <v>0.1</v>
      </c>
      <c r="F86" s="2846">
        <v>15</v>
      </c>
    </row>
    <row r="87" spans="1:6" ht="13.5">
      <c r="A87" s="2846">
        <v>15</v>
      </c>
      <c r="B87" s="3499"/>
      <c r="C87" s="2820" t="s">
        <v>2676</v>
      </c>
      <c r="D87" s="2820" t="s">
        <v>2677</v>
      </c>
      <c r="E87" s="2846">
        <v>0.1</v>
      </c>
      <c r="F87" s="2846">
        <v>15</v>
      </c>
    </row>
    <row r="88" spans="1:6" ht="24">
      <c r="A88" s="2846">
        <v>16</v>
      </c>
      <c r="B88" s="3499"/>
      <c r="C88" s="2820" t="s">
        <v>2678</v>
      </c>
      <c r="D88" s="2820" t="s">
        <v>2679</v>
      </c>
      <c r="E88" s="2846">
        <v>0.1</v>
      </c>
      <c r="F88" s="2846">
        <v>15</v>
      </c>
    </row>
    <row r="89" spans="1:6" ht="24">
      <c r="A89" s="2846">
        <v>17</v>
      </c>
      <c r="B89" s="3498"/>
      <c r="C89" s="2820" t="s">
        <v>2680</v>
      </c>
      <c r="D89" s="2820" t="s">
        <v>2681</v>
      </c>
      <c r="E89" s="2846">
        <v>0.1</v>
      </c>
      <c r="F89" s="2846">
        <v>15</v>
      </c>
    </row>
    <row r="90" spans="1:6" ht="13.5">
      <c r="A90" s="2846">
        <v>18</v>
      </c>
      <c r="B90" s="3497" t="s">
        <v>2682</v>
      </c>
      <c r="C90" s="2820" t="s">
        <v>2683</v>
      </c>
      <c r="D90" s="2820" t="s">
        <v>2684</v>
      </c>
      <c r="E90" s="2846">
        <v>0.2</v>
      </c>
      <c r="F90" s="2846">
        <v>25</v>
      </c>
    </row>
    <row r="91" spans="1:6" ht="24">
      <c r="A91" s="2846">
        <v>19</v>
      </c>
      <c r="B91" s="3499"/>
      <c r="C91" s="2820" t="s">
        <v>2685</v>
      </c>
      <c r="D91" s="2820" t="s">
        <v>2686</v>
      </c>
      <c r="E91" s="2846">
        <v>0.2</v>
      </c>
      <c r="F91" s="2846">
        <v>25</v>
      </c>
    </row>
    <row r="92" spans="1:6" ht="13.5">
      <c r="A92" s="2846">
        <v>20</v>
      </c>
      <c r="B92" s="3499"/>
      <c r="C92" s="2820" t="s">
        <v>2687</v>
      </c>
      <c r="D92" s="2820" t="s">
        <v>2688</v>
      </c>
      <c r="E92" s="2846">
        <v>0.15</v>
      </c>
      <c r="F92" s="2846">
        <v>20</v>
      </c>
    </row>
    <row r="93" spans="1:6" ht="13.5">
      <c r="A93" s="2846">
        <v>21</v>
      </c>
      <c r="B93" s="3499"/>
      <c r="C93" s="2820" t="s">
        <v>2689</v>
      </c>
      <c r="D93" s="2820" t="s">
        <v>2690</v>
      </c>
      <c r="E93" s="2846">
        <v>0.15</v>
      </c>
      <c r="F93" s="2846">
        <v>20</v>
      </c>
    </row>
    <row r="94" spans="1:6" ht="13.5">
      <c r="A94" s="2846">
        <v>22</v>
      </c>
      <c r="B94" s="3499"/>
      <c r="C94" s="2820" t="s">
        <v>2691</v>
      </c>
      <c r="D94" s="2820" t="s">
        <v>2692</v>
      </c>
      <c r="E94" s="2846">
        <v>0.15</v>
      </c>
      <c r="F94" s="2846">
        <v>20</v>
      </c>
    </row>
    <row r="95" spans="1:6" ht="36">
      <c r="A95" s="2846">
        <v>23</v>
      </c>
      <c r="B95" s="3499"/>
      <c r="C95" s="2820" t="s">
        <v>2693</v>
      </c>
      <c r="D95" s="2820" t="s">
        <v>2694</v>
      </c>
      <c r="E95" s="2846">
        <v>0.15</v>
      </c>
      <c r="F95" s="2846">
        <v>20</v>
      </c>
    </row>
    <row r="96" spans="1:6" ht="13.5">
      <c r="A96" s="2846">
        <v>24</v>
      </c>
      <c r="B96" s="3499"/>
      <c r="C96" s="2820" t="s">
        <v>2695</v>
      </c>
      <c r="D96" s="2820" t="s">
        <v>2696</v>
      </c>
      <c r="E96" s="2846">
        <v>0.1</v>
      </c>
      <c r="F96" s="2846">
        <v>15</v>
      </c>
    </row>
    <row r="97" spans="1:6" ht="13.5">
      <c r="A97" s="2846">
        <v>25</v>
      </c>
      <c r="B97" s="3499"/>
      <c r="C97" s="2820" t="s">
        <v>2697</v>
      </c>
      <c r="D97" s="2820" t="s">
        <v>2698</v>
      </c>
      <c r="E97" s="2846">
        <v>0.1</v>
      </c>
      <c r="F97" s="2846">
        <v>15</v>
      </c>
    </row>
    <row r="98" spans="1:6" ht="24">
      <c r="A98" s="2846">
        <v>26</v>
      </c>
      <c r="B98" s="3499"/>
      <c r="C98" s="2820" t="s">
        <v>2699</v>
      </c>
      <c r="D98" s="2820" t="s">
        <v>2700</v>
      </c>
      <c r="E98" s="2846">
        <v>0.1</v>
      </c>
      <c r="F98" s="2846">
        <v>15</v>
      </c>
    </row>
    <row r="99" spans="1:6" ht="24">
      <c r="A99" s="2846">
        <v>27</v>
      </c>
      <c r="B99" s="3499"/>
      <c r="C99" s="2820" t="s">
        <v>2701</v>
      </c>
      <c r="D99" s="2820" t="s">
        <v>2702</v>
      </c>
      <c r="E99" s="2846">
        <v>0.1</v>
      </c>
      <c r="F99" s="2846">
        <v>15</v>
      </c>
    </row>
    <row r="100" spans="1:6" ht="13.5">
      <c r="A100" s="2846">
        <v>28</v>
      </c>
      <c r="B100" s="3499"/>
      <c r="C100" s="2820" t="s">
        <v>2703</v>
      </c>
      <c r="D100" s="2820" t="s">
        <v>2704</v>
      </c>
      <c r="E100" s="2846">
        <v>0.1</v>
      </c>
      <c r="F100" s="2846">
        <v>15</v>
      </c>
    </row>
    <row r="101" spans="1:6" ht="13.5">
      <c r="A101" s="2846">
        <v>29</v>
      </c>
      <c r="B101" s="3499"/>
      <c r="C101" s="2820" t="s">
        <v>2705</v>
      </c>
      <c r="D101" s="2820" t="s">
        <v>2706</v>
      </c>
      <c r="E101" s="2846">
        <v>0.1</v>
      </c>
      <c r="F101" s="2846">
        <v>15</v>
      </c>
    </row>
    <row r="102" spans="1:6" ht="13.5">
      <c r="A102" s="2846">
        <v>30</v>
      </c>
      <c r="B102" s="3499"/>
      <c r="C102" s="2820" t="s">
        <v>2707</v>
      </c>
      <c r="D102" s="2820" t="s">
        <v>2708</v>
      </c>
      <c r="E102" s="2846">
        <v>0.1</v>
      </c>
      <c r="F102" s="2846">
        <v>15</v>
      </c>
    </row>
    <row r="103" spans="1:6" ht="24">
      <c r="A103" s="2846">
        <v>31</v>
      </c>
      <c r="B103" s="3499"/>
      <c r="C103" s="2820" t="s">
        <v>2709</v>
      </c>
      <c r="D103" s="2820" t="s">
        <v>2710</v>
      </c>
      <c r="E103" s="2846">
        <v>0.1</v>
      </c>
      <c r="F103" s="2846">
        <v>15</v>
      </c>
    </row>
    <row r="104" spans="1:6" ht="24">
      <c r="A104" s="2846">
        <v>32</v>
      </c>
      <c r="B104" s="3499"/>
      <c r="C104" s="2820" t="s">
        <v>2711</v>
      </c>
      <c r="D104" s="2820" t="s">
        <v>2712</v>
      </c>
      <c r="E104" s="2846">
        <v>0.1</v>
      </c>
      <c r="F104" s="2846">
        <v>15</v>
      </c>
    </row>
    <row r="105" spans="1:6" ht="24">
      <c r="A105" s="2846">
        <v>33</v>
      </c>
      <c r="B105" s="3499"/>
      <c r="C105" s="2820" t="s">
        <v>2713</v>
      </c>
      <c r="D105" s="2820" t="s">
        <v>2714</v>
      </c>
      <c r="E105" s="2846">
        <v>0.1</v>
      </c>
      <c r="F105" s="2846">
        <v>15</v>
      </c>
    </row>
    <row r="106" spans="1:6" ht="24">
      <c r="A106" s="2846">
        <v>34</v>
      </c>
      <c r="B106" s="3498"/>
      <c r="C106" s="2820" t="s">
        <v>2715</v>
      </c>
      <c r="D106" s="2820" t="s">
        <v>2716</v>
      </c>
      <c r="E106" s="2846">
        <v>0.1</v>
      </c>
      <c r="F106" s="2846">
        <v>15</v>
      </c>
    </row>
    <row r="107" spans="1:6" ht="24">
      <c r="A107" s="2846">
        <v>35</v>
      </c>
      <c r="B107" s="3497" t="s">
        <v>2717</v>
      </c>
      <c r="C107" s="2846" t="s">
        <v>2718</v>
      </c>
      <c r="D107" s="2820" t="s">
        <v>2719</v>
      </c>
      <c r="E107" s="2846">
        <v>0.15</v>
      </c>
      <c r="F107" s="2846">
        <v>20</v>
      </c>
    </row>
    <row r="108" spans="1:6" ht="13.5">
      <c r="A108" s="2846">
        <v>36</v>
      </c>
      <c r="B108" s="3499"/>
      <c r="C108" s="2846" t="s">
        <v>2720</v>
      </c>
      <c r="D108" s="2820" t="s">
        <v>2721</v>
      </c>
      <c r="E108" s="2846">
        <v>0.15</v>
      </c>
      <c r="F108" s="2846">
        <v>20</v>
      </c>
    </row>
    <row r="109" spans="1:6" ht="13.5">
      <c r="A109" s="2846">
        <v>37</v>
      </c>
      <c r="B109" s="3499"/>
      <c r="C109" s="2846" t="s">
        <v>2722</v>
      </c>
      <c r="D109" s="2820" t="s">
        <v>2723</v>
      </c>
      <c r="E109" s="2846">
        <v>0.15</v>
      </c>
      <c r="F109" s="2846">
        <v>20</v>
      </c>
    </row>
    <row r="110" spans="1:6" ht="13.5">
      <c r="A110" s="2846">
        <v>38</v>
      </c>
      <c r="B110" s="3499"/>
      <c r="C110" s="2846" t="s">
        <v>2724</v>
      </c>
      <c r="D110" s="2820" t="s">
        <v>2725</v>
      </c>
      <c r="E110" s="2846">
        <v>0.1</v>
      </c>
      <c r="F110" s="2846">
        <v>15</v>
      </c>
    </row>
    <row r="111" spans="1:6" ht="24">
      <c r="A111" s="2846">
        <v>39</v>
      </c>
      <c r="B111" s="3499"/>
      <c r="C111" s="2846" t="s">
        <v>2726</v>
      </c>
      <c r="D111" s="2820" t="s">
        <v>2727</v>
      </c>
      <c r="E111" s="2846">
        <v>0.1</v>
      </c>
      <c r="F111" s="2846">
        <v>15</v>
      </c>
    </row>
    <row r="112" spans="1:6" ht="24">
      <c r="A112" s="2846">
        <v>40</v>
      </c>
      <c r="B112" s="3498"/>
      <c r="C112" s="2846" t="s">
        <v>2728</v>
      </c>
      <c r="D112" s="2820" t="s">
        <v>2729</v>
      </c>
      <c r="E112" s="2846">
        <v>0.1</v>
      </c>
      <c r="F112" s="2846">
        <v>15</v>
      </c>
    </row>
    <row r="113" spans="1:6" ht="13.5">
      <c r="A113" s="2846">
        <v>41</v>
      </c>
      <c r="B113" s="3496" t="s">
        <v>2730</v>
      </c>
      <c r="C113" s="2846" t="s">
        <v>2731</v>
      </c>
      <c r="D113" s="2820" t="s">
        <v>2732</v>
      </c>
      <c r="E113" s="2846">
        <v>0.1</v>
      </c>
      <c r="F113" s="2846">
        <v>15</v>
      </c>
    </row>
    <row r="114" spans="1:6" ht="13.5">
      <c r="A114" s="2846">
        <v>42</v>
      </c>
      <c r="B114" s="3496"/>
      <c r="C114" s="2846" t="s">
        <v>2733</v>
      </c>
      <c r="D114" s="2820" t="s">
        <v>2734</v>
      </c>
      <c r="E114" s="2846">
        <v>0.1</v>
      </c>
      <c r="F114" s="2846">
        <v>15</v>
      </c>
    </row>
    <row r="115" spans="1:6" ht="24">
      <c r="A115" s="2846">
        <v>43</v>
      </c>
      <c r="B115" s="3496"/>
      <c r="C115" s="2846" t="s">
        <v>2735</v>
      </c>
      <c r="D115" s="2820" t="s">
        <v>2736</v>
      </c>
      <c r="E115" s="2846">
        <v>0.1</v>
      </c>
      <c r="F115" s="2846">
        <v>15</v>
      </c>
    </row>
    <row r="116" spans="1:6" ht="13.5">
      <c r="A116" s="2846">
        <v>44</v>
      </c>
      <c r="B116" s="3497" t="s">
        <v>2737</v>
      </c>
      <c r="C116" s="2846" t="s">
        <v>2738</v>
      </c>
      <c r="D116" s="2820" t="s">
        <v>2739</v>
      </c>
      <c r="E116" s="2846">
        <v>0.1</v>
      </c>
      <c r="F116" s="2846">
        <v>15</v>
      </c>
    </row>
    <row r="117" spans="1:6" ht="24">
      <c r="A117" s="2846">
        <v>45</v>
      </c>
      <c r="B117" s="3498"/>
      <c r="C117" s="2820" t="s">
        <v>2740</v>
      </c>
      <c r="D117" s="2820" t="s">
        <v>2741</v>
      </c>
      <c r="E117" s="2846">
        <v>0.1</v>
      </c>
      <c r="F117" s="2846">
        <v>15</v>
      </c>
    </row>
    <row r="118" spans="1:6" ht="24">
      <c r="A118" s="2846">
        <v>46</v>
      </c>
      <c r="B118" s="3497" t="s">
        <v>2742</v>
      </c>
      <c r="C118" s="2846" t="s">
        <v>2743</v>
      </c>
      <c r="D118" s="2820" t="s">
        <v>2744</v>
      </c>
      <c r="E118" s="2846">
        <v>0.1</v>
      </c>
      <c r="F118" s="2846">
        <v>15</v>
      </c>
    </row>
    <row r="119" spans="1:6" ht="24">
      <c r="A119" s="2846">
        <v>47</v>
      </c>
      <c r="B119" s="3498"/>
      <c r="C119" s="2846" t="s">
        <v>2745</v>
      </c>
      <c r="D119" s="2820" t="s">
        <v>2746</v>
      </c>
      <c r="E119" s="2846">
        <v>0.1</v>
      </c>
      <c r="F119" s="2846">
        <v>15</v>
      </c>
    </row>
    <row r="120" spans="1:6" ht="13.5">
      <c r="A120" s="2846">
        <v>48</v>
      </c>
      <c r="B120" s="3497" t="s">
        <v>2747</v>
      </c>
      <c r="C120" s="2846" t="s">
        <v>2748</v>
      </c>
      <c r="D120" s="2820" t="s">
        <v>2749</v>
      </c>
      <c r="E120" s="2846">
        <v>0.1</v>
      </c>
      <c r="F120" s="2846">
        <v>15</v>
      </c>
    </row>
    <row r="121" spans="1:6" ht="13.5">
      <c r="A121" s="2846">
        <v>49</v>
      </c>
      <c r="B121" s="3498"/>
      <c r="C121" s="2846" t="s">
        <v>2750</v>
      </c>
      <c r="D121" s="2820" t="s">
        <v>2751</v>
      </c>
      <c r="E121" s="2846">
        <v>0.1</v>
      </c>
      <c r="F121" s="2846">
        <v>15</v>
      </c>
    </row>
    <row r="122" spans="1:6" ht="24">
      <c r="A122" s="2846">
        <v>50</v>
      </c>
      <c r="B122" s="3496" t="s">
        <v>2752</v>
      </c>
      <c r="C122" s="2846" t="s">
        <v>2753</v>
      </c>
      <c r="D122" s="2820" t="s">
        <v>2754</v>
      </c>
      <c r="E122" s="2846">
        <v>0.1</v>
      </c>
      <c r="F122" s="2846">
        <v>15</v>
      </c>
    </row>
    <row r="123" spans="1:6" ht="24">
      <c r="A123" s="2846">
        <v>51</v>
      </c>
      <c r="B123" s="3496"/>
      <c r="C123" s="2846" t="s">
        <v>2755</v>
      </c>
      <c r="D123" s="2820" t="s">
        <v>2756</v>
      </c>
      <c r="E123" s="2846">
        <v>0.1</v>
      </c>
      <c r="F123" s="2846">
        <v>15</v>
      </c>
    </row>
    <row r="124" spans="1:6" ht="24">
      <c r="A124" s="2846">
        <v>52</v>
      </c>
      <c r="B124" s="3496" t="s">
        <v>2757</v>
      </c>
      <c r="C124" s="2846" t="s">
        <v>2758</v>
      </c>
      <c r="D124" s="2820" t="s">
        <v>2759</v>
      </c>
      <c r="E124" s="2846">
        <v>0.1</v>
      </c>
      <c r="F124" s="2846">
        <v>15</v>
      </c>
    </row>
    <row r="125" spans="1:6" ht="24">
      <c r="A125" s="2846">
        <v>53</v>
      </c>
      <c r="B125" s="3496"/>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496" t="s">
        <v>2765</v>
      </c>
      <c r="C127" s="2846" t="s">
        <v>2766</v>
      </c>
      <c r="D127" s="2820" t="s">
        <v>2767</v>
      </c>
      <c r="E127" s="2846">
        <v>0.1</v>
      </c>
      <c r="F127" s="2846">
        <v>15</v>
      </c>
    </row>
    <row r="128" spans="1:6" ht="13.5">
      <c r="A128" s="2846">
        <v>56</v>
      </c>
      <c r="B128" s="3496"/>
      <c r="C128" s="2846" t="s">
        <v>2768</v>
      </c>
      <c r="D128" s="2820" t="s">
        <v>2769</v>
      </c>
      <c r="E128" s="2846">
        <v>0.1</v>
      </c>
      <c r="F128" s="2846">
        <v>15</v>
      </c>
    </row>
    <row r="129" spans="1:6" ht="24">
      <c r="A129" s="2846">
        <v>57</v>
      </c>
      <c r="B129" s="3496"/>
      <c r="C129" s="2846" t="s">
        <v>2770</v>
      </c>
      <c r="D129" s="2820" t="s">
        <v>2771</v>
      </c>
      <c r="E129" s="2846">
        <v>0.1</v>
      </c>
      <c r="F129" s="2846">
        <v>15</v>
      </c>
    </row>
    <row r="130" spans="1:6" ht="24">
      <c r="A130" s="2846">
        <v>58</v>
      </c>
      <c r="B130" s="3496" t="s">
        <v>2772</v>
      </c>
      <c r="C130" s="2846" t="s">
        <v>2773</v>
      </c>
      <c r="D130" s="2820" t="s">
        <v>2774</v>
      </c>
      <c r="E130" s="2846">
        <v>0.1</v>
      </c>
      <c r="F130" s="2846">
        <v>15</v>
      </c>
    </row>
    <row r="131" spans="1:6" ht="13.5">
      <c r="A131" s="2846">
        <v>59</v>
      </c>
      <c r="B131" s="3496"/>
      <c r="C131" s="2846" t="s">
        <v>2775</v>
      </c>
      <c r="D131" s="2820" t="s">
        <v>2776</v>
      </c>
      <c r="E131" s="2846">
        <v>0.1</v>
      </c>
      <c r="F131" s="2846">
        <v>15</v>
      </c>
    </row>
    <row r="132" spans="1:6" ht="13.5">
      <c r="A132" s="2846">
        <v>60</v>
      </c>
      <c r="B132" s="3497" t="s">
        <v>2777</v>
      </c>
      <c r="C132" s="2846" t="s">
        <v>2778</v>
      </c>
      <c r="D132" s="2820" t="s">
        <v>2779</v>
      </c>
      <c r="E132" s="2846">
        <v>0.1</v>
      </c>
      <c r="F132" s="2846">
        <v>15</v>
      </c>
    </row>
    <row r="133" spans="1:6" ht="13.5">
      <c r="A133" s="2846">
        <v>61</v>
      </c>
      <c r="B133" s="3498"/>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496" t="s">
        <v>2785</v>
      </c>
      <c r="C135" s="2846" t="s">
        <v>2786</v>
      </c>
      <c r="D135" s="2820" t="s">
        <v>2787</v>
      </c>
      <c r="E135" s="2846">
        <v>0.1</v>
      </c>
      <c r="F135" s="2846">
        <v>15</v>
      </c>
    </row>
    <row r="136" spans="1:6" ht="13.5">
      <c r="A136" s="2846">
        <v>64</v>
      </c>
      <c r="B136" s="3496"/>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t="e">
        <f>SUMPRODUCT((A95:A184=ROUNDDOWN(基准地价修正!G3,1))*(B94:M94=基准地价修正!G2)*(B95:M184))</f>
        <v>#DIV/0!</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t="e">
        <f>SUMPRODUCT((A371:A460=ROUNDDOWN(基准地价修正!G3,1))*(B370:M370=基准地价修正!G2)*(B371:M460))</f>
        <v>#DIV/0!</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27896</v>
      </c>
      <c r="C2" s="2" t="s">
        <v>106</v>
      </c>
      <c r="D2" s="190"/>
      <c r="E2" s="190"/>
      <c r="F2" s="190"/>
      <c r="G2" s="190"/>
    </row>
    <row r="3" spans="1:7" s="191" customFormat="1" ht="18" customHeight="1" thickBot="1">
      <c r="A3" s="194" t="s">
        <v>58</v>
      </c>
      <c r="B3" s="195">
        <f ca="1">ROUND(B2*10000/'数据-汇总表'!E3,0)</f>
        <v>1178737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236.66</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5</v>
      </c>
      <c r="D19" s="203">
        <f>'数据-汇总表'!E3</f>
        <v>236.66</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1461</v>
      </c>
      <c r="D22" s="226">
        <f ca="1">C26</f>
        <v>6.9999999999999999E-4</v>
      </c>
      <c r="E22" s="227" t="s">
        <v>99</v>
      </c>
      <c r="F22" s="228">
        <f ca="1">'数据-取费表'!B40</f>
        <v>3.4500000000000003E-2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1447</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40">
        <f ca="1">ROUND(IF('数据-取费表'!B22&lt;=1,C20*F22*'数据-取费表'!B23/2,C20*(POWER((1+F22),'数据-取费表'!B23/2)-1)),0)</f>
        <v>14</v>
      </c>
      <c r="D25" s="229"/>
      <c r="E25" s="232"/>
      <c r="F25" s="230"/>
      <c r="G25" s="233" t="s">
        <v>83</v>
      </c>
    </row>
    <row r="26" spans="1:7" s="205" customFormat="1">
      <c r="A26" s="732" t="s">
        <v>350</v>
      </c>
      <c r="B26" s="206" t="s">
        <v>422</v>
      </c>
      <c r="C26" s="229">
        <f ca="1">ROUND(IF('数据-取费表'!B22&lt;=1,F21*F22*'数据-取费表'!B23/2,F21*(POWER((1+F22),'数据-取费表'!B23/2)-1)),4)</f>
        <v>6.9999999999999999E-4</v>
      </c>
      <c r="D26" s="229"/>
      <c r="E26" s="232"/>
      <c r="F26" s="230"/>
      <c r="G26" s="234"/>
    </row>
    <row r="27" spans="1:7" s="205" customFormat="1" ht="24.75">
      <c r="A27" s="729" t="s">
        <v>342</v>
      </c>
      <c r="B27" s="235" t="s">
        <v>85</v>
      </c>
      <c r="C27" s="236">
        <f>C28</f>
        <v>3154</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3154</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27782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116</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106</v>
      </c>
      <c r="D34" s="208"/>
      <c r="E34" s="211"/>
      <c r="F34" s="248">
        <f>IF('数据-取费表'!B24=0,1,'数据-取费表'!N16)</f>
        <v>1</v>
      </c>
      <c r="G34" s="210" t="s">
        <v>89</v>
      </c>
    </row>
    <row r="35" spans="1:7" ht="13.5" customHeight="1">
      <c r="A35" s="732" t="s">
        <v>351</v>
      </c>
      <c r="B35" s="206" t="s">
        <v>33</v>
      </c>
      <c r="C35" s="211">
        <f>ROUND(C34*F35,0)</f>
        <v>3</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5</v>
      </c>
      <c r="D37" s="208">
        <f>'数据-汇总表'!E3</f>
        <v>236.66</v>
      </c>
      <c r="E37" s="240">
        <f>'数据-取费表'!B35</f>
        <v>200</v>
      </c>
      <c r="F37" s="250"/>
      <c r="G37" s="252" t="s">
        <v>92</v>
      </c>
    </row>
    <row r="38" spans="1:7" ht="13.5" customHeight="1">
      <c r="A38" s="732" t="s">
        <v>354</v>
      </c>
      <c r="B38" s="206" t="s">
        <v>36</v>
      </c>
      <c r="C38" s="211">
        <f>ROUND(C34*F38,0)</f>
        <v>2</v>
      </c>
      <c r="D38" s="211"/>
      <c r="E38" s="211"/>
      <c r="F38" s="250">
        <f>'数据-取费表'!B36</f>
        <v>1.4999999999999999E-2</v>
      </c>
      <c r="G38" s="210" t="s">
        <v>90</v>
      </c>
    </row>
    <row r="39" spans="1:7" s="205" customFormat="1" ht="13.5" customHeight="1">
      <c r="A39" s="729" t="s">
        <v>338</v>
      </c>
      <c r="B39" s="201" t="s">
        <v>77</v>
      </c>
      <c r="C39" s="223">
        <f>ROUND(C33*F20,0)</f>
        <v>2</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4</v>
      </c>
      <c r="D41" s="226">
        <f ca="1">C44</f>
        <v>6.9999999999999999E-4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4</v>
      </c>
      <c r="D42" s="229"/>
      <c r="E42" s="229"/>
      <c r="F42" s="230"/>
      <c r="G42" s="3371" t="s">
        <v>94</v>
      </c>
    </row>
    <row r="43" spans="1:7" ht="13.5" customHeight="1">
      <c r="A43" s="732" t="s">
        <v>347</v>
      </c>
      <c r="B43" s="206" t="s">
        <v>426</v>
      </c>
      <c r="C43" s="229">
        <f ca="1">ROUND(IF('数据-取费表'!B22&lt;=1,C39*F22*'数据-取费表'!B21/2,C39*(POWER((1+F22),'数据-取费表'!B21/2)-1)),0)</f>
        <v>0</v>
      </c>
      <c r="D43" s="229"/>
      <c r="E43" s="229"/>
      <c r="F43" s="230"/>
      <c r="G43" s="3372"/>
    </row>
    <row r="44" spans="1:7" ht="13.5" customHeight="1">
      <c r="A44" s="732" t="s">
        <v>348</v>
      </c>
      <c r="B44" s="206" t="s">
        <v>428</v>
      </c>
      <c r="C44" s="229">
        <f ca="1">ROUND(IF('数据-取费表'!B22&lt;=1,C40*F22*'数据-取费表'!B21/2,C40*(POWER((1+F22),'数据-取费表'!B21/2)-1)),4)</f>
        <v>6.9999999999999999E-4</v>
      </c>
      <c r="D44" s="229"/>
      <c r="E44" s="229"/>
      <c r="F44" s="230"/>
      <c r="G44" s="3373"/>
    </row>
    <row r="45" spans="1:7" s="205" customFormat="1" ht="13.5" customHeight="1">
      <c r="A45" s="729" t="s">
        <v>341</v>
      </c>
      <c r="B45" s="235" t="s">
        <v>85</v>
      </c>
      <c r="C45" s="236">
        <f>C46</f>
        <v>18</v>
      </c>
      <c r="D45" s="226">
        <f>C47</f>
        <v>3.0000000000000001E-3</v>
      </c>
      <c r="E45" s="227" t="s">
        <v>102</v>
      </c>
      <c r="F45" s="237"/>
      <c r="G45" s="238" t="s">
        <v>434</v>
      </c>
    </row>
    <row r="46" spans="1:7" s="205" customFormat="1" ht="13.5" customHeight="1">
      <c r="A46" s="732" t="s">
        <v>349</v>
      </c>
      <c r="B46" s="239" t="s">
        <v>427</v>
      </c>
      <c r="C46" s="240">
        <f>ROUND((C33+C39)*F27,0)</f>
        <v>18</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152</v>
      </c>
      <c r="D49" s="223"/>
      <c r="E49" s="223"/>
      <c r="F49" s="255"/>
      <c r="G49" s="225" t="s">
        <v>435</v>
      </c>
    </row>
    <row r="50" spans="1:7" s="249" customFormat="1" ht="24">
      <c r="A50" s="729" t="s">
        <v>344</v>
      </c>
      <c r="B50" s="201" t="s">
        <v>97</v>
      </c>
      <c r="C50" s="223"/>
      <c r="D50" s="223"/>
      <c r="E50" s="223"/>
      <c r="F50" s="255">
        <f>IF('数据-取费表'!B24=0,'数据-取费表'!N16,1)</f>
        <v>0.75</v>
      </c>
      <c r="G50" s="238" t="s">
        <v>98</v>
      </c>
    </row>
    <row r="51" spans="1:7" ht="16.5" customHeight="1">
      <c r="A51" s="729" t="s">
        <v>345</v>
      </c>
      <c r="B51" s="201" t="s">
        <v>105</v>
      </c>
      <c r="C51" s="223">
        <f ca="1">ROUND(C49*F50,0)</f>
        <v>114</v>
      </c>
      <c r="D51" s="223"/>
      <c r="E51" s="223"/>
      <c r="F51" s="255"/>
      <c r="G51" s="225" t="s">
        <v>37</v>
      </c>
    </row>
    <row r="52" spans="1:7" s="199" customFormat="1" ht="16.5" thickBot="1">
      <c r="A52" s="256" t="s">
        <v>38</v>
      </c>
      <c r="B52" s="257"/>
      <c r="C52" s="258">
        <f ca="1">C31+C51</f>
        <v>27896</v>
      </c>
      <c r="D52" s="257"/>
      <c r="E52" s="257"/>
      <c r="F52" s="257"/>
      <c r="G52" s="259"/>
    </row>
    <row r="55" spans="1:7" ht="15">
      <c r="B55" s="261" t="s">
        <v>39</v>
      </c>
      <c r="C55" s="262"/>
    </row>
    <row r="56" spans="1:7">
      <c r="B56" s="264" t="s">
        <v>40</v>
      </c>
      <c r="C56" s="265">
        <f ca="1">ROUND(C51/C52,3)</f>
        <v>4.0000000000000001E-3</v>
      </c>
    </row>
    <row r="57" spans="1:7">
      <c r="B57" s="264" t="s">
        <v>41</v>
      </c>
      <c r="C57" s="266">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88"/>
      <c r="B4" s="3193" t="s">
        <v>917</v>
      </c>
      <c r="C4" s="3193"/>
      <c r="D4" s="3193"/>
      <c r="E4" s="1388"/>
    </row>
    <row r="5" spans="1:5" ht="16.5" thickTop="1">
      <c r="B5" s="3191" t="s">
        <v>909</v>
      </c>
      <c r="C5" s="1389" t="s">
        <v>910</v>
      </c>
      <c r="D5" s="795">
        <f ca="1">结果表!H101</f>
        <v>498</v>
      </c>
    </row>
    <row r="6" spans="1:5" ht="15.75">
      <c r="B6" s="3191"/>
      <c r="C6" s="1389" t="s">
        <v>911</v>
      </c>
      <c r="D6" s="795" t="str">
        <f ca="1">NUMBERSTRING(INT(D5*10000),2)&amp;"元整"</f>
        <v>肆佰玖拾捌万元整</v>
      </c>
    </row>
    <row r="7" spans="1:5" ht="15.75">
      <c r="B7" s="3196"/>
      <c r="C7" s="1390" t="s">
        <v>912</v>
      </c>
      <c r="D7" s="796">
        <f ca="1">结果表!H102</f>
        <v>21048</v>
      </c>
    </row>
    <row r="8" spans="1:5" ht="15.75">
      <c r="B8" s="3197" t="str">
        <f>结果表!E103</f>
        <v>2.估价师知悉的法定优先受偿款</v>
      </c>
      <c r="C8" s="1391" t="s">
        <v>913</v>
      </c>
      <c r="D8" s="796">
        <f>结果表!H103</f>
        <v>0</v>
      </c>
    </row>
    <row r="9" spans="1:5" ht="15.75">
      <c r="B9" s="3199"/>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0" t="str">
        <f>结果表!E107</f>
        <v>3.房地产抵押价值</v>
      </c>
      <c r="C13" s="1394" t="s">
        <v>910</v>
      </c>
      <c r="D13" s="798">
        <f ca="1">结果表!H107</f>
        <v>498</v>
      </c>
    </row>
    <row r="14" spans="1:5" ht="15.75">
      <c r="B14" s="3191"/>
      <c r="C14" s="1389" t="s">
        <v>911</v>
      </c>
      <c r="D14" s="795" t="str">
        <f ca="1">NUMBERSTRING(INT(D13*10000),2)&amp;"元整"</f>
        <v>肆佰玖拾捌万元整</v>
      </c>
    </row>
    <row r="15" spans="1:5" ht="15">
      <c r="B15" s="3196"/>
      <c r="C15" s="1390" t="s">
        <v>921</v>
      </c>
      <c r="D15" s="804">
        <f ca="1">结果表!H108</f>
        <v>21048</v>
      </c>
    </row>
    <row r="16" spans="1:5" ht="15">
      <c r="B16" s="3197" t="str">
        <f>结果表!E109</f>
        <v>——</v>
      </c>
      <c r="C16" s="1394" t="s">
        <v>922</v>
      </c>
      <c r="D16" s="1395" t="str">
        <f>结果表!H109</f>
        <v>——</v>
      </c>
    </row>
    <row r="17" spans="1:5" ht="15.75">
      <c r="B17" s="3198"/>
      <c r="C17" s="1389" t="s">
        <v>923</v>
      </c>
      <c r="D17" s="795" t="e">
        <f>NUMBERSTRING(INT(D16*10000),2)&amp;"元整"</f>
        <v>#VALUE!</v>
      </c>
    </row>
    <row r="18" spans="1:5" ht="15">
      <c r="B18" s="3199"/>
      <c r="C18" s="1390" t="s">
        <v>912</v>
      </c>
      <c r="D18" s="804" t="str">
        <f>结果表!H110</f>
        <v>——</v>
      </c>
    </row>
    <row r="19" spans="1:5" ht="15.75">
      <c r="B19" s="3190" t="str">
        <f>结果表!E111</f>
        <v>——</v>
      </c>
      <c r="C19" s="1394" t="s">
        <v>910</v>
      </c>
      <c r="D19" s="796" t="str">
        <f>结果表!H111</f>
        <v>——</v>
      </c>
    </row>
    <row r="20" spans="1:5" ht="15.75">
      <c r="B20" s="3191"/>
      <c r="C20" s="1389" t="s">
        <v>923</v>
      </c>
      <c r="D20" s="795" t="e">
        <f>NUMBERSTRING(INT(D19*10000),2)&amp;"元整"</f>
        <v>#VALUE!</v>
      </c>
    </row>
    <row r="21" spans="1:5" ht="15.75" thickBot="1">
      <c r="B21" s="3192"/>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10" t="s">
        <v>2835</v>
      </c>
      <c r="B1" s="3510"/>
      <c r="C1" s="3510"/>
      <c r="D1" s="3510"/>
      <c r="E1" s="3510"/>
      <c r="F1" s="3510"/>
      <c r="G1" s="3511"/>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8"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9"/>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2" t="s">
        <v>3177</v>
      </c>
      <c r="B1" s="3512"/>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3" t="s">
        <v>3228</v>
      </c>
      <c r="B1" s="3513"/>
      <c r="C1" s="3513"/>
      <c r="D1" s="3513"/>
      <c r="E1" s="3513"/>
      <c r="F1" s="3514"/>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45392</v>
      </c>
      <c r="B1" s="2918" t="s">
        <v>3364</v>
      </c>
      <c r="C1" s="2919"/>
      <c r="D1" s="2919"/>
      <c r="E1" s="2919"/>
      <c r="F1" s="2919"/>
      <c r="G1" s="2919"/>
      <c r="H1" s="2919"/>
      <c r="I1" s="2919"/>
      <c r="J1" s="2885"/>
      <c r="K1" s="2919" t="s">
        <v>454</v>
      </c>
      <c r="L1" s="2919"/>
      <c r="M1" s="2919"/>
      <c r="N1" s="2919"/>
      <c r="O1" s="2919"/>
      <c r="P1" s="2919"/>
      <c r="Q1" s="2885"/>
      <c r="R1" s="3515" t="s">
        <v>456</v>
      </c>
      <c r="S1" s="3516"/>
      <c r="T1" s="3516"/>
      <c r="U1" s="3516"/>
      <c r="V1" s="3516"/>
      <c r="W1" s="3516"/>
      <c r="X1" s="2885"/>
      <c r="Y1" s="3515" t="s">
        <v>457</v>
      </c>
      <c r="Z1" s="3516"/>
      <c r="AA1" s="3516"/>
      <c r="AB1" s="3516"/>
      <c r="AC1" s="3516"/>
      <c r="AD1" s="3516"/>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5" t="s">
        <v>2823</v>
      </c>
      <c r="S23" s="3516"/>
      <c r="T23" s="3516"/>
      <c r="U23" s="3516"/>
      <c r="V23" s="3516"/>
      <c r="W23" s="3516"/>
      <c r="X23" s="2885"/>
      <c r="Y23" s="3515" t="s">
        <v>2824</v>
      </c>
      <c r="Z23" s="3516"/>
      <c r="AA23" s="3516"/>
      <c r="AB23" s="3516"/>
      <c r="AC23" s="3516"/>
      <c r="AD23" s="3516"/>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8">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8"/>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8"/>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5"/>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1">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8"/>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8"/>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5"/>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1">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8"/>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8"/>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9"/>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7">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8"/>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8"/>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9"/>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7">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8"/>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8"/>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9"/>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2">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3"/>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3"/>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4"/>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7">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8"/>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8"/>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9"/>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7">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8">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8">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9">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7">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8">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8">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9">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7">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8">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8">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9">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7">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8">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8">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9">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7">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8">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8">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9">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7">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8">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8">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9">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7">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8">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8">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9">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7">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8">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8">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9">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7">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8">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8">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9">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7">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8">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8">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9">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45392</v>
      </c>
      <c r="D1" s="1214" t="s">
        <v>603</v>
      </c>
      <c r="E1" s="1209">
        <f>'数据-取费表'!B22</f>
        <v>2</v>
      </c>
      <c r="F1" s="1214" t="s">
        <v>604</v>
      </c>
      <c r="G1" s="1210">
        <f ca="1">INDIRECT("d"&amp;$K$1)/100</f>
        <v>3.4500000000000003E-2</v>
      </c>
      <c r="H1" s="1214" t="s">
        <v>634</v>
      </c>
      <c r="I1" s="1210">
        <f ca="1">F4/100</f>
        <v>1.4999999999999999E-2</v>
      </c>
      <c r="J1" s="1215">
        <f>IF(C1&gt;C13,0,MATCH(C1,C$13:C$111,-1))+IF(SUMIF(C13:C111,C1,D13:D111)=0,13,12)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3"/>
      <c r="B3" s="3203"/>
      <c r="C3" s="3203"/>
      <c r="D3" s="799" t="s">
        <v>925</v>
      </c>
      <c r="E3" s="799" t="s">
        <v>931</v>
      </c>
      <c r="F3" s="799" t="s">
        <v>925</v>
      </c>
      <c r="G3" s="799" t="s">
        <v>926</v>
      </c>
      <c r="H3" s="799" t="s">
        <v>925</v>
      </c>
      <c r="I3" s="799" t="s">
        <v>926</v>
      </c>
    </row>
    <row r="4" spans="1:9" ht="15">
      <c r="A4" s="1400" t="str">
        <f>项目基本情况!S2</f>
        <v>北京市房地产</v>
      </c>
      <c r="B4" s="799">
        <f>项目基本情况!C17</f>
        <v>236.66</v>
      </c>
      <c r="C4" s="799">
        <f>项目基本情况!C18</f>
        <v>0</v>
      </c>
      <c r="D4" s="799">
        <f ca="1">结果表!D118</f>
        <v>298</v>
      </c>
      <c r="E4" s="799">
        <f ca="1">结果表!E118</f>
        <v>12587</v>
      </c>
      <c r="F4" s="799">
        <f ca="1">结果表!F118</f>
        <v>200</v>
      </c>
      <c r="G4" s="799">
        <f ca="1">结果表!G118</f>
        <v>8461</v>
      </c>
      <c r="H4" s="799">
        <f ca="1">结果表!H118</f>
        <v>498</v>
      </c>
      <c r="I4" s="799">
        <f ca="1">结果表!I118</f>
        <v>21048</v>
      </c>
    </row>
    <row r="5" spans="1:9" ht="30" customHeight="1">
      <c r="A5" s="3203" t="s">
        <v>927</v>
      </c>
      <c r="B5" s="3203"/>
      <c r="C5" s="3203"/>
      <c r="D5" s="3203" t="str">
        <f ca="1">结果表!D119</f>
        <v>贰佰玖拾捌万元整</v>
      </c>
      <c r="E5" s="3203"/>
      <c r="F5" s="3203" t="str">
        <f ca="1">结果表!F119</f>
        <v>贰佰万元整</v>
      </c>
      <c r="G5" s="3203"/>
      <c r="H5" s="3203" t="str">
        <f ca="1">结果表!H119</f>
        <v>肆佰玖拾捌万元整</v>
      </c>
      <c r="I5" s="3203"/>
    </row>
    <row r="6" spans="1:9" ht="15.75">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75">
      <c r="A8" s="3202" t="str">
        <f>结果表!A122</f>
        <v>房地产抵押价值</v>
      </c>
      <c r="B8" s="3202"/>
      <c r="C8" s="3202"/>
      <c r="D8" s="3202">
        <f ca="1">结果表!D122</f>
        <v>498</v>
      </c>
      <c r="E8" s="3202"/>
      <c r="F8" s="3202"/>
      <c r="G8" s="3202"/>
      <c r="H8" s="3202"/>
      <c r="I8" s="3202"/>
    </row>
    <row r="9" spans="1:9" ht="15">
      <c r="A9" s="3203" t="s">
        <v>927</v>
      </c>
      <c r="B9" s="3203"/>
      <c r="C9" s="3203"/>
      <c r="D9" s="3203" t="str">
        <f ca="1">结果表!D123</f>
        <v>肆佰玖拾捌万元整</v>
      </c>
      <c r="E9" s="3203"/>
      <c r="F9" s="3203"/>
      <c r="G9" s="3203"/>
      <c r="H9" s="3203"/>
      <c r="I9" s="3203"/>
    </row>
    <row r="10" spans="1:9" ht="15.75">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75">
      <c r="A12" s="3202" t="str">
        <f>结果表!A126</f>
        <v/>
      </c>
      <c r="B12" s="3202"/>
      <c r="C12" s="3202"/>
      <c r="D12" s="3202" t="str">
        <f>结果表!D126</f>
        <v>——</v>
      </c>
      <c r="E12" s="3202"/>
      <c r="F12" s="3202"/>
      <c r="G12" s="3202"/>
      <c r="H12" s="3202"/>
      <c r="I12" s="3202"/>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5" t="s">
        <v>949</v>
      </c>
      <c r="B1" s="3215"/>
      <c r="C1" s="3215"/>
      <c r="D1" s="3215"/>
    </row>
    <row r="2" spans="1:4" ht="18">
      <c r="A2" s="3216" t="s">
        <v>933</v>
      </c>
      <c r="B2" s="3216"/>
      <c r="C2" s="3216"/>
      <c r="D2" s="3216"/>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6" t="s">
        <v>939</v>
      </c>
      <c r="B6" s="3216"/>
      <c r="C6" s="3216"/>
      <c r="D6" s="3216"/>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7"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09" t="str">
        <f>IF(项目基本情况!B8="抵押","4.本次评估估价师所知悉的法定优先受偿款情况说明如下：","——")</f>
        <v>4.本次评估估价师所知悉的法定优先受偿款情况说明如下：</v>
      </c>
      <c r="B14" s="3214"/>
      <c r="C14" s="3214"/>
      <c r="D14" s="3214"/>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945</v>
      </c>
      <c r="B22" s="3213"/>
      <c r="C22" s="3213"/>
      <c r="D22" s="3213"/>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3" t="s">
        <v>956</v>
      </c>
      <c r="B15" s="3218" t="s">
        <v>109</v>
      </c>
      <c r="C15" s="3219"/>
    </row>
    <row r="16" spans="1:7" ht="13.5">
      <c r="A16" s="3224"/>
      <c r="B16" s="3218" t="s">
        <v>42</v>
      </c>
      <c r="C16" s="3219"/>
    </row>
    <row r="17" spans="1:3" ht="13.5">
      <c r="A17" s="3224"/>
      <c r="B17" s="3221" t="s">
        <v>957</v>
      </c>
      <c r="C17" s="1426" t="s">
        <v>956</v>
      </c>
    </row>
    <row r="18" spans="1:3" ht="13.5">
      <c r="A18" s="3224"/>
      <c r="B18" s="3221"/>
      <c r="C18" s="1426" t="s">
        <v>958</v>
      </c>
    </row>
    <row r="19" spans="1:3" ht="13.5">
      <c r="A19" s="3224"/>
      <c r="B19" s="3221"/>
      <c r="C19" s="1426" t="s">
        <v>959</v>
      </c>
    </row>
    <row r="20" spans="1:3" ht="13.5">
      <c r="A20" s="3225"/>
      <c r="B20" s="3220" t="s">
        <v>960</v>
      </c>
      <c r="C20" s="3219"/>
    </row>
    <row r="21" spans="1:3" ht="13.5">
      <c r="A21" s="1427" t="s">
        <v>961</v>
      </c>
      <c r="B21" s="1428"/>
      <c r="C21" s="1429"/>
    </row>
    <row r="22" spans="1:3" ht="13.5">
      <c r="A22" s="3222" t="s">
        <v>962</v>
      </c>
      <c r="B22" s="3220" t="s">
        <v>963</v>
      </c>
      <c r="C22" s="3219"/>
    </row>
    <row r="23" spans="1:3" ht="13.5">
      <c r="A23" s="3222"/>
      <c r="B23" s="3220" t="s">
        <v>964</v>
      </c>
      <c r="C23" s="3219"/>
    </row>
    <row r="24" spans="1:3" ht="13.5">
      <c r="A24" s="3222"/>
      <c r="B24" s="3220" t="s">
        <v>965</v>
      </c>
      <c r="C24" s="3219"/>
    </row>
    <row r="25" spans="1:3" ht="13.5">
      <c r="A25" s="3222"/>
      <c r="B25" s="3221" t="s">
        <v>966</v>
      </c>
      <c r="C25" s="1426" t="s">
        <v>967</v>
      </c>
    </row>
    <row r="26" spans="1:3" ht="13.5">
      <c r="A26" s="3222"/>
      <c r="B26" s="3221"/>
      <c r="C26" s="1426" t="s">
        <v>968</v>
      </c>
    </row>
    <row r="27" spans="1:3" ht="13.5">
      <c r="A27" s="3222"/>
      <c r="B27" s="3221"/>
      <c r="C27" s="1426" t="s">
        <v>969</v>
      </c>
    </row>
    <row r="28" spans="1:3" ht="13.5">
      <c r="A28" s="3222"/>
      <c r="B28" s="3221"/>
      <c r="C28" s="1426" t="s">
        <v>970</v>
      </c>
    </row>
    <row r="29" spans="1:3" ht="13.5">
      <c r="A29" s="3222"/>
      <c r="B29" s="3221"/>
      <c r="C29" s="1426" t="s">
        <v>971</v>
      </c>
    </row>
    <row r="30" spans="1:3" ht="13.5">
      <c r="A30" s="3222"/>
      <c r="B30" s="3221"/>
      <c r="C30" s="1426" t="s">
        <v>972</v>
      </c>
    </row>
    <row r="31" spans="1:3" ht="13.5">
      <c r="A31" s="3222"/>
      <c r="B31" s="3221"/>
      <c r="C31" s="1426" t="s">
        <v>973</v>
      </c>
    </row>
    <row r="32" spans="1:3" ht="13.5">
      <c r="A32" s="3222"/>
      <c r="B32" s="3221"/>
      <c r="C32" s="1426" t="s">
        <v>974</v>
      </c>
    </row>
    <row r="33" spans="1:3" ht="13.5">
      <c r="A33" s="3222"/>
      <c r="B33" s="322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45393</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f ca="1">IF(C6&lt;B2,"已过期",1120050019)</f>
        <v>1120050019</v>
      </c>
      <c r="C6" s="2156">
        <v>45410</v>
      </c>
      <c r="D6" s="2157" t="str">
        <f t="shared" ca="1" si="0"/>
        <v>王鹏（注册号：1120050019）</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6" t="s">
        <v>2159</v>
      </c>
      <c r="B17" s="3226"/>
      <c r="C17" s="3226"/>
      <c r="D17" s="3226"/>
      <c r="E17" s="3226"/>
      <c r="F17" s="3226"/>
      <c r="G17" s="3226"/>
      <c r="H17" s="3226"/>
    </row>
    <row r="18" spans="1:8" ht="24" customHeight="1">
      <c r="A18" s="3227" t="s">
        <v>2160</v>
      </c>
      <c r="B18" s="3227"/>
      <c r="C18" s="3227"/>
      <c r="D18" s="2154"/>
      <c r="E18" s="3228" t="s">
        <v>2161</v>
      </c>
      <c r="F18" s="3227"/>
      <c r="G18" s="3227"/>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2024-04-11T08:56:44Z</dcterms:modified>
</cp:coreProperties>
</file>