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095" yWindow="-15" windowWidth="15555" windowHeight="1245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Y6" i="1" l="1"/>
  <c r="N19" i="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65" i="3"/>
  <c r="E16" i="3"/>
  <c r="E536" i="3"/>
  <c r="E244" i="3"/>
  <c r="E188" i="3"/>
  <c r="E148" i="3"/>
  <c r="E149" i="3"/>
  <c r="E223" i="3"/>
  <c r="E212" i="3"/>
  <c r="E167" i="3"/>
  <c r="E116" i="3"/>
  <c r="E199" i="3"/>
  <c r="E141" i="3"/>
  <c r="E105" i="3"/>
  <c r="E286" i="3"/>
  <c r="E312" i="3"/>
  <c r="E393" i="3"/>
  <c r="E575" i="3"/>
  <c r="AD6" i="3"/>
  <c r="E493" i="3"/>
  <c r="E499" i="3"/>
  <c r="E542" i="3"/>
  <c r="E564" i="3"/>
  <c r="R6" i="3"/>
  <c r="E552" i="3"/>
  <c r="E543" i="3"/>
  <c r="E502" i="3"/>
  <c r="E421" i="3"/>
  <c r="E427" i="3"/>
  <c r="E442" i="3"/>
  <c r="E464" i="3"/>
  <c r="E486" i="3"/>
  <c r="E466" i="3"/>
  <c r="E487" i="3"/>
  <c r="E507" i="3"/>
  <c r="E541" i="3"/>
  <c r="E398" i="3"/>
  <c r="E422" i="3"/>
  <c r="E430" i="3"/>
  <c r="E416" i="3"/>
  <c r="E440" i="3"/>
  <c r="E449" i="3"/>
  <c r="E459" i="3"/>
  <c r="E490" i="3"/>
  <c r="E255" i="3"/>
  <c r="E374" i="3"/>
  <c r="E376" i="3"/>
  <c r="I3" i="6"/>
  <c r="E566" i="3"/>
  <c r="AH6" i="3"/>
  <c r="AP6" i="3"/>
  <c r="E500" i="3"/>
  <c r="J6" i="3"/>
  <c r="E554" i="3"/>
  <c r="E582" i="3"/>
  <c r="E498" i="3"/>
  <c r="E517" i="3"/>
  <c r="E413" i="3"/>
  <c r="E419" i="3"/>
  <c r="E435" i="3"/>
  <c r="E460" i="3"/>
  <c r="E483" i="3"/>
  <c r="E491"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8" i="76"/>
  <c r="J15" i="15"/>
  <c r="M28" i="67"/>
  <c r="M26" i="67"/>
  <c r="M6" i="67"/>
  <c r="F38" i="67"/>
  <c r="D4" i="73"/>
  <c r="F16" i="15"/>
  <c r="B13" i="76"/>
  <c r="E12" i="76"/>
  <c r="E11" i="76"/>
  <c r="E2" i="69"/>
  <c r="F6" i="67"/>
  <c r="M24" i="15"/>
  <c r="B8" i="76"/>
  <c r="M26" i="15"/>
  <c r="F36" i="15"/>
  <c r="F8" i="67"/>
  <c r="M9" i="15"/>
  <c r="J15" i="67"/>
  <c r="C76" i="67"/>
  <c r="B7" i="76"/>
  <c r="L48" i="67"/>
  <c r="D5" i="73"/>
  <c r="F26" i="15"/>
  <c r="F9" i="15"/>
  <c r="F9" i="67"/>
  <c r="F36" i="67"/>
  <c r="F42" i="67"/>
  <c r="F38" i="15"/>
  <c r="M22" i="67"/>
  <c r="F40" i="67"/>
  <c r="F7" i="73"/>
  <c r="B12" i="76"/>
  <c r="F13" i="15"/>
  <c r="E2" i="68"/>
  <c r="F5" i="73"/>
  <c r="D6" i="73"/>
  <c r="M6" i="15"/>
  <c r="C76" i="15"/>
  <c r="F43" i="67"/>
  <c r="M9" i="67"/>
  <c r="F40" i="15"/>
  <c r="F16" i="67"/>
  <c r="F13" i="67"/>
  <c r="L47" i="15"/>
  <c r="E13" i="76"/>
  <c r="AO13" i="1"/>
  <c r="F7" i="15"/>
  <c r="F8" i="15"/>
  <c r="L48" i="15"/>
  <c r="M8" i="67"/>
  <c r="F7" i="67"/>
  <c r="F26" i="67"/>
  <c r="M23" i="15"/>
  <c r="M28" i="15"/>
  <c r="D3" i="73"/>
  <c r="E7" i="76"/>
  <c r="E10" i="76"/>
  <c r="F43" i="15"/>
  <c r="F20" i="31"/>
  <c r="F6" i="73"/>
  <c r="F4" i="73"/>
  <c r="F6" i="15"/>
  <c r="M29" i="67"/>
  <c r="B9" i="76"/>
  <c r="L47" i="67"/>
  <c r="B10" i="76"/>
  <c r="F37" i="15"/>
  <c r="M29" i="15"/>
  <c r="B11" i="76"/>
  <c r="M22" i="15"/>
  <c r="F3" i="73"/>
  <c r="M23" i="67"/>
  <c r="F37" i="67"/>
  <c r="D7" i="73"/>
  <c r="E9" i="76"/>
  <c r="M24" i="67"/>
  <c r="M8" i="15"/>
  <c r="F42" i="15"/>
  <c r="C40" i="69" l="1"/>
  <c r="C21" i="68"/>
  <c r="G6" i="1"/>
  <c r="I24" i="43"/>
  <c r="C24" i="43" s="1"/>
  <c r="E470" i="3"/>
  <c r="E452" i="3"/>
  <c r="E494" i="3"/>
  <c r="E13" i="3"/>
  <c r="E497" i="3"/>
  <c r="E556" i="3"/>
  <c r="E360" i="3"/>
  <c r="E451" i="3"/>
  <c r="E408" i="3"/>
  <c r="E512" i="3"/>
  <c r="E469" i="3"/>
  <c r="E456" i="3"/>
  <c r="E405" i="3"/>
  <c r="T6" i="3"/>
  <c r="E534" i="3"/>
  <c r="E525" i="3"/>
  <c r="E369" i="3"/>
  <c r="E173" i="3"/>
  <c r="E197" i="3"/>
  <c r="E140" i="3"/>
  <c r="E296" i="3"/>
  <c r="E205" i="3"/>
  <c r="F29" i="6"/>
  <c r="G28" i="6"/>
  <c r="D21" i="53"/>
  <c r="B39" i="72" s="1"/>
  <c r="D19" i="53"/>
  <c r="B38"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D18" i="53" l="1"/>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s="1"/>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B14" i="74" l="1"/>
  <c r="B1" i="74" s="1"/>
  <c r="V3" i="43"/>
  <c r="C6" i="69"/>
  <c r="C7" i="69"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15"/>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4"/>
  <c r="D2" i="37"/>
  <c r="L51" i="15"/>
  <c r="D2" i="36"/>
  <c r="D102" i="9" l="1"/>
  <c r="D21" i="9"/>
  <c r="G19" i="9"/>
  <c r="G21" i="9" s="1"/>
  <c r="D22" i="9"/>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12" i="1"/>
  <c r="AO8" i="1"/>
  <c r="D20" i="9"/>
  <c r="AO6" i="1"/>
  <c r="AO9" i="1"/>
  <c r="AO10" i="1"/>
  <c r="AO11" i="1"/>
  <c r="D103" i="9" l="1"/>
  <c r="G20" i="9"/>
  <c r="C32"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C34"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C105" i="9" s="1"/>
  <c r="H118" i="9" l="1"/>
  <c r="D14" i="74" s="1"/>
  <c r="F118" i="9"/>
  <c r="H102" i="9"/>
  <c r="I4" i="52"/>
  <c r="E118" i="9"/>
  <c r="H4" i="52" l="1"/>
  <c r="C104" i="9"/>
  <c r="E14" i="74"/>
  <c r="F14" i="74"/>
  <c r="B5" i="74"/>
  <c r="D5" i="74" s="1"/>
  <c r="H119" i="9"/>
  <c r="H5" i="52" s="1"/>
  <c r="H101" i="9"/>
  <c r="E4" i="52"/>
  <c r="B48" i="72" s="1"/>
  <c r="D118" i="9"/>
  <c r="D7" i="53"/>
  <c r="B21" i="72" s="1"/>
  <c r="F4" i="52"/>
  <c r="B51" i="72" s="1"/>
  <c r="F119" i="9"/>
  <c r="F5" i="52" s="1"/>
  <c r="B53" i="72" s="1"/>
  <c r="C5" i="74" l="1"/>
  <c r="H107" i="9"/>
  <c r="D5" i="53"/>
  <c r="D45" i="9"/>
  <c r="M48" i="9"/>
  <c r="D4" i="52"/>
  <c r="B47" i="72" s="1"/>
  <c r="D119" i="9"/>
  <c r="D5" i="52" s="1"/>
  <c r="B49" i="72" s="1"/>
  <c r="C93" i="9" l="1"/>
  <c r="C86" i="9" s="1"/>
  <c r="C78" i="9"/>
  <c r="C73" i="9" s="1"/>
  <c r="C72" i="9"/>
  <c r="C79" i="9" s="1"/>
  <c r="C85" i="9"/>
  <c r="C95" i="9" s="1"/>
  <c r="C96" i="9" s="1"/>
  <c r="E96" i="9" s="1"/>
  <c r="E97" i="9" s="1"/>
  <c r="D55" i="9"/>
  <c r="M53" i="9" s="1"/>
  <c r="D53" i="9"/>
  <c r="D52" i="9"/>
  <c r="C64" i="9"/>
  <c r="C63" i="9" s="1"/>
  <c r="C67" i="9" s="1"/>
  <c r="B20" i="72"/>
  <c r="D6" i="53"/>
  <c r="B22" i="72" s="1"/>
  <c r="M49" i="9"/>
  <c r="D122" i="9"/>
  <c r="D13" i="53"/>
  <c r="H108" i="9"/>
  <c r="C80" i="9"/>
  <c r="E80" i="9" s="1"/>
  <c r="E81" i="9" s="1"/>
  <c r="C81" i="9" l="1"/>
  <c r="D123" i="9"/>
  <c r="D9" i="52" s="1"/>
  <c r="D8" i="52"/>
  <c r="D59" i="9"/>
  <c r="M55" i="9" s="1"/>
  <c r="C68" i="9"/>
  <c r="D54" i="9" s="1"/>
  <c r="L64" i="9"/>
  <c r="M64" i="9" s="1"/>
  <c r="L63" i="9"/>
  <c r="M63" i="9" s="1"/>
  <c r="L68" i="9"/>
  <c r="M68" i="9" s="1"/>
  <c r="L65" i="9"/>
  <c r="M65" i="9" s="1"/>
  <c r="L66" i="9"/>
  <c r="M66" i="9" s="1"/>
  <c r="L67" i="9"/>
  <c r="M67" i="9" s="1"/>
  <c r="C6" i="74"/>
  <c r="D15" i="53"/>
  <c r="B31" i="72" s="1"/>
  <c r="D14" i="53"/>
  <c r="B32" i="72" s="1"/>
  <c r="B30" i="72"/>
  <c r="C97" i="9"/>
  <c r="D58" i="9" s="1"/>
  <c r="D56" i="9" s="1"/>
  <c r="M54" i="9" s="1"/>
  <c r="N57" i="9" s="1"/>
  <c r="M69" i="9" l="1"/>
  <c r="N69" i="9" s="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<sst xmlns="http://schemas.openxmlformats.org/spreadsheetml/2006/main" count="7801" uniqueCount="3409">
  <si>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</si>
  <si>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</si>
  <si>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</si>
  <si>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</si>
  <si>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</si>
  <si>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</si>
  <si>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</si>
  <si>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</si>
  <si>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</si>
  <si>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</si>
  <si>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</si>
  <si>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</si>
  <si>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</si>
  <si>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</si>
  <si>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</si>
  <si>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</si>
  <si>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</si>
  <si>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</si>
  <si>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</si>
  <si>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</si>
  <si>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</si>
  <si>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</si>
  <si>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</si>
  <si>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</si>
  <si>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</si>
  <si>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</si>
  <si>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</si>
  <si>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</si>
  <si>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</si>
  <si>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</si>
  <si>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</si>
  <si>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</si>
  <si>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</si>
  <si>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</si>
  <si>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</si>
  <si>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</si>
  <si>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</si>
  <si>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</si>
  <si>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</si>
  <si>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</si>
  <si>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</si>
  <si>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</si>
  <si>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</si>
  <si>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</si>
  <si>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</si>
  <si>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</si>
  <si>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</si>
  <si>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</si>
  <si>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</si>
  <si>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</si>
  <si>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</si>
  <si>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</si>
  <si>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</si>
  <si>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</si>
  <si>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</si>
  <si>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</si>
  <si>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</si>
  <si>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</si>
  <si>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</si>
  <si>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</si>
  <si>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</si>
  <si>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</si>
  <si>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</si>
  <si>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</si>
  <si>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</si>
  <si>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</si>
  <si>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</si>
  <si>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</si>
  <si>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</si>
  <si>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</si>
  <si>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</si>
  <si>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</si>
  <si>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</si>
  <si>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</si>
  <si>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</si>
  <si>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</si>
  <si>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</si>
  <si>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</si>
  <si>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</si>
  <si>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</si>
  <si>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</si>
  <si>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</si>
  <si>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</si>
  <si>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</si>
  <si>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</si>
  <si>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</si>
  <si>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</si>
  <si>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</si>
  <si>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</si>
  <si>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</si>
  <si>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</si>
  <si>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</si>
  <si>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</si>
  <si>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</si>
  <si>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</si>
  <si>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</si>
  <si>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</si>
  <si>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</si>
  <si>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</si>
  <si>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</si>
  <si>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</si>
  <si>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</si>
  <si>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</si>
  <si>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</si>
  <si>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</si>
  <si>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</si>
  <si>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</si>
  <si>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</si>
  <si>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</si>
  <si>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</si>
  <si>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</si>
  <si>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</si>
  <si>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</si>
  <si>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</si>
  <si>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</si>
  <si>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</si>
  <si>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</si>
  <si>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</si>
  <si>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</si>
  <si>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</si>
  <si>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</si>
  <si>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</si>
  <si>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</si>
  <si>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</si>
  <si>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</si>
  <si>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</si>
  <si>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</si>
  <si>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</si>
  <si>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</si>
  <si>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</si>
  <si>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</si>
  <si>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</si>
  <si>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</si>
  <si>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</si>
  <si>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</si>
  <si>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</si>
  <si>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</si>
  <si>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</si>
  <si>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</si>
  <si>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</si>
  <si>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</si>
  <si>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</si>
  <si>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</si>
  <si>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</si>
  <si>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</si>
  <si>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</si>
  <si>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</si>
  <si>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</si>
  <si>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</si>
  <si>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</si>
  <si>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</si>
  <si>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</si>
  <si>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</si>
  <si>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</si>
  <si>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</si>
  <si>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</si>
  <si>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</si>
  <si>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</si>
  <si>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</si>
  <si>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</si>
  <si>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</si>
  <si>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</si>
  <si>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</si>
  <si>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</si>
  <si>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</si>
  <si>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</si>
  <si>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</si>
  <si>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</si>
  <si>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</si>
  <si>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</si>
  <si>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</si>
  <si>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</si>
  <si>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</si>
  <si>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</si>
  <si>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</si>
  <si>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</si>
  <si>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</si>
  <si>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</si>
  <si>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</si>
  <si>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</si>
  <si>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</si>
  <si>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</si>
  <si>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</si>
  <si>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</si>
  <si>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</si>
  <si>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</si>
  <si>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</si>
  <si>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</si>
  <si>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</si>
  <si>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</si>
  <si>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</si>
  <si>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</si>
  <si>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</si>
  <si>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</si>
  <si>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</si>
  <si>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</si>
  <si>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</si>
  <si>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</si>
  <si>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</si>
  <si>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</si>
  <si>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</si>
  <si>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</si>
  <si>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</si>
  <si>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</si>
  <si>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</si>
  <si>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</si>
  <si>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</si>
  <si>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</si>
  <si>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</si>
  <si>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</si>
  <si>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</si>
  <si>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</si>
  <si>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</si>
  <si>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</si>
  <si>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</si>
  <si>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</si>
  <si>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</si>
  <si>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</si>
  <si>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</si>
  <si>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</si>
  <si>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</si>
  <si>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</si>
  <si>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</si>
  <si>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</si>
  <si>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</si>
  <si>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</si>
  <si>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</si>
  <si>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</si>
  <si>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</si>
  <si>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</si>
  <si>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</si>
  <si>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</si>
  <si>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</si>
  <si>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</si>
  <si>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</si>
  <si>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</si>
  <si>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</si>
  <si>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</si>
  <si>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</si>
  <si>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</si>
  <si>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</si>
  <si>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</si>
  <si>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</si>
  <si>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</si>
  <si>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</si>
  <si>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</si>
  <si>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</si>
  <si>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</si>
  <si>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</si>
  <si>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</si>
  <si>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</si>
  <si>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</si>
  <si>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</si>
  <si>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</si>
  <si>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</si>
  <si>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</si>
  <si>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</si>
  <si>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</si>
  <si>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</si>
  <si>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</si>
  <si>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</si>
  <si>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</si>
  <si>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</si>
  <si>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</si>
  <si>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</si>
  <si>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</si>
  <si>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</si>
  <si>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</si>
  <si>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</si>
  <si>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</si>
  <si>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</si>
  <si>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</si>
  <si>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</si>
  <si>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</si>
  <si>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</si>
  <si>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</si>
  <si>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</si>
  <si>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</si>
  <si>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</si>
  <si>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</si>
  <si>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</si>
  <si>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</si>
  <si>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</si>
  <si>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</si>
  <si>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</si>
  <si>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</si>
  <si>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</si>
  <si>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</si>
  <si>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</si>
  <si>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</si>
  <si>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</si>
  <si>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</si>
  <si>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</si>
  <si>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</si>
  <si>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</si>
  <si>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</si>
  <si>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</si>
  <si>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</si>
  <si>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</si>
  <si>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</si>
  <si>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</si>
  <si>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</si>
  <si>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</si>
  <si>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</si>
  <si>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</si>
  <si>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</si>
  <si>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</si>
  <si>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</si>
  <si>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</si>
  <si>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</si>
  <si>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</si>
  <si>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</si>
  <si>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</si>
  <si>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</si>
  <si>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</si>
  <si>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</si>
  <si>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</si>
  <si>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</si>
  <si>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</si>
  <si>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</si>
  <si>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</si>
  <si>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</si>
  <si>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</si>
  <si>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</si>
  <si>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</si>
  <si>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</si>
  <si>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</si>
  <si>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</si>
  <si>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</si>
  <si>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</si>
  <si>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</si>
  <si>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</si>
  <si>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</si>
  <si>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</si>
  <si>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</si>
  <si>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</si>
  <si>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</si>
  <si>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</si>
  <si>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</si>
  <si>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</si>
  <si>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</si>
  <si>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</si>
  <si>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</si>
  <si>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</si>
  <si>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</si>
  <si>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</si>
  <si>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</si>
  <si>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</si>
  <si>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</si>
  <si>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</si>
  <si>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</si>
  <si>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</si>
  <si>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</si>
  <si>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</si>
  <si>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</si>
  <si>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</si>
  <si>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</si>
  <si>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</si>
  <si>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</si>
  <si>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</si>
  <si>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</si>
  <si>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</si>
  <si>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</si>
  <si>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</si>
  <si>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</si>
  <si>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</si>
  <si>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</si>
  <si>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</si>
  <si>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</si>
  <si>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</si>
  <si>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</si>
  <si>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</si>
  <si>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</si>
  <si>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</si>
  <si>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</si>
  <si>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</si>
  <si>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</si>
  <si>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</si>
  <si>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</si>
  <si>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</si>
  <si>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</si>
  <si>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</si>
  <si>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</si>
  <si>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</si>
  <si>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</si>
  <si>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</si>
  <si>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</si>
  <si>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</si>
  <si>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</si>
  <si>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</si>
  <si>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</si>
  <si>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</si>
  <si>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</si>
  <si>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</si>
  <si>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</si>
  <si>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</si>
  <si>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</si>
  <si>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</si>
  <si>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</si>
  <si>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</si>
  <si>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</si>
  <si>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</si>
  <si>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</si>
  <si>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</si>
  <si>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</si>
  <si>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</si>
  <si>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</si>
  <si>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</si>
  <si>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</si>
  <si>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</si>
  <si>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</si>
  <si>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</si>
  <si>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</si>
  <si>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</si>
  <si>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</si>
  <si>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</si>
  <si>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</si>
  <si>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</si>
  <si>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</si>
  <si>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</si>
  <si>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</si>
  <si>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</si>
  <si>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</si>
  <si>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</si>
  <si>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</si>
  <si>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</si>
  <si>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</si>
  <si>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</si>
  <si>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</si>
  <si>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</si>
  <si>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</si>
  <si>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</si>
  <si>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</si>
  <si>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</si>
  <si>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</si>
  <si>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</si>
  <si>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</si>
  <si>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</si>
  <si>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</si>
  <si>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</si>
  <si>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</si>
  <si>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</si>
  <si>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</si>
  <si>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</si>
  <si>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</si>
  <si>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</si>
  <si>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</si>
  <si>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</si>
  <si>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</si>
  <si>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</si>
  <si>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</si>
  <si>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</si>
  <si>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</si>
  <si>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</si>
  <si>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</si>
  <si>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</si>
  <si>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</si>
  <si>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</si>
  <si>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</si>
  <si>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</si>
  <si>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</si>
  <si>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</si>
  <si>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</si>
  <si>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</si>
  <si>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</si>
  <si>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</si>
  <si>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</si>
  <si>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</si>
  <si>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</si>
  <si>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</si>
  <si>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</si>
  <si>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</si>
  <si>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</si>
  <si>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</si>
  <si>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</si>
  <si>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</si>
  <si>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</si>
  <si>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</si>
  <si>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</si>
  <si>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</si>
  <si>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</si>
  <si>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</si>
  <si>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</si>
  <si>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</si>
  <si>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</si>
  <si>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</si>
  <si>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</si>
  <si>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</si>
  <si>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</si>
  <si>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</si>
  <si>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</si>
  <si>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</si>
  <si>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</si>
  <si>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</si>
  <si>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</si>
  <si>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</si>
  <si>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</si>
  <si>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</si>
  <si>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</si>
  <si>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</si>
  <si>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</si>
  <si>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</si>
  <si>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</si>
  <si>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</si>
  <si>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</si>
  <si>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</si>
  <si>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</si>
  <si>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</si>
  <si>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</si>
  <si>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</si>
  <si>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</si>
  <si>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</si>
  <si>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</si>
  <si>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</si>
  <si>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</si>
  <si>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</si>
  <si>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</si>
  <si>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</si>
  <si>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</si>
  <si>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</si>
  <si>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</si>
  <si>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</si>
  <si>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</si>
  <si>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</si>
  <si>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</si>
  <si>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</si>
  <si>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</si>
  <si>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</si>
  <si>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</si>
  <si>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</si>
  <si>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</si>
  <si>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</si>
  <si>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</si>
  <si>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</si>
  <si>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</si>
  <si>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</si>
  <si>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</si>
  <si>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</si>
  <si>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</si>
  <si>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</si>
  <si>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</si>
  <si>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</si>
  <si>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</si>
  <si>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</si>
  <si>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</si>
  <si>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</si>
  <si>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</si>
  <si>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</si>
  <si>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</si>
  <si>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</si>
  <si>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</si>
  <si>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</si>
  <si>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</si>
  <si>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</si>
  <si>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</si>
  <si>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</si>
  <si>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</si>
  <si>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</si>
  <si>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</si>
  <si>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</si>
  <si>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</si>
  <si>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</si>
  <si>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</si>
  <si>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</si>
  <si>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</si>
  <si>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</si>
  <si>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</si>
  <si>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</si>
  <si>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</si>
  <si>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</si>
  <si>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</si>
  <si>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</si>
  <si>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</si>
  <si>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</si>
  <si>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</si>
  <si>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</si>
  <si>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</si>
  <si>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</si>
  <si>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</si>
  <si>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</si>
  <si>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</si>
  <si>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</si>
  <si>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</si>
  <si>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</si>
  <si>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</si>
  <si>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</si>
  <si>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</si>
  <si>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</si>
  <si>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</si>
  <si>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</si>
  <si>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</si>
  <si>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</si>
  <si>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</si>
  <si>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</si>
  <si>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</si>
  <si>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</si>
  <si>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</si>
  <si>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</si>
  <si>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</si>
  <si>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</si>
  <si>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</si>
  <si>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</si>
  <si>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</si>
  <si>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</si>
  <si>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</si>
  <si>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</si>
  <si>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</si>
  <si>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</si>
  <si>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</si>
  <si>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</si>
  <si>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</si>
  <si>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</si>
  <si>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</si>
  <si>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</si>
  <si>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</si>
  <si>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</si>
  <si>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</si>
  <si>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</si>
  <si>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</si>
  <si>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</si>
  <si>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</si>
  <si>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</si>
  <si>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</si>
  <si>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</si>
  <si>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</si>
  <si>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</si>
  <si>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</si>
  <si>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</si>
  <si>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</si>
  <si>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</si>
  <si>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</si>
  <si>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</si>
  <si>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</si>
  <si>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</si>
  <si>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</si>
  <si>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</si>
  <si>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</si>
  <si>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</si>
  <si>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</si>
  <si>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</si>
  <si>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</si>
  <si>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</si>
  <si>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</si>
  <si>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</si>
  <si>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</si>
  <si>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</si>
  <si>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</si>
  <si>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</si>
  <si>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</si>
  <si>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</si>
  <si>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</si>
  <si>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</si>
  <si>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</si>
  <si>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</si>
  <si>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</si>
  <si>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</si>
  <si>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</si>
  <si>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</si>
  <si>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</si>
  <si>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</si>
  <si>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</si>
  <si>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</si>
  <si>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</si>
  <si>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</si>
  <si>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</si>
  <si>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</si>
  <si>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</si>
  <si>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</si>
  <si>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</si>
  <si>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</si>
  <si>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</si>
  <si>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</si>
  <si>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</si>
  <si>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</si>
  <si>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</si>
  <si>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</si>
  <si>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</si>
  <si>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</si>
  <si>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</si>
  <si>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</si>
  <si>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</si>
  <si>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</si>
  <si>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</si>
  <si>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</si>
  <si>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</si>
  <si>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</si>
  <si>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</si>
  <si>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</si>
  <si>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</si>
  <si>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</si>
  <si>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</si>
  <si>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</si>
  <si>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</si>
  <si>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</si>
  <si>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</si>
  <si>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</si>
  <si>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</si>
  <si>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</si>
  <si>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</si>
  <si>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</si>
  <si>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</si>
  <si>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</si>
  <si>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</si>
  <si>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</si>
  <si>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</si>
  <si>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</si>
  <si>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</si>
  <si>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</si>
  <si>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</si>
  <si>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</si>
  <si>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</si>
  <si>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</si>
  <si>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</si>
  <si>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</si>
  <si>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</si>
  <si>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</si>
  <si>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</si>
  <si>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</si>
  <si>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</si>
  <si>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</si>
  <si>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</si>
  <si>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</si>
  <si>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</si>
  <si>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</si>
  <si>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</si>
  <si>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</si>
  <si>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</si>
  <si>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</si>
  <si>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</si>
  <si>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</si>
  <si>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</si>
  <si>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</si>
  <si>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</si>
  <si>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</si>
  <si>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</si>
  <si>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</si>
  <si>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</si>
  <si>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</si>
  <si>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</si>
  <si>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</si>
  <si>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</si>
  <si>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</si>
  <si>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</si>
  <si>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</si>
  <si>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</si>
  <si>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</si>
  <si>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</si>
  <si>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</si>
  <si>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</si>
  <si>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</si>
  <si>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</si>
  <si>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</si>
  <si>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</si>
  <si>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</si>
  <si>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</si>
  <si>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</si>
  <si>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</si>
  <si>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</si>
  <si>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</si>
  <si>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</si>
  <si>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</si>
  <si>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</si>
  <si>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</si>
  <si>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</si>
  <si>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</si>
  <si>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</si>
  <si>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</si>
  <si>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</si>
  <si>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</si>
  <si>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</si>
  <si>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</si>
  <si>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</si>
  <si>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</si>
  <si>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</si>
  <si>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</si>
  <si>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</si>
  <si>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</si>
  <si>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</si>
  <si>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</si>
  <si>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</si>
  <si>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</si>
  <si>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</si>
  <si>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</si>
  <si>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</si>
  <si>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</si>
  <si>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</si>
  <si>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</si>
  <si>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</si>
  <si>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</si>
  <si>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</si>
  <si>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</si>
  <si>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</si>
  <si>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</si>
  <si>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</si>
  <si>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</si>
  <si>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</si>
  <si>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</si>
  <si>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</si>
  <si>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</si>
  <si>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</si>
  <si>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</si>
  <si>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</si>
  <si>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</si>
  <si>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</si>
  <si>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</si>
  <si>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</si>
  <si>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</si>
  <si>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</si>
  <si>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</si>
  <si>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</si>
  <si>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</si>
  <si>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</si>
  <si>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</si>
  <si>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</si>
  <si>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</si>
  <si>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</si>
  <si>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</si>
  <si>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</si>
  <si>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</si>
  <si>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</si>
  <si>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</si>
  <si>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</si>
  <si>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</si>
  <si>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</si>
  <si>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</si>
  <si>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</si>
  <si>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</si>
  <si>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</si>
  <si>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</si>
  <si>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</si>
  <si>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</si>
  <si>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</si>
  <si>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</si>
  <si>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</si>
  <si>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</si>
  <si>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</si>
  <si>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</si>
  <si>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</si>
  <si>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</si>
  <si>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</si>
  <si>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</si>
  <si>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</si>
  <si>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</si>
  <si>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</si>
  <si>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</si>
  <si>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</si>
  <si>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</si>
  <si>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</si>
  <si>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</si>
  <si>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</si>
  <si>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</si>
  <si>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</si>
  <si>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</si>
  <si>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</si>
  <si>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</si>
  <si>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</si>
  <si>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</si>
  <si>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</si>
  <si>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</si>
  <si>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</si>
  <si>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</si>
  <si>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</si>
  <si>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</si>
  <si>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</si>
  <si>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</si>
  <si>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</si>
  <si>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</si>
  <si>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</si>
  <si>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</si>
  <si>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</si>
  <si>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</si>
  <si>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</si>
  <si>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</si>
  <si>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</si>
  <si>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</si>
  <si>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</si>
  <si>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</si>
  <si>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</si>
  <si>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</si>
  <si>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</si>
  <si>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</si>
  <si>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</si>
  <si>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</si>
  <si>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</si>
  <si>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</si>
  <si>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</si>
  <si>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</si>
  <si>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</si>
  <si>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</si>
  <si>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</si>
  <si>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</si>
  <si>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</si>
  <si>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</si>
  <si>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</si>
  <si>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</si>
  <si>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</si>
  <si>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</si>
  <si>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</si>
  <si>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</si>
  <si>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</si>
  <si>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</si>
  <si>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</si>
  <si>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</si>
  <si>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</si>
  <si>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</si>
  <si>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</si>
  <si>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</si>
  <si>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</si>
  <si>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</si>
  <si>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</si>
  <si>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</si>
  <si>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</si>
  <si>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</si>
  <si>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</si>
  <si>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</si>
  <si>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</si>
  <si>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</si>
  <si>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</si>
  <si>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</si>
  <si>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</si>
  <si>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</si>
  <si>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</si>
  <si>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</si>
  <si>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</si>
  <si>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</si>
  <si>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</si>
  <si>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</si>
  <si>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</si>
  <si>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</si>
  <si>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</si>
  <si>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</si>
  <si>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</si>
  <si>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</si>
  <si>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</si>
  <si>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</si>
  <si>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</si>
  <si>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</si>
  <si>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</si>
  <si>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</si>
  <si>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</si>
  <si>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</si>
  <si>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</si>
  <si>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</si>
  <si>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</si>
  <si>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</si>
  <si>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</si>
  <si>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</si>
  <si>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</si>
  <si>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</si>
  <si>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</si>
  <si>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</si>
  <si>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</si>
  <si>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</si>
  <si>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</si>
  <si>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</si>
  <si>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</si>
  <si>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</si>
  <si>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</si>
  <si>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</si>
  <si>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</si>
  <si>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</si>
  <si>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</si>
  <si>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</si>
  <si>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</si>
  <si>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</si>
  <si>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</si>
  <si>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</si>
  <si>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</si>
  <si>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</si>
  <si>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</si>
  <si>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</si>
  <si>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</si>
  <si>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</si>
  <si>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</si>
  <si>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</si>
  <si>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</si>
  <si>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</si>
  <si>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</si>
  <si>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</si>
  <si>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</si>
  <si>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</si>
  <si>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</si>
  <si>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</si>
  <si>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</si>
  <si>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</si>
  <si>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</si>
  <si>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</si>
  <si>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</si>
  <si>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</si>
  <si>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</si>
  <si>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</si>
  <si>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</si>
  <si>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</si>
  <si>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</si>
  <si>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</si>
  <si>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</si>
  <si>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</si>
  <si>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</si>
  <si>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</si>
  <si>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</si>
  <si>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</si>
  <si>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</si>
  <si>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</si>
  <si>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</si>
  <si>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</si>
  <si>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</si>
  <si>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</si>
  <si>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</si>
  <si>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</si>
  <si>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</si>
  <si>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</si>
  <si>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</si>
  <si>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</si>
  <si>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</si>
  <si>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</si>
  <si>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</si>
  <si>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</si>
  <si>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</si>
  <si>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</si>
  <si>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</si>
  <si>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</si>
  <si>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</si>
  <si>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</si>
  <si>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</si>
  <si>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</si>
  <si>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</si>
  <si>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</si>
  <si>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</si>
  <si>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</si>
  <si>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</si>
  <si>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</si>
  <si>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</si>
  <si>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</si>
  <si>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</si>
  <si>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</si>
  <si>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</si>
  <si>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</si>
  <si>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</si>
  <si>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</si>
  <si>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</si>
  <si>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</si>
  <si>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</si>
  <si>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</si>
  <si>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</si>
  <si>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</si>
  <si>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</si>
  <si>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</si>
  <si>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</si>
  <si>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</si>
  <si>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</si>
  <si>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</si>
  <si>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</si>
  <si>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</si>
  <si>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</si>
  <si>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</si>
  <si>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</si>
  <si>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</si>
  <si>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</si>
  <si>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</si>
  <si>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</si>
  <si>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</si>
  <si>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</si>
  <si>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</si>
  <si>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</si>
  <si>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</si>
  <si>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</si>
  <si>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</si>
  <si>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</si>
  <si>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</si>
  <si>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</si>
  <si>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</si>
  <si>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</si>
  <si>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</si>
  <si>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</si>
  <si>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</si>
  <si>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</si>
  <si>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</si>
  <si>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</si>
  <si>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</si>
  <si>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</si>
  <si>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</si>
  <si>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</si>
  <si>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</si>
  <si>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</si>
  <si>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</si>
  <si>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</si>
  <si>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</si>
  <si>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</si>
  <si>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</si>
  <si>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</si>
  <si>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</si>
  <si>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</si>
  <si>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</si>
  <si>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</si>
  <si>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</si>
  <si>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</si>
  <si>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</si>
  <si>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</si>
  <si>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</si>
  <si>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</si>
  <si>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</si>
  <si>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</si>
  <si>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</si>
  <si>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</si>
  <si>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</si>
  <si>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</si>
  <si>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</si>
  <si>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</si>
  <si>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</si>
  <si>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</si>
  <si>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</si>
  <si>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</si>
  <si>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</si>
  <si>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</si>
  <si>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</si>
  <si>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</si>
  <si>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</si>
  <si>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</si>
  <si>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</si>
  <si>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</si>
  <si>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</si>
  <si>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</si>
  <si>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</si>
  <si>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</si>
  <si>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</si>
  <si>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</si>
  <si>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</si>
  <si>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</si>
  <si>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</si>
  <si>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</si>
  <si>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</si>
  <si>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</si>
  <si>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</si>
  <si>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</si>
  <si>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</si>
  <si>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</si>
  <si>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</si>
  <si>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</si>
  <si>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</si>
  <si>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</si>
  <si>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</si>
  <si>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</si>
  <si>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</si>
  <si>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</si>
  <si>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</si>
  <si>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</si>
  <si>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</si>
  <si>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</si>
  <si>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</si>
  <si>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</si>
  <si>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</si>
  <si>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</si>
  <si>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</si>
  <si>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</si>
  <si>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</si>
  <si>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</si>
  <si>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</si>
  <si>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</si>
  <si>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</si>
  <si>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</si>
  <si>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</si>
  <si>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</si>
  <si>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</si>
  <si>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</si>
  <si>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</si>
  <si>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</si>
  <si>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</si>
  <si>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</si>
  <si>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</si>
  <si>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</si>
  <si>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</si>
  <si>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</si>
  <si>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</si>
  <si>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</si>
  <si>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</si>
  <si>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</si>
  <si>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</si>
  <si>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</si>
  <si>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</si>
  <si>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</si>
  <si>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</si>
  <si>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</si>
  <si>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</si>
  <si>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</si>
  <si>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</si>
  <si>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</si>
  <si>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</si>
  <si>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</si>
  <si>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</si>
  <si>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</si>
  <si>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</si>
  <si>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</si>
  <si>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</si>
  <si>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</si>
  <si>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</si>
  <si>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</si>
  <si>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</si>
  <si>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</si>
  <si>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</si>
  <si>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</si>
  <si>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</si>
  <si>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</si>
  <si>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</si>
  <si>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</si>
  <si>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</si>
  <si>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</si>
  <si>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</si>
  <si>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</si>
  <si>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</si>
  <si>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</si>
  <si>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</si>
  <si>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</si>
  <si>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</si>
  <si>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</si>
  <si>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</si>
  <si>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</si>
  <si>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</si>
  <si>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</si>
  <si>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</si>
  <si>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</si>
  <si>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</si>
  <si>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</si>
  <si>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</si>
  <si>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</si>
  <si>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</si>
  <si>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</si>
  <si>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</si>
  <si>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</si>
  <si>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</si>
  <si>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</si>
  <si>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</si>
  <si>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</si>
  <si>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</si>
  <si>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</si>
  <si>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</si>
  <si>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</si>
  <si>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</si>
  <si>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</si>
  <si>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</si>
  <si>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</si>
  <si>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</si>
  <si>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</si>
  <si>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</si>
  <si>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</si>
  <si>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</si>
  <si>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</si>
  <si>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</si>
  <si>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</si>
  <si>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</si>
  <si>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</si>
  <si>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</si>
  <si>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</si>
  <si>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</si>
  <si>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</si>
  <si>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</si>
  <si>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</si>
  <si>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</si>
  <si>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</si>
  <si>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</si>
  <si>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</si>
  <si>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</si>
  <si>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</si>
  <si>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</si>
  <si>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</si>
  <si>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</si>
  <si>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</si>
  <si>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</si>
  <si>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</si>
  <si>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</si>
  <si>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</si>
  <si>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</si>
  <si>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</si>
  <si>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</si>
  <si>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</si>
  <si>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</si>
  <si>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</si>
  <si>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</si>
  <si>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</si>
  <si>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</si>
  <si>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</si>
  <si>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</si>
  <si>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</si>
  <si>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</si>
  <si>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</si>
  <si>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</si>
  <si>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</si>
  <si>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</si>
  <si>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</si>
  <si>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</si>
  <si>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</si>
  <si>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</si>
  <si>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</si>
  <si>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</si>
  <si>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</si>
  <si>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</si>
  <si>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</si>
  <si>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</si>
  <si>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</si>
  <si>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</si>
  <si>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</si>
  <si>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</si>
  <si>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</si>
  <si>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</si>
  <si>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</si>
  <si>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</si>
  <si>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</si>
  <si>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</si>
  <si>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</si>
  <si>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</si>
  <si>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</si>
  <si>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</si>
  <si>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</si>
  <si>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</si>
  <si>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</si>
  <si>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</si>
  <si>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</si>
  <si>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</si>
  <si>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</si>
  <si>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</si>
  <si>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</si>
  <si>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</si>
  <si>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</si>
  <si>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</si>
  <si>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</si>
  <si>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</si>
  <si>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</si>
  <si>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</si>
  <si>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</si>
  <si>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</si>
  <si>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</si>
  <si>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</si>
  <si>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</si>
  <si>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</si>
  <si>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</si>
  <si>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</si>
  <si>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</si>
  <si>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</si>
  <si>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</si>
  <si>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</si>
  <si>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</si>
  <si>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</si>
  <si>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</si>
  <si>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</si>
  <si>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</si>
  <si>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</si>
  <si>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</si>
  <si>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</si>
  <si>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</si>
  <si>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</si>
  <si>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</si>
  <si>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</si>
  <si>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</si>
  <si>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</si>
  <si>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</si>
  <si>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</si>
  <si>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</si>
  <si>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</si>
  <si>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</si>
  <si>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</si>
  <si>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</si>
  <si>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</si>
  <si>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</si>
  <si>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</si>
  <si>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</si>
  <si>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</si>
  <si>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</si>
  <si>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</si>
  <si>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</si>
  <si>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</si>
  <si>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</si>
  <si>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</si>
  <si>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</si>
  <si>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</si>
  <si>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</si>
  <si>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</si>
  <si>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</si>
  <si>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</si>
  <si>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</si>
  <si>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</si>
  <si>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</si>
  <si>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</si>
  <si>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</si>
  <si>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</si>
  <si>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</si>
  <si>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</si>
  <si>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</si>
  <si>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</si>
  <si>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</si>
  <si>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</si>
  <si>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</si>
  <si>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</si>
  <si>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</si>
  <si>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</si>
  <si>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</si>
  <si>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</si>
  <si>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</si>
  <si>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</si>
  <si>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</si>
  <si>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</si>
  <si>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</si>
  <si>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</si>
  <si>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</si>
  <si>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</si>
  <si>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</si>
  <si>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</si>
  <si>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</si>
  <si>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</si>
  <si>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</si>
  <si>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</si>
  <si>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</si>
  <si>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</si>
  <si>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</si>
  <si>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</si>
  <si>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</si>
  <si>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</si>
  <si>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</si>
  <si>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</si>
  <si>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</si>
  <si>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</si>
  <si>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</si>
  <si>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</si>
  <si>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</si>
  <si>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</si>
  <si>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</si>
  <si>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</si>
  <si>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</si>
  <si>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</si>
  <si>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</si>
  <si>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</si>
  <si>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</si>
  <si>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</si>
  <si>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</si>
  <si>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</si>
  <si>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</si>
  <si>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</si>
  <si>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</si>
  <si>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</si>
  <si>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</si>
  <si>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</si>
  <si>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</si>
  <si>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</si>
  <si>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</si>
  <si>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</si>
  <si>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</si>
  <si>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</si>
  <si>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</si>
  <si>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</si>
  <si>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</si>
  <si>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</si>
  <si>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</si>
  <si>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</si>
  <si>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</si>
  <si>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</si>
  <si>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</si>
  <si>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</si>
  <si>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</si>
  <si>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</si>
  <si>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</si>
  <si>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</si>
  <si>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</si>
  <si>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</si>
  <si>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</si>
  <si>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</si>
  <si>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</si>
  <si>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</si>
  <si>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</si>
  <si>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</si>
  <si>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</si>
  <si>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</si>
  <si>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</si>
  <si>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</si>
  <si>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</si>
  <si>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</si>
  <si>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</si>
  <si>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</si>
  <si>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</si>
  <si>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</si>
  <si>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</si>
  <si>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</si>
  <si>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</si>
  <si>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</si>
  <si>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</si>
  <si>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</si>
  <si>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</si>
  <si>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</si>
  <si>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</si>
  <si>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</si>
  <si>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</si>
  <si>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</si>
  <si>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</si>
  <si>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</si>
  <si>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</si>
  <si>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</si>
  <si>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</si>
  <si>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</si>
  <si>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</si>
  <si>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</si>
  <si>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</si>
  <si>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</si>
  <si>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</si>
  <si>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</si>
  <si>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</si>
  <si>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</si>
  <si>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</si>
  <si>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</si>
  <si>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</si>
  <si>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</si>
  <si>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</si>
  <si>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</si>
  <si>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</si>
  <si>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</si>
  <si>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</si>
  <si>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</si>
  <si>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</si>
  <si>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</si>
  <si>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</si>
  <si>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</si>
  <si>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</si>
  <si>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</si>
  <si>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</si>
  <si>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</si>
  <si>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</si>
  <si>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</si>
  <si>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</si>
  <si>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</si>
  <si>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</si>
  <si>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</si>
  <si>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</si>
  <si>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</si>
  <si>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</si>
  <si>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</si>
  <si>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</si>
  <si>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</si>
  <si>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</si>
  <si>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</si>
  <si>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</si>
  <si>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</si>
  <si>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</si>
  <si>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</si>
  <si>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</si>
  <si>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</si>
  <si>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</si>
  <si>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</si>
  <si>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</si>
  <si>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</si>
  <si>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</si>
  <si>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</si>
  <si>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</si>
  <si>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</si>
  <si>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</si>
  <si>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</si>
  <si>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</si>
  <si>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</si>
  <si>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</si>
  <si>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</si>
  <si>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</si>
  <si>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</si>
  <si>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</si>
  <si>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</si>
  <si>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</si>
  <si>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</si>
  <si>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</si>
  <si>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</si>
  <si>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</si>
  <si>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</si>
  <si>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</si>
  <si>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</si>
  <si>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</si>
  <si>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</si>
  <si>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</si>
  <si>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</si>
  <si>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</si>
  <si>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</si>
  <si>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</si>
  <si>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</si>
  <si>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</si>
  <si>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</si>
  <si>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</si>
  <si>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</si>
  <si>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</si>
  <si>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</si>
  <si>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</si>
  <si>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</si>
  <si>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</si>
  <si>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</si>
  <si>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</si>
  <si>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</si>
  <si>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</si>
  <si>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</si>
  <si>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</si>
  <si>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</si>
  <si>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</si>
  <si>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</si>
  <si>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</si>
  <si>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</si>
  <si>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</si>
  <si>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</si>
  <si>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</si>
  <si>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</si>
  <si>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</si>
  <si>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</si>
  <si>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</si>
  <si>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</si>
  <si>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</si>
  <si>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</si>
  <si>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</si>
  <si>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</si>
  <si>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</si>
  <si>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</si>
  <si>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</si>
  <si>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</si>
  <si>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</si>
  <si>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</si>
  <si>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</si>
  <si>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</si>
  <si>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</si>
  <si>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</si>
  <si>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</si>
  <si>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</si>
  <si>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</si>
  <si>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</si>
  <si>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</si>
  <si>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</si>
  <si>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</si>
  <si>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</si>
  <si>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</si>
  <si>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</si>
  <si>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</si>
  <si>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</si>
  <si>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</si>
  <si>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</si>
  <si>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</si>
  <si>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</si>
  <si>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</si>
  <si>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</si>
  <si>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</si>
  <si>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</si>
  <si>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</si>
  <si>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</si>
  <si>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</si>
  <si>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</si>
  <si>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</si>
  <si>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</si>
  <si>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</si>
  <si>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</si>
  <si>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</si>
  <si>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</si>
  <si>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</si>
  <si>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</si>
  <si>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</si>
  <si>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</si>
  <si>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</si>
  <si>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</si>
  <si>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</si>
  <si>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</si>
  <si>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</si>
  <si>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</si>
  <si>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</si>
  <si>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</si>
  <si>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</si>
  <si>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</si>
  <si>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</si>
  <si>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</si>
  <si>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</si>
  <si>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</si>
  <si>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</si>
  <si>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</si>
  <si>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</si>
  <si>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</si>
  <si>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</si>
  <si>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</si>
  <si>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</si>
  <si>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</si>
  <si>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</si>
  <si>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</si>
  <si>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</si>
  <si>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</si>
  <si>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</si>
  <si>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</si>
  <si>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</si>
  <si>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</si>
  <si>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</si>
  <si>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</si>
  <si>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</si>
  <si>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</si>
  <si>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</si>
  <si>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</si>
  <si>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</si>
  <si>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</si>
  <si>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</si>
  <si>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</si>
  <si>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</si>
  <si>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</si>
  <si>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</si>
  <si>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</si>
  <si>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</si>
  <si>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</si>
  <si>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</si>
  <si>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</si>
  <si>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</si>
  <si>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</si>
  <si>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</si>
  <si>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</si>
  <si>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</si>
  <si>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</si>
  <si>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</si>
  <si>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</si>
  <si>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</si>
  <si>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</si>
  <si>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</si>
  <si>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</si>
  <si>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</si>
  <si>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</si>
  <si>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</si>
  <si>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</si>
  <si>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</si>
  <si>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</si>
  <si>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</si>
  <si>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</si>
  <si>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</si>
  <si>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</si>
  <si>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</si>
  <si>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</si>
  <si>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</si>
  <si>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</si>
  <si>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</si>
  <si>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</si>
  <si>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</si>
  <si>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</si>
  <si>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</si>
  <si>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</si>
  <si>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</si>
  <si>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</si>
  <si>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</si>
  <si>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</si>
  <si>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</si>
  <si>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</si>
  <si>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</si>
  <si>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</si>
  <si>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</si>
  <si>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</si>
  <si>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</si>
  <si>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</si>
  <si>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</si>
  <si>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</si>
  <si>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</si>
  <si>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</si>
  <si>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</si>
  <si>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</si>
  <si>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</si>
  <si>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</si>
  <si>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</si>
  <si>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</si>
  <si>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</si>
  <si>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</si>
  <si>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</si>
  <si>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</si>
  <si>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</si>
  <si>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</si>
  <si>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</si>
  <si>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</si>
  <si>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</si>
  <si>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</si>
  <si>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</si>
  <si>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</si>
  <si>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</si>
  <si>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</si>
  <si>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</si>
  <si>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</si>
  <si>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</si>
  <si>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</si>
  <si>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</si>
  <si>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</si>
  <si>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</si>
  <si>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</si>
  <si>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</si>
  <si>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</si>
  <si>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</si>
  <si>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</si>
  <si>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</si>
  <si>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</si>
  <si>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</si>
  <si>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</si>
  <si>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</si>
  <si>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</si>
  <si>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</si>
  <si>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</si>
  <si>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</si>
  <si>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</si>
  <si>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</si>
  <si>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</si>
  <si>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</si>
  <si>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</si>
  <si>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</si>
  <si>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</si>
  <si>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</si>
  <si>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</si>
  <si>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</si>
  <si>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</si>
  <si>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</si>
  <si>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</si>
  <si>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</si>
  <si>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</si>
  <si>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</si>
  <si>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</si>
  <si>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</si>
  <si>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</si>
  <si>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</si>
  <si>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</si>
  <si>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</si>
  <si>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</si>
  <si>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</si>
  <si>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</si>
  <si>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</si>
  <si>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</si>
  <si>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</si>
  <si>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</si>
  <si>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</si>
  <si>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</si>
  <si>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</si>
  <si>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</si>
  <si>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</si>
  <si>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</si>
  <si>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</si>
  <si>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</si>
  <si>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</si>
  <si>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</si>
  <si>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</si>
  <si>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</si>
  <si>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</si>
  <si>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</si>
  <si>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</si>
  <si>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</si>
  <si>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</si>
  <si>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</si>
  <si>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</si>
  <si>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</si>
  <si>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</si>
  <si>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</si>
  <si>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</si>
  <si>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</si>
  <si>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</si>
  <si>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</si>
  <si>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</si>
  <si>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</si>
  <si>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</si>
  <si>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</si>
  <si>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</si>
  <si>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</si>
  <si>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</si>
  <si>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</si>
  <si>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</si>
  <si>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</si>
  <si>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</si>
  <si>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</si>
  <si>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</si>
  <si>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</si>
  <si>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</si>
  <si>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</si>
  <si>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</si>
  <si>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</si>
  <si>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</si>
  <si>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</si>
  <si>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</si>
  <si>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</si>
  <si>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</si>
  <si>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</si>
  <si>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</si>
  <si>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</si>
  <si>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</si>
  <si>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</si>
  <si>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</si>
  <si>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</si>
  <si>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</si>
  <si>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</si>
  <si>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</si>
  <si>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</si>
  <si>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</si>
  <si>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</si>
  <si>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</si>
  <si>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</si>
  <si>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</si>
  <si>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</si>
  <si>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</si>
  <si>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</si>
  <si>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</si>
  <si>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</si>
  <si>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</si>
  <si>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</si>
  <si>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</si>
  <si>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</si>
  <si>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</si>
  <si>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</si>
  <si>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</si>
  <si>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</si>
  <si>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</si>
  <si>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</si>
  <si>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</si>
  <si>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</si>
  <si>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</si>
  <si>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</si>
  <si>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</si>
  <si>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</si>
  <si>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</si>
  <si>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</si>
  <si>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</si>
  <si>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</si>
  <si>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</si>
  <si>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</si>
  <si>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</si>
  <si>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</si>
  <si>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</si>
  <si>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</si>
  <si>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</si>
  <si>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</si>
  <si>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</si>
  <si>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</si>
  <si>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</si>
  <si>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</si>
  <si>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</si>
  <si>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</si>
  <si>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</si>
  <si>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</si>
  <si>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</si>
  <si>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</si>
  <si>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</si>
  <si>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</si>
  <si>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</si>
  <si>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</si>
  <si>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</si>
  <si>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</si>
  <si>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</si>
  <si>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</si>
  <si>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</si>
  <si>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</si>
  <si>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</si>
  <si>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</si>
  <si>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</si>
  <si>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</si>
  <si>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</si>
  <si>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</si>
  <si>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</si>
  <si>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</si>
  <si>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</si>
  <si>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</si>
  <si>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</si>
  <si>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</si>
  <si>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</si>
  <si>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</si>
  <si>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</si>
  <si>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</si>
  <si>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</si>
  <si>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</si>
  <si>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</si>
  <si>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</si>
  <si>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</si>
  <si>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</si>
  <si>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</si>
  <si>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</si>
  <si>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</si>
  <si>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</si>
  <si>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</si>
  <si>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</si>
  <si>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</si>
  <si>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</si>
  <si>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</si>
  <si>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</si>
  <si>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</si>
  <si>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</si>
  <si>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</si>
  <si>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</si>
  <si>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</si>
  <si>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</si>
  <si>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</si>
  <si>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</si>
  <si>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</si>
  <si>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</si>
  <si>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</si>
  <si>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</si>
  <si>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</si>
  <si>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</si>
  <si>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</si>
  <si>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</si>
  <si>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</si>
  <si>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</si>
  <si>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</si>
  <si>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</si>
  <si>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</si>
  <si>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</si>
  <si>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</si>
  <si>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</si>
  <si>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</si>
  <si>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</si>
  <si>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</si>
  <si>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</si>
  <si>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</si>
  <si>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</si>
  <si>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</si>
  <si>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</si>
  <si>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</si>
  <si>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</si>
  <si>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</si>
  <si>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</si>
  <si>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</si>
  <si>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</si>
  <si>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</si>
  <si>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</si>
  <si>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</si>
  <si>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</si>
  <si>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</si>
  <si>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</si>
  <si>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</si>
  <si>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</si>
  <si>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</si>
  <si>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</si>
  <si>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</si>
  <si>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</si>
  <si>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</si>
  <si>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</si>
  <si>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</si>
  <si>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</si>
  <si>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</si>
  <si>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</si>
  <si>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</si>
  <si>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</si>
  <si>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</si>
  <si>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</si>
  <si>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</si>
  <si>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</si>
  <si>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</si>
  <si>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</si>
  <si>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</si>
  <si>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</si>
  <si>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</si>
  <si>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</si>
  <si>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</si>
  <si>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</si>
  <si>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</si>
  <si>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</si>
  <si>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</si>
  <si>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</si>
  <si>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</si>
  <si>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</si>
  <si>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</si>
  <si>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</si>
  <si>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</si>
  <si>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</si>
  <si>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</si>
  <si>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</si>
  <si>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</si>
  <si>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</si>
  <si>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</si>
  <si>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</si>
  <si>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</si>
  <si>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</si>
  <si>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</si>
  <si>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</si>
  <si>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</si>
  <si>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</si>
  <si>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</si>
  <si>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</si>
  <si>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</si>
  <si>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</si>
  <si>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</si>
  <si>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</si>
  <si>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</si>
  <si>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</si>
  <si>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</si>
  <si>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</si>
  <si>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</si>
  <si>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</si>
  <si>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</si>
  <si>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</si>
  <si>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</si>
  <si>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</si>
  <si>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</si>
  <si>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</si>
  <si>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</si>
  <si>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</si>
  <si>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</si>
  <si>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</si>
  <si>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</si>
  <si>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</si>
  <si>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</si>
  <si>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</si>
  <si>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</si>
  <si>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</si>
  <si>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</si>
  <si>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</si>
  <si>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</si>
  <si>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</si>
  <si>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</si>
  <si>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</si>
  <si>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</si>
  <si>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</si>
  <si>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</si>
  <si>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</si>
  <si>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</si>
  <si>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</si>
  <si>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</si>
  <si>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</si>
  <si>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</si>
  <si>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</si>
  <si>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</si>
  <si>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</si>
  <si>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</si>
  <si>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</si>
  <si>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</si>
  <si>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</si>
  <si>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</si>
  <si>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</si>
  <si>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</si>
  <si>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</si>
  <si>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</si>
  <si>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</si>
  <si>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</si>
  <si>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</si>
  <si>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</si>
  <si>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</si>
  <si>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</si>
  <si>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</si>
  <si>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</si>
  <si>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</si>
  <si>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</si>
  <si>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</si>
  <si>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</si>
  <si>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</si>
  <si>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</si>
  <si>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</si>
  <si>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</si>
  <si>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</si>
  <si>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</si>
  <si>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</si>
  <si>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</si>
  <si>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</si>
  <si>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</si>
  <si>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</si>
  <si>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</si>
  <si>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</si>
  <si>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</si>
  <si>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</si>
  <si>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</si>
  <si>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</si>
  <si>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</si>
  <si>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</si>
  <si>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</si>
  <si>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</si>
  <si>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</si>
  <si>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</si>
  <si>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</si>
  <si>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</si>
  <si>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</si>
  <si>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</si>
  <si>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</si>
  <si>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</si>
  <si>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</si>
  <si>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</si>
  <si>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</si>
  <si>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</si>
  <si>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</si>
  <si>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</si>
  <si>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</si>
  <si>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</si>
  <si>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</si>
  <si>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</si>
  <si>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</si>
  <si>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</si>
  <si>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</si>
  <si>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</si>
  <si>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</si>
  <si>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</si>
  <si>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</si>
  <si>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</si>
  <si>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</si>
  <si>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</si>
  <si>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</si>
  <si>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</si>
  <si>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</si>
  <si>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</si>
  <si>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</si>
  <si>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</si>
  <si>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</si>
  <si>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</si>
  <si>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</si>
  <si>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</si>
  <si>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</si>
  <si>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</si>
  <si>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</si>
  <si>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</si>
  <si>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</si>
  <si>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</si>
  <si>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</si>
  <si>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</si>
  <si>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</si>
  <si>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</si>
  <si>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</si>
  <si>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</si>
  <si>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</si>
  <si>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</si>
  <si>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</si>
  <si>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</si>
  <si>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</si>
  <si>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</si>
  <si>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</si>
  <si>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</si>
  <si>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</si>
  <si>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</si>
  <si>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</si>
  <si>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</si>
  <si>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</si>
  <si>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</si>
  <si>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</si>
  <si>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</si>
  <si>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</si>
  <si>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</si>
  <si>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</si>
  <si>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</si>
  <si>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</si>
  <si>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</si>
  <si>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</si>
  <si>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</si>
  <si>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</si>
  <si>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</si>
  <si>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</si>
  <si>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</si>
  <si>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</si>
  <si>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</si>
  <si>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</si>
  <si>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</si>
  <si>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</si>
  <si>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</si>
  <si>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</si>
  <si>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</si>
  <si>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</si>
  <si>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</si>
  <si>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</si>
  <si>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</si>
  <si>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</si>
  <si>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</si>
  <si>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</si>
  <si>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</si>
  <si>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</si>
  <si>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</si>
  <si>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</si>
  <si>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</si>
  <si>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</si>
  <si>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</si>
  <si>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</si>
  <si>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</si>
  <si>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</si>
  <si>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</si>
  <si>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</si>
  <si>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</si>
  <si>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</si>
  <si>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</si>
  <si>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</si>
  <si>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</si>
  <si>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</si>
  <si>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</si>
  <si>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</si>
  <si>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</si>
  <si>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</si>
  <si>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</si>
  <si>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</si>
  <si>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</si>
  <si>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</si>
  <si>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</si>
  <si>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</si>
  <si>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</si>
  <si>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</si>
  <si>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</si>
  <si>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</si>
  <si>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</si>
  <si>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</si>
  <si>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</si>
  <si>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</si>
  <si>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</si>
  <si>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</si>
  <si>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</si>
  <si>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</si>
  <si>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</si>
  <si>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</si>
  <si>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</si>
  <si>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</si>
  <si>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</si>
  <si>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</si>
  <si>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</si>
  <si>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</si>
  <si>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</si>
  <si>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</si>
  <si>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</si>
  <si>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</si>
  <si>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</si>
  <si>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</si>
  <si>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</si>
  <si>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</si>
  <si>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</si>
  <si>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</si>
  <si>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</si>
  <si>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</si>
  <si>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</si>
  <si>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</si>
  <si>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</si>
  <si>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</si>
  <si>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</si>
  <si>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</si>
  <si>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</si>
  <si>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</si>
  <si>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</si>
  <si>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</si>
  <si>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</si>
  <si>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</si>
  <si>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</si>
  <si>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</si>
  <si>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</si>
  <si>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</si>
  <si>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</si>
  <si>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</si>
  <si>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</si>
  <si>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</si>
  <si>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</si>
  <si>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</si>
  <si>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</si>
  <si>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</si>
  <si>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</si>
  <si>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</si>
  <si>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</si>
  <si>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</si>
  <si>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</si>
  <si>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</si>
  <si>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</si>
  <si>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</si>
  <si>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</si>
  <si>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</si>
  <si>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</si>
  <si>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</si>
  <si>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</si>
  <si>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</si>
  <si>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</si>
  <si>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</si>
  <si>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</si>
  <si>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</si>
  <si>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</si>
  <si>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</si>
  <si>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</si>
  <si>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</si>
  <si>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</si>
  <si>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</si>
  <si>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</si>
  <si>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</si>
  <si>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</si>
  <si>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</si>
  <si>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</si>
  <si>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</si>
  <si>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</si>
  <si>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</si>
  <si>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</si>
  <si>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</si>
  <si>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</si>
  <si>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</si>
  <si>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</si>
  <si>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</si>
  <si>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</si>
  <si>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</si>
  <si>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</si>
  <si>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</si>
  <si>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</si>
  <si>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</si>
  <si>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</si>
  <si>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</si>
  <si>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</si>
  <si>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</si>
  <si>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</si>
  <si>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</si>
  <si>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</si>
  <si>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</si>
  <si>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</si>
  <si>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</si>
  <si>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</si>
  <si>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</si>
  <si>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</si>
  <si>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</si>
  <si>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</si>
  <si>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</si>
  <si>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</si>
  <si>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</si>
  <si>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</si>
  <si>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</si>
  <si>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</si>
  <si>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</si>
  <si>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</si>
  <si>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</si>
  <si>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</si>
  <si>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</si>
  <si>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</si>
  <si>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</si>
  <si>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</si>
  <si>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</si>
  <si>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</si>
  <si>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</si>
  <si>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</si>
  <si>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</si>
  <si>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</si>
  <si>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</si>
  <si>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</si>
  <si>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</si>
  <si>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</si>
  <si>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</si>
  <si>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</si>
  <si>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</si>
  <si>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</si>
  <si>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</si>
  <si>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</si>
  <si>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</si>
  <si>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</si>
  <si>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</si>
  <si>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</si>
  <si>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</si>
  <si>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</si>
  <si>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</si>
  <si>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</si>
  <si>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</si>
  <si>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</si>
  <si>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</si>
  <si>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</si>
  <si>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</si>
  <si>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</si>
  <si>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</si>
  <si>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</si>
  <si>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</si>
  <si>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</si>
  <si>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</si>
  <si>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</si>
  <si>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</si>
  <si>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</si>
  <si>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</si>
  <si>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</si>
  <si>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</si>
  <si>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</si>
  <si>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</si>
  <si>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</si>
  <si>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</si>
  <si>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</si>
  <si>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</si>
  <si>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</si>
  <si>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</si>
  <si>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</si>
  <si>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</si>
  <si>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</si>
  <si>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</si>
  <si>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</si>
  <si>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</si>
  <si>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</si>
  <si>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</si>
  <si>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</si>
  <si>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</si>
  <si>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</si>
  <si>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</si>
  <si>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</si>
  <si>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</si>
  <si>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</si>
  <si>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</si>
  <si>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</si>
  <si>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</si>
  <si>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</si>
  <si>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</si>
  <si>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</si>
  <si>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</si>
  <si>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</si>
  <si>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</si>
  <si>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</si>
  <si>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</si>
  <si>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</si>
  <si>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</si>
  <si>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</si>
  <si>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</si>
  <si>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</si>
  <si>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</si>
  <si>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</si>
  <si>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</si>
  <si>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</si>
  <si>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</si>
  <si>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</si>
  <si>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</si>
  <si>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</si>
  <si>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</si>
  <si>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</si>
  <si>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</si>
  <si>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</si>
  <si>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</si>
  <si>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</si>
  <si>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</si>
  <si>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</si>
  <si>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</si>
  <si>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</si>
  <si>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</si>
  <si>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</si>
  <si>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</si>
  <si>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</si>
  <si>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</si>
  <si>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</si>
  <si>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</si>
  <si>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</si>
  <si>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</si>
  <si>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</si>
  <si>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</si>
  <si>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</si>
  <si>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</si>
  <si>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</si>
  <si>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</si>
  <si>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</si>
  <si>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</si>
  <si>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</si>
  <si>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</si>
  <si>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</si>
  <si>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</si>
  <si>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</si>
  <si>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</si>
  <si>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</si>
  <si>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</si>
  <si>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</si>
  <si>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</si>
  <si>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</si>
  <si>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</si>
  <si>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</si>
  <si>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</si>
  <si>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</si>
  <si>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</si>
  <si>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</si>
  <si>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</si>
  <si>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</si>
  <si>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</si>
  <si>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</si>
  <si>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</si>
  <si>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</si>
  <si>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</si>
  <si>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</si>
  <si>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</si>
  <si>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</si>
  <si>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</si>
  <si>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</si>
  <si>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</si>
  <si>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</si>
  <si>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</si>
  <si>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</si>
  <si>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</si>
  <si>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</si>
  <si>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</si>
  <si>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</si>
  <si>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</si>
  <si>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</si>
  <si>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</si>
  <si>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</si>
  <si>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</si>
  <si>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</si>
  <si>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</si>
  <si>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</si>
  <si>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</si>
  <si>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</si>
  <si>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</si>
  <si>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</si>
  <si>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</si>
  <si>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</si>
  <si>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</si>
  <si>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</si>
  <si>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</si>
  <si>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</si>
  <si>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</si>
  <si>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</si>
  <si>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</si>
  <si>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</si>
  <si>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</si>
  <si>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</si>
  <si>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</si>
  <si>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</si>
  <si>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</si>
  <si>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</si>
  <si>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</si>
  <si>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</si>
  <si>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</si>
  <si>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</si>
  <si>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</si>
  <si>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</si>
  <si>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</si>
  <si>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</si>
  <si>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</si>
  <si>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</si>
  <si>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</si>
  <si>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</si>
  <si>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</si>
  <si>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</si>
  <si>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</si>
  <si>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</si>
  <si>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</si>
  <si>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</si>
  <si>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</si>
  <si>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</si>
  <si>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</si>
  <si>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</si>
  <si>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</si>
  <si>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</si>
  <si>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</si>
  <si>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</si>
  <si>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</si>
  <si>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</si>
  <si>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</si>
  <si>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</si>
  <si>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</si>
  <si>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</si>
  <si>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</si>
  <si>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</si>
  <si>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</si>
  <si>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</si>
  <si>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</si>
  <si>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</si>
  <si>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</si>
  <si>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</si>
  <si>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</si>
  <si>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</si>
  <si>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</si>
  <si>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</si>
  <si>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</si>
  <si>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</si>
  <si>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</si>
  <si>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</si>
  <si>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</si>
  <si>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</si>
  <si>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</si>
  <si>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</si>
  <si>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</si>
  <si>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</si>
  <si>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</si>
  <si>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</si>
  <si>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</si>
  <si>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</si>
  <si>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</si>
  <si>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</si>
  <si>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</si>
  <si>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</si>
  <si>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</si>
  <si>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</si>
  <si>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</si>
  <si>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</si>
  <si>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</si>
  <si>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</si>
  <si>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</si>
  <si>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</si>
  <si>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</si>
  <si>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</si>
  <si>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</si>
  <si>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</si>
  <si>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</si>
  <si>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</si>
  <si>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</si>
  <si>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</si>
  <si>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</si>
  <si>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</si>
  <si>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</si>
  <si>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</si>
  <si>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</si>
  <si>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</si>
  <si>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</si>
  <si>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</si>
  <si>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</si>
  <si>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</si>
  <si>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</si>
  <si>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</si>
  <si>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</si>
  <si>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</si>
  <si>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</si>
  <si>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</si>
  <si>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</si>
  <si>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</si>
  <si>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</si>
  <si>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</si>
  <si>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</si>
  <si>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</si>
  <si>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</si>
  <si>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</si>
  <si>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</si>
  <si>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</si>
  <si>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</si>
  <si>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</si>
  <si>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</si>
  <si>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</si>
  <si>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</si>
  <si>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</si>
  <si>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</si>
  <si>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</si>
  <si>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</si>
  <si>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</si>
  <si>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</si>
  <si>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</si>
  <si>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</si>
  <si>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</si>
  <si>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</si>
  <si>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</si>
  <si>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</si>
  <si>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</si>
  <si>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</si>
  <si>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</si>
  <si>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</si>
  <si>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</si>
  <si>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</si>
  <si>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</si>
  <si>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</si>
  <si>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</si>
  <si>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</si>
  <si>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</si>
  <si>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</si>
  <si>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</si>
  <si>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</si>
  <si>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</si>
  <si>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</si>
  <si>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</si>
  <si>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</si>
  <si>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</si>
  <si>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</si>
  <si>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</si>
  <si>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</si>
  <si>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</si>
  <si>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</si>
  <si>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</si>
  <si>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</si>
  <si>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</si>
  <si>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</si>
  <si>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</si>
  <si>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</si>
  <si>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</si>
  <si>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</si>
  <si>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</si>
  <si>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</si>
  <si>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</si>
  <si>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</si>
  <si>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</si>
  <si>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</si>
  <si>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</si>
  <si>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</si>
  <si>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</si>
  <si>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</si>
  <si>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</si>
  <si>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</si>
  <si>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</si>
  <si>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</si>
  <si>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</si>
  <si>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</si>
  <si>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</si>
  <si>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</si>
  <si>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</si>
  <si>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</si>
  <si>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</si>
  <si>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</si>
  <si>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</si>
  <si>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</si>
  <si>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</si>
  <si>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</si>
  <si>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</si>
  <si>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</si>
  <si>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</si>
  <si>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</si>
  <si>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</si>
  <si>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</si>
  <si>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</si>
  <si>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</si>
  <si>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</si>
  <si>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</si>
  <si>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</si>
  <si>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</si>
  <si>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</si>
  <si>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</si>
  <si>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</si>
  <si>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</si>
  <si>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</si>
  <si>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</si>
  <si>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</si>
  <si>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</si>
  <si>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</si>
  <si>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</si>
  <si>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</si>
  <si>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</si>
  <si>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</si>
  <si>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</si>
  <si>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</si>
  <si>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</si>
  <si>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</si>
  <si>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</si>
  <si>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</si>
  <si>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</si>
  <si>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</si>
  <si>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</si>
  <si>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</si>
  <si>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</si>
  <si>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</si>
  <si>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</si>
  <si>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</si>
  <si>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</si>
  <si>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</si>
  <si>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</si>
  <si>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</si>
  <si>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</si>
  <si>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</si>
  <si>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</si>
  <si>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</si>
  <si>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</si>
  <si>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</si>
  <si>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</si>
  <si>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</si>
  <si>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</si>
  <si>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</si>
  <si>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</si>
  <si>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</si>
  <si>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</si>
  <si>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</si>
  <si>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</si>
  <si>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</si>
  <si>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</si>
  <si>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</si>
  <si>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</si>
  <si>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</si>
  <si>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</si>
  <si>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</si>
  <si>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</si>
  <si>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</si>
  <si>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</si>
  <si>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</si>
  <si>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</si>
  <si>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</si>
  <si>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</si>
  <si>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</si>
  <si>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</si>
  <si>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</si>
  <si>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</si>
  <si>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</si>
  <si>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</si>
  <si>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</si>
  <si>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</si>
  <si>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</si>
  <si>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</si>
  <si>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</si>
  <si>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</si>
  <si>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</si>
  <si>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</si>
  <si>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</si>
  <si>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</si>
  <si>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</si>
  <si>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</si>
  <si>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</si>
  <si>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</si>
  <si>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</si>
  <si>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</si>
  <si>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</si>
  <si>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</si>
  <si>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</si>
  <si>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</si>
  <si>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</si>
  <si>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</si>
  <si>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</si>
  <si>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</si>
  <si>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</si>
  <si>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</si>
  <si>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</si>
  <si>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</si>
  <si>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</si>
  <si>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</si>
  <si>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</si>
  <si>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</si>
  <si>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</si>
  <si>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</si>
  <si>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</si>
  <si>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</si>
  <si>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</si>
  <si>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</si>
  <si>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</si>
  <si>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</si>
  <si>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</si>
  <si>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</si>
  <si>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</si>
  <si>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</si>
  <si>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</si>
  <si>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</si>
  <si>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</si>
  <si>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</si>
  <si>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</si>
  <si>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</si>
  <si>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</si>
  <si>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</si>
  <si>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</si>
  <si>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</si>
  <si>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</si>
  <si>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</si>
  <si>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</si>
  <si>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</si>
  <si>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</si>
  <si>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</si>
  <si>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</si>
  <si>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</si>
  <si>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</si>
  <si>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</si>
  <si>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</si>
  <si>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</si>
  <si>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</si>
  <si>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</si>
  <si>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</si>
  <si>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</si>
  <si>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</si>
  <si>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</si>
  <si>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</si>
  <si>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</si>
  <si>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</si>
  <si>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</si>
  <si>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</si>
  <si>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</si>
  <si>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</si>
  <si>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</si>
  <si>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</si>
  <si>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</si>
  <si>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</si>
  <si>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</si>
  <si>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</si>
  <si>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</si>
  <si>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</si>
  <si>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</si>
  <si>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</si>
  <si>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</si>
  <si>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</si>
  <si>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</si>
  <si>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</si>
  <si>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</si>
  <si>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</si>
  <si>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</si>
  <si>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</si>
  <si>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</si>
  <si>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</si>
  <si>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</si>
  <si>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</si>
  <si>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</si>
  <si>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</si>
  <si>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</si>
  <si>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</si>
  <si>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</si>
  <si>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</si>
  <si>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</si>
  <si>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</si>
  <si>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</si>
  <si>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</si>
  <si>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</si>
  <si>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</si>
  <si>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</si>
  <si>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</si>
  <si>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</si>
  <si>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</si>
  <si>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</si>
  <si>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</si>
  <si>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</si>
  <si>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</si>
  <si>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</si>
  <si>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</si>
  <si>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</si>
  <si>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</si>
  <si>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</si>
  <si>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</si>
  <si>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</si>
  <si>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</si>
  <si>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</si>
  <si>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</si>
  <si>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</si>
  <si>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</si>
  <si>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</si>
  <si>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</si>
  <si>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</si>
  <si>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</si>
  <si>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</si>
  <si>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</si>
  <si>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</si>
  <si>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</si>
  <si>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</si>
  <si>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</si>
  <si>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</si>
  <si>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</si>
  <si>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</si>
  <si>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</si>
  <si>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</si>
  <si>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</si>
  <si>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</si>
  <si>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</si>
  <si>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</si>
  <si>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</si>
  <si>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</si>
  <si>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</si>
  <si>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</si>
  <si>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</si>
  <si>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</si>
  <si>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</si>
  <si>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</si>
  <si>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</si>
  <si>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</si>
  <si>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</si>
  <si>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</si>
  <si>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</si>
  <si>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</si>
  <si>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</si>
  <si>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</si>
  <si>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</si>
  <si>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</si>
  <si>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</si>
  <si>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</si>
  <si>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</si>
  <si>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</si>
  <si>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</si>
  <si>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</si>
  <si>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</si>
  <si>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</si>
  <si>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</si>
  <si>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</si>
  <si>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</si>
  <si>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</si>
  <si>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</si>
  <si>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</si>
  <si>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</si>
  <si>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</si>
  <si>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</si>
  <si>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</si>
  <si>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</si>
  <si>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</si>
  <si>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</si>
  <si>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</si>
  <si>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</si>
  <si>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</si>
  <si>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</si>
  <si>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</si>
  <si>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</si>
  <si>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</si>
  <si>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</si>
  <si>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</si>
  <si>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</si>
  <si>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</si>
  <si>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</si>
  <si>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</si>
  <si>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</si>
  <si>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</si>
  <si>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</si>
  <si>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</si>
  <si>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</si>
  <si>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</si>
  <si>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</si>
  <si>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</si>
  <si>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</si>
  <si>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</si>
  <si>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</si>
  <si>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</si>
  <si>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</si>
  <si>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</si>
  <si>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</si>
  <si>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</si>
  <si>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</si>
  <si>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</si>
  <si>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</si>
  <si>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</si>
  <si>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</si>
  <si>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</si>
  <si>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</si>
  <si>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</si>
  <si>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</si>
  <si>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</si>
  <si>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</si>
  <si>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</si>
  <si>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</si>
  <si>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</si>
  <si>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</si>
  <si>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</si>
  <si>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</si>
  <si>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</si>
  <si>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</si>
  <si>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</si>
  <si>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</si>
  <si>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</si>
  <si>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</si>
  <si>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</si>
  <si>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</si>
  <si>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</si>
  <si>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</si>
  <si>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</si>
  <si>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</si>
  <si>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</si>
  <si>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</si>
  <si>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</si>
  <si>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</si>
  <si>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</si>
  <si>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</si>
  <si>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</si>
  <si>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</si>
  <si>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</si>
  <si>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</si>
  <si>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</si>
  <si>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</si>
  <si>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</si>
  <si>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</si>
  <si>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</si>
  <si>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</si>
  <si>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</si>
  <si>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</si>
  <si>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</si>
  <si>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</si>
  <si>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</si>
  <si>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</si>
  <si>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</si>
  <si>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</si>
  <si>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</si>
  <si>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</si>
  <si>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</si>
  <si>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</si>
  <si>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</si>
  <si>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</si>
  <si>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</si>
  <si>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</si>
  <si>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</si>
  <si>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</si>
  <si>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</si>
  <si>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</si>
  <si>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</si>
  <si>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</si>
  <si>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</si>
  <si>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</si>
  <si>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</si>
  <si>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</si>
  <si>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</si>
  <si>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</si>
  <si>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</si>
  <si>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</si>
  <si>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</si>
  <si>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</si>
  <si>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</si>
  <si>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</si>
  <si>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</si>
  <si>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</si>
  <si>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</si>
  <si>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</si>
  <si>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</si>
  <si>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</si>
  <si>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</si>
  <si>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</si>
  <si>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</si>
  <si>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</si>
  <si>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</si>
  <si>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</si>
  <si>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</si>
  <si>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</si>
  <si>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</si>
  <si>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</si>
  <si>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</si>
  <si>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</si>
  <si>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</si>
  <si>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</si>
  <si>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</si>
  <si>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</si>
  <si>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</si>
  <si>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</si>
  <si>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</si>
  <si>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</si>
  <si>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</si>
  <si>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</si>
  <si>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</si>
  <si>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</si>
  <si>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</si>
  <si>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</si>
  <si>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</si>
  <si>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</si>
  <si>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</si>
  <si>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</si>
  <si>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</si>
  <si>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</si>
  <si>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</si>
  <si>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</si>
  <si>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</si>
  <si>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</si>
  <si>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</si>
  <si>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</si>
  <si>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</si>
  <si>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</si>
  <si>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</si>
  <si>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</si>
  <si>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</si>
  <si>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</si>
  <si>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</si>
  <si>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</si>
  <si>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</si>
  <si>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</si>
  <si>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</si>
  <si>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</si>
  <si>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</si>
  <si>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</si>
  <si>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</si>
  <si>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</si>
  <si>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</si>
  <si>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</si>
  <si>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</si>
  <si>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</si>
  <si>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</si>
  <si>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</si>
  <si>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</si>
  <si>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</si>
  <si>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</si>
  <si>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</si>
  <si>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</si>
  <si>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</si>
  <si>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</si>
  <si>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</si>
  <si>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</si>
  <si>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</si>
  <si>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</si>
  <si>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</si>
  <si>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</si>
  <si>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</si>
  <si>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</si>
  <si>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</si>
  <si>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</si>
  <si>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</si>
  <si>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</si>
  <si>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</si>
  <si>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</si>
  <si>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</si>
  <si>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</si>
  <si>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</si>
  <si>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</si>
  <si>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</si>
  <si>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</si>
  <si>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</si>
  <si>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</si>
  <si>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</si>
  <si>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</si>
  <si>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</si>
  <si>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</si>
  <si>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</si>
  <si>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</si>
  <si>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</si>
  <si>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</si>
  <si>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</si>
  <si>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</si>
  <si>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</si>
  <si>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</si>
  <si>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</si>
  <si>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</si>
  <si>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</si>
  <si>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</si>
  <si>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</si>
  <si>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</si>
  <si>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</si>
  <si>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</si>
  <si>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</si>
  <si>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</si>
  <si>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</si>
  <si>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</si>
  <si>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</si>
  <si>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</si>
  <si>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</si>
  <si>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</si>
  <si>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</si>
  <si>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</si>
  <si>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</si>
  <si>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</si>
  <si>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</si>
  <si>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</si>
  <si>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</si>
  <si>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</si>
  <si>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</si>
  <si>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</si>
  <si>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</si>
  <si>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</si>
  <si>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</si>
  <si>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</si>
  <si>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</si>
  <si>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</si>
  <si>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</si>
  <si>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</si>
  <si>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</si>
  <si>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</si>
  <si>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</si>
  <si>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</si>
  <si>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</si>
  <si>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</si>
  <si>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</si>
  <si>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</si>
  <si>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</si>
  <si>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</si>
  <si>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</si>
  <si>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</si>
  <si>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</si>
  <si>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</si>
  <si>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</si>
  <si>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</si>
  <si>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</si>
  <si>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</si>
  <si>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</si>
  <si>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</si>
  <si>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</si>
  <si>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</si>
  <si>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</si>
  <si>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</si>
  <si>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</si>
  <si>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</si>
  <si>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</si>
  <si>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</si>
  <si>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</si>
  <si>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</si>
  <si>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</si>
  <si>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</si>
  <si>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</si>
  <si>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</si>
  <si>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</si>
  <si>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</si>
  <si>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</si>
  <si>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</si>
  <si>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</si>
  <si>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</si>
  <si>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</si>
  <si>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</si>
  <si>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</si>
  <si>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</si>
  <si>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</si>
  <si>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</si>
  <si>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</si>
  <si>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</si>
  <si>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</si>
  <si>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</si>
  <si>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</si>
  <si>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</si>
  <si>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</si>
  <si>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</si>
  <si>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</si>
  <si>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</si>
  <si>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</si>
  <si>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</si>
  <si>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</si>
  <si>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</si>
  <si>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</si>
  <si>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</si>
  <si>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</si>
  <si>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</si>
  <si>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</si>
  <si>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</si>
  <si>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</si>
  <si>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</si>
  <si>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</si>
  <si>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</si>
  <si>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</si>
  <si>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</si>
  <si>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</si>
  <si>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</si>
  <si>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</si>
  <si>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</si>
  <si>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</si>
  <si>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</si>
  <si>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</si>
  <si>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</si>
  <si>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</si>
  <si>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</si>
  <si>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</si>
  <si>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</si>
  <si>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</si>
  <si>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</si>
  <si>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</si>
  <si>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</si>
  <si>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</si>
  <si>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</si>
  <si>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</si>
  <si>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</si>
  <si>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</si>
  <si>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</si>
  <si>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</si>
  <si>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</si>
  <si>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</si>
  <si>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</si>
  <si>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</si>
  <si>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</si>
  <si>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</si>
  <si>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</si>
  <si>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</si>
  <si>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</si>
  <si>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</si>
  <si>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</si>
  <si>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</si>
  <si>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</si>
  <si>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</si>
  <si>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</si>
  <si>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</si>
  <si>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自然人</t>
  </si>
  <si>
    <t>不临65条商业街</t>
  </si>
  <si>
    <t>与级别开发程度不一致</t>
  </si>
  <si>
    <t>通路</t>
  </si>
  <si>
    <t>通电</t>
  </si>
  <si>
    <t>通讯</t>
  </si>
  <si>
    <t>通上水</t>
  </si>
  <si>
    <t>通下水</t>
  </si>
  <si>
    <t>平整</t>
  </si>
  <si>
    <t>是</t>
  </si>
  <si>
    <t>地上</t>
  </si>
  <si>
    <t>商业</t>
    <phoneticPr fontId="7" type="noConversion"/>
  </si>
  <si>
    <t>成新度</t>
  </si>
  <si>
    <t>收益法 (元)</t>
  </si>
  <si>
    <t>未包含在土地购买价格中</t>
  </si>
  <si>
    <t>已包含在土地取得成本中</t>
  </si>
  <si>
    <t>押一</t>
  </si>
  <si>
    <t>否</t>
  </si>
  <si>
    <t>钢混</t>
  </si>
  <si>
    <t>非生产用房</t>
  </si>
  <si>
    <t>成本法 (元)</t>
  </si>
  <si>
    <t>楼面单价</t>
  </si>
  <si>
    <t>自定义</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</si>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</sst>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估价对象为北京市房地产，为所有。根据《国有土地使用证》[]，估价对象（分摊）出让国有建设用地使用权面积为0平方米，建筑面积为234.93平方米。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估价对象为北京市房地产,属开发建设的，该项目尚在开发建设中。根据《国有土地使用证》[]，估价对象（分摊）出让国有建设用地使用权面积为0平方米，规划建筑面积为234.93平方米。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2024年1月11日</v>
      </c>
    </row>
    <row r="13" spans="1:2" s="1203" customFormat="1">
      <c r="A13" s="1201" t="s">
        <v>529</v>
      </c>
      <c r="B13" s="1202" t="str">
        <f>'预评函-1'!A18</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480</v>
      </c>
    </row>
    <row r="21" spans="1:2" s="1203" customFormat="1">
      <c r="A21" s="1201" t="s">
        <v>537</v>
      </c>
      <c r="B21" s="1202">
        <f ca="1">'预评函-2'!D7</f>
        <v>20441</v>
      </c>
    </row>
    <row r="22" spans="1:2" s="1203" customFormat="1">
      <c r="A22" s="1201" t="s">
        <v>538</v>
      </c>
      <c r="B22" s="1202" t="str">
        <f ca="1">'预评函-2'!D6</f>
        <v>肆佰捌拾万元整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480</v>
      </c>
    </row>
    <row r="31" spans="1:2" s="1203" customFormat="1">
      <c r="A31" s="1201" t="s">
        <v>576</v>
      </c>
      <c r="B31" s="1202">
        <f ca="1">'预评函-2'!D15</f>
        <v>20441</v>
      </c>
    </row>
    <row r="32" spans="1:2" s="1203" customFormat="1">
      <c r="A32" s="1201" t="s">
        <v>543</v>
      </c>
      <c r="B32" s="1202" t="str">
        <f ca="1">'预评函-2'!D14</f>
        <v>肆佰捌拾万元整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234.93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45302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2.93</v>
      </c>
      <c r="D5" s="3025">
        <f>IF(ISERROR(ROUND(POWER(1+E5,A5-C5)*(POWER(1+E5,C5)-1)/(POWER(1+E5,A5)-1),3)),0,ROUND(POWER(1+E5,A5-C5)*(POWER(1+E5,C5)-1)/(POWER(1+E5,A5)-1),4))</f>
        <v>0.1371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12.94</v>
      </c>
      <c r="D6" s="3025">
        <f>IF(ISERROR(ROUND(POWER(1+E6,A6-C6)*(POWER(1+E6,C6)-1)/(POWER(1+E6,A6)-1),3)),0,ROUND(POWER(1+E6,A6-C6)*(POWER(1+E6,C6)-1)/(POWER(1+E6,A6)-1),4))</f>
        <v>0.4632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32.96</v>
      </c>
      <c r="D7" s="3025">
        <f>IF(ISERROR(ROUND(POWER(1+E7,A7-C7)*(POWER(1+E7,C7)-1)/(POWER(1+E7,A7)-1),3)),0,ROUND(POWER(1+E7,A7-C7)*(POWER(1+E7,C7)-1)/(POWER(1+E7,A7)-1),4))</f>
        <v>0.77529999999999999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4" sqref="E4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45302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494"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495"/>
      <c r="E9" s="2394"/>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v>51874</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234.93</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303</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233</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234.93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234.93</v>
      </c>
      <c r="H5" s="13">
        <f t="shared" ref="H5:AT5" si="0">SUM(H13:H656)</f>
        <v>234.93</v>
      </c>
      <c r="I5" s="13">
        <f t="shared" si="0"/>
        <v>234.93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234.93</v>
      </c>
      <c r="BA5" s="15">
        <f t="shared" si="1"/>
        <v>234.93</v>
      </c>
      <c r="BB5" s="15">
        <f t="shared" si="1"/>
        <v>234.93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3394</v>
      </c>
      <c r="E13" s="13">
        <f>IF($C$3="是",ROUND($A$3*G13/$B$3,2),ROUND($A$3*(G13-AT13)/$B$3,2))</f>
        <v>0</v>
      </c>
      <c r="F13" s="29"/>
      <c r="G13" s="30">
        <f>H13+AC13+AT13</f>
        <v>234.93</v>
      </c>
      <c r="H13" s="17">
        <f>SUMIF(I$12:AB$12,"总值",I13:AB13)</f>
        <v>234.93</v>
      </c>
      <c r="I13" s="1626">
        <v>234.93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234.93</v>
      </c>
      <c r="BA13" s="13">
        <f>SUM(BB13:BK13)</f>
        <v>234.93</v>
      </c>
      <c r="BB13" s="13">
        <f>IF($D13="是",I13-J13,0)</f>
        <v>234.93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4" sqref="G44"/>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0</v>
      </c>
      <c r="E3" s="43">
        <f>'数据-基础表'!AZ5</f>
        <v>234.93</v>
      </c>
      <c r="F3" s="2659"/>
      <c r="G3" s="1145"/>
      <c r="H3" s="1026" t="s">
        <v>1106</v>
      </c>
      <c r="I3" s="855" t="e">
        <f>ROUND('数据-基础表'!B3/'数据-基础表'!A3,2)</f>
        <v>#DIV/0!</v>
      </c>
      <c r="J3" s="2659"/>
      <c r="K3" s="2659"/>
      <c r="L3" s="2659"/>
      <c r="M3" s="2659"/>
      <c r="N3" s="2661"/>
      <c r="O3" s="2659"/>
      <c r="P3" s="2659"/>
    </row>
    <row r="4" spans="1:16" ht="15">
      <c r="A4" s="3532"/>
      <c r="B4" s="3533"/>
      <c r="C4" s="353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5" t="s">
        <v>1111</v>
      </c>
      <c r="C6" s="3535"/>
      <c r="D6" s="45">
        <f>ROUND($D$3*E6/$E$3,2)</f>
        <v>0</v>
      </c>
      <c r="E6" s="46">
        <f>E3-E5</f>
        <v>234.93</v>
      </c>
      <c r="F6" s="2659"/>
      <c r="G6" s="2653" t="s">
        <v>1112</v>
      </c>
      <c r="H6" s="1146" t="s">
        <v>1113</v>
      </c>
      <c r="I6" s="2654" t="e">
        <f>ROUND(F31/D31,2)</f>
        <v>#DIV/0!</v>
      </c>
      <c r="J6" s="2659"/>
      <c r="K6" s="2659"/>
      <c r="L6" s="2659"/>
      <c r="M6" s="2659"/>
      <c r="N6" s="2659"/>
      <c r="O6" s="2659"/>
      <c r="P6" s="2659"/>
    </row>
    <row r="7" spans="1:16" ht="15.75" thickBot="1">
      <c r="A7" s="3527"/>
      <c r="B7" s="3528"/>
      <c r="C7" s="3529"/>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234.93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234.93</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3396</v>
      </c>
      <c r="D19" s="45">
        <f>ROUND($D$3*E19/$E$3,2)</f>
        <v>0</v>
      </c>
      <c r="E19" s="53">
        <f t="shared" ref="E19:E26" si="1">SUM(F19:G19)</f>
        <v>234.93</v>
      </c>
      <c r="F19" s="2795">
        <v>234.93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234.93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234.93</v>
      </c>
      <c r="F27" s="1140">
        <f>IF(SUM(F19:F26)=E8,SUM(F19:F26),"地上面积有误")</f>
        <v>234.93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234.93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234.93</v>
      </c>
      <c r="F31" s="677">
        <f>F27+F30</f>
        <v>234.93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P30" sqref="P3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45302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51874</v>
      </c>
      <c r="F6" s="64">
        <f>SUMIF(项目基本情况!C$12:I$12,C6,项目基本情况!C$15:I$15)</f>
        <v>18</v>
      </c>
      <c r="G6" s="65">
        <f>IF(ISERROR(ROUND(POWER(1+H6,D6-F6)*(POWER(1+H6,F6)-1)/(POWER(1+H6,D6)-1),3)),0,ROUND(POWER(1+H6,D6-F6)*(POWER(1+H6,F6)-1)/(POWER(1+H6,D6)-1),3))</f>
        <v>0.68100000000000005</v>
      </c>
      <c r="H6" s="732">
        <v>0.05</v>
      </c>
      <c r="I6" s="732">
        <v>5.5E-2</v>
      </c>
      <c r="J6" s="66">
        <v>7.0000000000000007E-2</v>
      </c>
      <c r="K6" s="1030">
        <f>SUMIF('数据-汇总表'!C$19:C$33,A6,'数据-汇总表'!E$19:E$33)</f>
        <v>234.93</v>
      </c>
      <c r="L6" s="733">
        <v>4000</v>
      </c>
      <c r="M6" s="67">
        <f t="shared" ref="M6:M14" si="0">ROUND(K6*L6/10000,0)</f>
        <v>94</v>
      </c>
      <c r="N6" s="731">
        <v>0.75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8">
        <v>3.5</v>
      </c>
      <c r="V6" s="70">
        <v>2.5000000000000001E-2</v>
      </c>
      <c r="W6" s="70">
        <v>0.1</v>
      </c>
      <c r="X6" s="1040"/>
      <c r="Y6" s="71">
        <f>N6</f>
        <v>0.75</v>
      </c>
      <c r="Z6" s="72"/>
      <c r="AA6" s="66"/>
      <c r="AB6" s="66"/>
      <c r="AC6" s="1040"/>
      <c r="AD6" s="73"/>
      <c r="AE6" s="1041">
        <f ca="1">IF(AN6="",0,SUMIF(INDIRECT("'"&amp;AN6&amp;"'"&amp;"!E:E"),$AE$5,INDIRECT("'"&amp;AN6&amp;"'"&amp;"!F:F")))</f>
        <v>18</v>
      </c>
      <c r="AF6" s="1348"/>
      <c r="AG6" s="138">
        <f>IF(AF6="",0,AE6-AF6)</f>
        <v>0</v>
      </c>
      <c r="AH6" s="74"/>
      <c r="AI6" s="76">
        <v>365</v>
      </c>
      <c r="AJ6" s="77"/>
      <c r="AK6" s="78">
        <v>0.01</v>
      </c>
      <c r="AL6" s="79">
        <v>1E-3</v>
      </c>
      <c r="AM6" s="80">
        <v>0.01</v>
      </c>
      <c r="AN6" s="1715" t="s">
        <v>3398</v>
      </c>
      <c r="AO6" s="52">
        <f ca="1">SUMIF(INDIRECT("'"&amp;AN6&amp;"'"&amp;"!A:A"),"总价",INDIRECT("'"&amp;AN6&amp;"'"&amp;"!B:B"))</f>
        <v>331.98500000000001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0.68100000000000005</v>
      </c>
      <c r="H16" s="90">
        <f>ROUND(SUMPRODUCT(H6:H13,K6:K13)/SUMPRODUCT((H6:H13&gt;0)*(K6:K13)),3)</f>
        <v>0.05</v>
      </c>
      <c r="I16" s="91"/>
      <c r="J16" s="91"/>
      <c r="K16" s="92">
        <f>SUM(K6:K15)</f>
        <v>234.93</v>
      </c>
      <c r="L16" s="93">
        <f>ROUND(M16*10000/SUM(K6:K14),0)</f>
        <v>4001</v>
      </c>
      <c r="M16" s="93">
        <f>SUM(M6:M14)</f>
        <v>94</v>
      </c>
      <c r="N16" s="94">
        <f>ROUND(SUMPRODUCT(M6:M14,N6:N14)/M16,3)</f>
        <v>0.75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2005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ROUND(1-(2024-N18)/60,2)</f>
        <v>0.68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v>0.85</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25" sqref="I25"/>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0" sqref="I40"/>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234.93</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45302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480</v>
      </c>
      <c r="C5" s="2512">
        <f ca="1">IF(B5=D14,结果表!H102,ROUND(B5*10000/$B$1,0))</f>
        <v>20441</v>
      </c>
      <c r="D5" s="2512" t="e">
        <f ca="1">ROUND(B5*10000/$B$2,0)</f>
        <v>#DIV/0!</v>
      </c>
      <c r="E5" s="2686"/>
      <c r="F5" s="2687"/>
      <c r="G5" s="2687"/>
      <c r="H5" s="2688"/>
      <c r="I5" s="2688"/>
      <c r="J5" s="2688"/>
      <c r="K5" s="2688"/>
    </row>
    <row r="6" spans="1:11" ht="16.5">
      <c r="A6" s="2512" t="s">
        <v>656</v>
      </c>
      <c r="B6" s="2512">
        <f>SUM(G14:G23)</f>
        <v>0</v>
      </c>
      <c r="C6" s="2512">
        <f ca="1">IF(B6=G14,结果表!H108,ROUND(B6*10000/$B$1,0))</f>
        <v>20441</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234.93</v>
      </c>
      <c r="C14" s="2518"/>
      <c r="D14" s="2518">
        <f ca="1">结果表!H118</f>
        <v>480</v>
      </c>
      <c r="E14" s="2518">
        <f ca="1">ROUND(D14*10000/B14,0)</f>
        <v>20432</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S22" sqref="S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3405</v>
      </c>
      <c r="D4" s="1756" t="s">
        <v>3398</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7</v>
      </c>
      <c r="D14" s="3599">
        <v>3</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30" t="s">
        <v>2131</v>
      </c>
      <c r="F18" s="3631"/>
      <c r="G18" s="3631"/>
      <c r="H18" s="3631"/>
      <c r="I18" s="3631"/>
      <c r="K18" s="302" t="s">
        <v>1289</v>
      </c>
      <c r="L18" s="302">
        <f>IF(C1="",'数据-汇总表'!E3,SUMIF(项目类型,C1,'数据-汇总表'!E17:E26)+SUMIF(项目类型,C1,'数据-汇总表'!I17:I26))</f>
        <v>234.93</v>
      </c>
      <c r="M18" s="302">
        <f>IF(C1="",'数据-汇总表'!E3,SUMIF(项目类型,C1,'数据-汇总表'!E17:E26))</f>
        <v>234.93</v>
      </c>
    </row>
    <row r="19" spans="1:36" ht="15">
      <c r="A19" s="1761" t="s">
        <v>1290</v>
      </c>
      <c r="B19" s="1762" t="s">
        <v>1291</v>
      </c>
      <c r="C19" s="134">
        <f ca="1">SUMIF(INDIRECT("'"&amp;C4&amp;"'"&amp;"!A:A"),结果表!B19,INDIRECT("'"&amp;C4&amp;"'"&amp;"!B:B"))</f>
        <v>543.75670000000002</v>
      </c>
      <c r="D19" s="135">
        <f ca="1">SUMIF(INDIRECT("'"&amp;D4&amp;"'"&amp;"!A:A"),结果表!B19,INDIRECT("'"&amp;D4&amp;"'"&amp;"!B:B"))</f>
        <v>331.98500000000001</v>
      </c>
      <c r="E19" s="1761" t="s">
        <v>1292</v>
      </c>
      <c r="F19" s="1762" t="s">
        <v>1291</v>
      </c>
      <c r="G19" s="136">
        <f ca="1">ROUND(C19*$C$18+D19*$D$18,0)</f>
        <v>480</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23145</v>
      </c>
      <c r="D20" s="138">
        <f ca="1">SUMIF(INDIRECT("'"&amp;D4&amp;"'"&amp;"!A:A"),结果表!B20,INDIRECT("'"&amp;D4&amp;"'"&amp;"!B:B"))</f>
        <v>14131</v>
      </c>
      <c r="E20" s="1764"/>
      <c r="F20" s="1026" t="s">
        <v>1295</v>
      </c>
      <c r="G20" s="139">
        <f ca="1">ROUND(C20*$C$18+D20*$D$18,0)</f>
        <v>20441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0.63789538683976676</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20441</v>
      </c>
      <c r="D32" s="1775" t="s">
        <v>3406</v>
      </c>
      <c r="E32" s="129"/>
      <c r="F32" s="129"/>
      <c r="G32" s="129"/>
      <c r="H32" s="129"/>
      <c r="I32" s="129"/>
    </row>
    <row r="33" spans="1:15" ht="15">
      <c r="A33" s="786" t="s">
        <v>1306</v>
      </c>
      <c r="B33" s="1776"/>
      <c r="C33" s="1777" t="s">
        <v>3407</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480</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45302</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1" t="s">
        <v>1340</v>
      </c>
      <c r="L48" s="3541"/>
      <c r="M48" s="3544">
        <f ca="1">H101</f>
        <v>480</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480</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26</v>
      </c>
      <c r="E52" s="2334" t="s">
        <v>1354</v>
      </c>
      <c r="F52" s="2554">
        <f>'数据-取费表'!B41</f>
        <v>5.6000000000000001E-2</v>
      </c>
      <c r="G52" s="2555"/>
      <c r="H52" s="2544"/>
      <c r="I52" s="1807"/>
      <c r="J52" s="2523">
        <v>1</v>
      </c>
      <c r="K52" s="3566" t="s">
        <v>1355</v>
      </c>
      <c r="L52" s="3566"/>
      <c r="M52" s="2525" t="b">
        <f>D48</f>
        <v>0</v>
      </c>
      <c r="N52" s="2523" t="str">
        <f>E48</f>
        <v>销售额×税（费）率</v>
      </c>
      <c r="O52" s="2526">
        <f>F48</f>
        <v>5.6000000000000001E-2</v>
      </c>
    </row>
    <row r="53" spans="1:35" ht="12" customHeight="1">
      <c r="A53" s="2335" t="s">
        <v>1356</v>
      </c>
      <c r="B53" s="3590" t="s">
        <v>2291</v>
      </c>
      <c r="C53" s="3591"/>
      <c r="D53" s="1087">
        <f ca="1">ROUND(D45*'数据-取费表'!B41/(1+'数据-取费表'!C42),0)</f>
        <v>26</v>
      </c>
      <c r="E53" s="2334" t="s">
        <v>1354</v>
      </c>
      <c r="F53" s="2554">
        <f>'数据-取费表'!B41</f>
        <v>5.6000000000000001E-2</v>
      </c>
      <c r="G53" s="2555"/>
      <c r="H53" s="2544"/>
      <c r="I53" s="1807"/>
      <c r="J53" s="2523">
        <v>2</v>
      </c>
      <c r="K53" s="3566" t="s">
        <v>1357</v>
      </c>
      <c r="L53" s="3566"/>
      <c r="M53" s="2525">
        <f t="shared" ref="M53:O54" ca="1" si="0">D55</f>
        <v>0</v>
      </c>
      <c r="N53" s="2523" t="str">
        <f t="shared" si="0"/>
        <v>销售额×税（费）率</v>
      </c>
      <c r="O53" s="2526" t="str">
        <f t="shared" si="0"/>
        <v>免征</v>
      </c>
    </row>
    <row r="54" spans="1:35" ht="12" customHeight="1">
      <c r="A54" s="2335" t="s">
        <v>1358</v>
      </c>
      <c r="B54" s="3590" t="s">
        <v>2292</v>
      </c>
      <c r="C54" s="3591"/>
      <c r="D54" s="1087">
        <f ca="1">C68</f>
        <v>26</v>
      </c>
      <c r="E54" s="327" t="s">
        <v>1359</v>
      </c>
      <c r="F54" s="2554">
        <f>'数据-取费表'!B41</f>
        <v>5.6000000000000001E-2</v>
      </c>
      <c r="G54" s="2555"/>
      <c r="H54" s="2556"/>
      <c r="I54" s="1807"/>
      <c r="J54" s="2523">
        <v>3</v>
      </c>
      <c r="K54" s="3566" t="s">
        <v>1360</v>
      </c>
      <c r="L54" s="3566"/>
      <c r="M54" s="2525">
        <f t="shared" ca="1" si="0"/>
        <v>271</v>
      </c>
      <c r="N54" s="2523" t="str">
        <f t="shared" si="0"/>
        <v>增值额×税（费）率</v>
      </c>
      <c r="O54" s="2527" t="str">
        <f t="shared" si="0"/>
        <v>免征</v>
      </c>
    </row>
    <row r="55" spans="1:35" ht="24" customHeight="1">
      <c r="A55" s="3626" t="s">
        <v>1361</v>
      </c>
      <c r="B55" s="3604"/>
      <c r="C55" s="3604"/>
      <c r="D55" s="2324">
        <f ca="1">IF(H55="个人住宅",0,ROUND(D45*I55,0))</f>
        <v>0</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5</v>
      </c>
      <c r="N55" s="2040" t="str">
        <f>E59</f>
        <v>差额计税</v>
      </c>
      <c r="O55" s="2529">
        <f>F59</f>
        <v>0.01</v>
      </c>
    </row>
    <row r="56" spans="1:35" ht="24.75">
      <c r="A56" s="3626" t="s">
        <v>1363</v>
      </c>
      <c r="B56" s="3604"/>
      <c r="C56" s="3604"/>
      <c r="D56" s="2324">
        <f ca="1">IF(H56="个人住宅",D57,D58)</f>
        <v>271</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276</v>
      </c>
      <c r="O57" s="2533"/>
      <c r="P57" s="2690">
        <f ca="1">N57/M49</f>
        <v>0.57499999999999996</v>
      </c>
    </row>
    <row r="58" spans="1:35" ht="24.75">
      <c r="A58" s="2335" t="s">
        <v>1352</v>
      </c>
      <c r="B58" s="3590" t="s">
        <v>1369</v>
      </c>
      <c r="C58" s="3589"/>
      <c r="D58" s="2324">
        <f ca="1">IF(H58="转让取得",C81,C97)</f>
        <v>271</v>
      </c>
      <c r="E58" s="2334" t="s">
        <v>1364</v>
      </c>
      <c r="F58" s="302" t="s">
        <v>28</v>
      </c>
      <c r="G58" s="2555"/>
      <c r="H58" s="2558"/>
      <c r="I58" s="1808"/>
      <c r="J58" s="3566"/>
      <c r="K58" s="3566"/>
      <c r="L58" s="2530" t="s">
        <v>1370</v>
      </c>
      <c r="M58" s="2534"/>
      <c r="N58" s="2535" t="str">
        <f ca="1">NUMBERSTRING(INT(N57*10000),2)&amp;"元整"</f>
        <v>贰佰柒拾陆万元整</v>
      </c>
      <c r="O58" s="2536"/>
    </row>
    <row r="59" spans="1:35" ht="24.75" thickBot="1">
      <c r="A59" s="3570" t="s">
        <v>1371</v>
      </c>
      <c r="B59" s="3571"/>
      <c r="C59" s="3571"/>
      <c r="D59" s="2560">
        <f ca="1">IF(H59="非个人房产","——",IF(H59="个人住宅（满五唯一有凭证）",0,IF(H59="个人其他（无凭证）",ROUND(D45*F59,0),ROUND(C67*F59,0))))</f>
        <v>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204</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贰佰零肆万元整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8683</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457</v>
      </c>
      <c r="D63" s="167"/>
      <c r="E63" s="168"/>
      <c r="F63" s="1808"/>
      <c r="G63" s="1808"/>
      <c r="H63" s="1810"/>
      <c r="I63" s="129"/>
      <c r="J63" s="3549" t="s">
        <v>1379</v>
      </c>
      <c r="K63" s="1332" t="s">
        <v>1380</v>
      </c>
      <c r="L63" s="1332">
        <f ca="1">IF(M49&gt;10000,M49*0.5%,IF(AND(M49&gt;1000,M49&lt;=10000),M49*1%,IF(AND(M49&gt;100,M49&lt;=1000),M49*3%,IF(AND(M49&gt;10,M49&lt;=100),M49*5%,M49*8%))))</f>
        <v>14.399999999999999</v>
      </c>
      <c r="M63" s="302">
        <f ca="1">ROUND(L63,1)</f>
        <v>14.4</v>
      </c>
      <c r="N63" s="2543"/>
      <c r="Z63" s="1752"/>
      <c r="AI63" s="1753"/>
    </row>
    <row r="64" spans="1:35" ht="14.25" customHeight="1">
      <c r="A64" s="169" t="s">
        <v>325</v>
      </c>
      <c r="B64" s="170" t="s">
        <v>1381</v>
      </c>
      <c r="C64" s="2565">
        <f ca="1">D45</f>
        <v>480</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3.84</v>
      </c>
      <c r="M64" s="302">
        <f t="shared" ref="M64:M65" ca="1" si="1">ROUND(L64,1)</f>
        <v>3.8</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4.8</v>
      </c>
      <c r="M65" s="302">
        <f t="shared" ca="1" si="1"/>
        <v>4.8</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2.4</v>
      </c>
      <c r="M66" s="302">
        <f ca="1">IF(L66&gt;0.5,0.5,ROUND(L66,0))</f>
        <v>0.5</v>
      </c>
      <c r="N66" s="2544" t="s">
        <v>1388</v>
      </c>
      <c r="Z66" s="1752"/>
      <c r="AI66" s="1753"/>
    </row>
    <row r="67" spans="1:35" ht="14.25" customHeight="1">
      <c r="A67" s="173" t="s">
        <v>328</v>
      </c>
      <c r="B67" s="174" t="s">
        <v>1389</v>
      </c>
      <c r="C67" s="2568">
        <f ca="1">C63-C66</f>
        <v>457</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1.4500000000000002</v>
      </c>
      <c r="M67" s="302">
        <f ca="1">ROUND(L67*0.9,1)</f>
        <v>1.3</v>
      </c>
      <c r="N67" s="2543"/>
      <c r="Z67" s="1752"/>
      <c r="AI67" s="1753"/>
    </row>
    <row r="68" spans="1:35" ht="14.25" customHeight="1" thickBot="1">
      <c r="A68" s="176" t="s">
        <v>329</v>
      </c>
      <c r="B68" s="177" t="s">
        <v>1391</v>
      </c>
      <c r="C68" s="2569">
        <f ca="1">IF(C67&lt;=0,0,ROUND(C67*D68,0))</f>
        <v>26</v>
      </c>
      <c r="D68" s="2570">
        <f>'数据-取费表'!B41</f>
        <v>5.6000000000000001E-2</v>
      </c>
      <c r="E68" s="178"/>
      <c r="F68" s="1808"/>
      <c r="G68" s="1808"/>
      <c r="H68" s="1810"/>
      <c r="I68" s="129"/>
      <c r="J68" s="3549"/>
      <c r="K68" s="1332" t="s">
        <v>1392</v>
      </c>
      <c r="L68" s="1332">
        <f ca="1">IF(M49&gt;10000,M49*0.5%,IF(AND(M49&gt;5000,M49&lt;=10000),M49*1%,IF(AND(M49&gt;1000,M49&lt;=5000),M49*2%,IF(AND(M49&gt;200,M49&lt;=1000),M49*3%,M49*5%))))</f>
        <v>14.399999999999999</v>
      </c>
      <c r="M68" s="302">
        <f ca="1">ROUND(L68,1)</f>
        <v>14.4</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39</v>
      </c>
      <c r="N69" s="2545">
        <f ca="1">M69/M49</f>
        <v>8.1250000000000003E-2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457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v>
      </c>
      <c r="D78" s="2577">
        <f>'数据-取费表'!B43</f>
        <v>6.000000000000001E-3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454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151.33333333333334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271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457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v>
      </c>
      <c r="D93" s="2577">
        <f>'数据-取费表'!B43</f>
        <v>6.000000000000001E-3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454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151.33333333333334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271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 (元)</v>
      </c>
      <c r="D101" s="2586" t="str">
        <f>D4</f>
        <v>收益法 (元)</v>
      </c>
      <c r="E101" s="3545" t="s">
        <v>1431</v>
      </c>
      <c r="F101" s="3546"/>
      <c r="G101" s="1827" t="s">
        <v>1432</v>
      </c>
      <c r="H101" s="2595">
        <f ca="1">H118</f>
        <v>480</v>
      </c>
      <c r="I101" s="129"/>
    </row>
    <row r="102" spans="1:35" ht="18.75" customHeight="1">
      <c r="A102" s="3577" t="s">
        <v>1433</v>
      </c>
      <c r="B102" s="2584" t="s">
        <v>1432</v>
      </c>
      <c r="C102" s="2585">
        <f ca="1">IF(D32="楼面单价",ROUND(C19,0),C19)</f>
        <v>544</v>
      </c>
      <c r="D102" s="2586">
        <f ca="1">IF(D32="楼面单价",ROUND(D19,0),D19)</f>
        <v>332</v>
      </c>
      <c r="E102" s="3545"/>
      <c r="F102" s="3546"/>
      <c r="G102" s="1827" t="s">
        <v>1434</v>
      </c>
      <c r="H102" s="2555">
        <f ca="1">I118</f>
        <v>20441</v>
      </c>
      <c r="I102" s="129"/>
    </row>
    <row r="103" spans="1:35" ht="42.75" customHeight="1">
      <c r="A103" s="3577"/>
      <c r="B103" s="2584" t="s">
        <v>1434</v>
      </c>
      <c r="C103" s="2587">
        <f ca="1">C20</f>
        <v>23145</v>
      </c>
      <c r="D103" s="2588">
        <f ca="1">D20</f>
        <v>14131</v>
      </c>
      <c r="E103" s="3538" t="s">
        <v>1435</v>
      </c>
      <c r="F103" s="3539"/>
      <c r="G103" s="1828" t="s">
        <v>1436</v>
      </c>
      <c r="H103" s="2595">
        <f>IF(D36="正常操作",H104+H105+H106,H105+H106)</f>
        <v>0</v>
      </c>
      <c r="I103" s="129"/>
    </row>
    <row r="104" spans="1:35" ht="18.75" customHeight="1">
      <c r="A104" s="3577" t="s">
        <v>1437</v>
      </c>
      <c r="B104" s="2589" t="s">
        <v>1432</v>
      </c>
      <c r="C104" s="2590">
        <f ca="1">H118</f>
        <v>480</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20441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480</v>
      </c>
      <c r="I107" s="129"/>
    </row>
    <row r="108" spans="1:35" ht="18.75" customHeight="1">
      <c r="A108" s="129"/>
      <c r="B108" s="129"/>
      <c r="C108" s="129"/>
      <c r="D108" s="129"/>
      <c r="E108" s="3578"/>
      <c r="F108" s="3546"/>
      <c r="G108" s="1827" t="s">
        <v>1434</v>
      </c>
      <c r="H108" s="2555">
        <f ca="1">IF(H107=H101,H102,ROUND(H107*10000/'数据-汇总表'!E3,0))</f>
        <v>20441</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234.93</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480</v>
      </c>
      <c r="I118" s="2329">
        <f ca="1">ROUND(IF(D32="楼面单价",C32,H118*10000/B118),0)</f>
        <v>20441</v>
      </c>
    </row>
    <row r="119" spans="1:27" ht="18.75" customHeight="1">
      <c r="A119" s="3553" t="s">
        <v>1452</v>
      </c>
      <c r="B119" s="3553"/>
      <c r="C119" s="3553"/>
      <c r="D119" s="3559" t="str">
        <f>NUMBERSTRING(INT(D118*10000),2)&amp;"元整"</f>
        <v>零元整</v>
      </c>
      <c r="E119" s="3560"/>
      <c r="F119" s="3559" t="str">
        <f>NUMBERSTRING(INT(F118*10000),2)&amp;"元整"</f>
        <v>零元整</v>
      </c>
      <c r="G119" s="3560"/>
      <c r="H119" s="3559" t="str">
        <f ca="1">NUMBERSTRING(INT(H118*10000),2)&amp;"元整"</f>
        <v>肆佰捌拾万元整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480</v>
      </c>
      <c r="E122" s="3555"/>
      <c r="F122" s="3555"/>
      <c r="G122" s="3555"/>
      <c r="H122" s="3555"/>
      <c r="I122" s="3556"/>
      <c r="AA122" s="725"/>
    </row>
    <row r="123" spans="1:27" ht="18.75" customHeight="1">
      <c r="A123" s="3553" t="s">
        <v>1452</v>
      </c>
      <c r="B123" s="3553"/>
      <c r="C123" s="3553"/>
      <c r="D123" s="3559" t="str">
        <f ca="1">NUMBERSTRING(INT(D122*10000),2)&amp;"元整"</f>
        <v>肆佰捌拾万元整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114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4853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234.93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5</v>
      </c>
      <c r="D19" s="849">
        <f ca="1">D9+D10</f>
        <v>234.93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94</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234.93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v>
      </c>
      <c r="D42" s="238"/>
      <c r="E42" s="238"/>
      <c r="F42" s="239"/>
      <c r="G42" s="3632" t="s">
        <v>1544</v>
      </c>
    </row>
    <row r="43" spans="1:7" ht="13.5" customHeight="1">
      <c r="A43" s="780" t="s">
        <v>347</v>
      </c>
      <c r="B43" s="215" t="s">
        <v>1545</v>
      </c>
      <c r="C43" s="238">
        <f ca="1">ROUND(IF('数据-取费表'!B22&lt;=1,C39*F22*'数据-取费表'!B21/2,C39*(POWER((1+F22),'数据-取费表'!B21/2)-1)),0)</f>
        <v>0</v>
      </c>
      <c r="D43" s="238"/>
      <c r="E43" s="238"/>
      <c r="F43" s="239"/>
      <c r="G43" s="3633"/>
    </row>
    <row r="44" spans="1:7" ht="13.5" customHeight="1">
      <c r="A44" s="780" t="s">
        <v>348</v>
      </c>
      <c r="B44" s="215" t="s">
        <v>1546</v>
      </c>
      <c r="C44" s="238">
        <f ca="1">ROUND(IF('数据-取费表'!B22&lt;=1,C40*F22*'数据-取费表'!B21/2,C40*(POWER((1+F22),'数据-取费表'!B21/2)-1)),4)</f>
        <v>6.9999999999999999E-4</v>
      </c>
      <c r="D44" s="238"/>
      <c r="E44" s="238"/>
      <c r="F44" s="239"/>
      <c r="G44" s="3634"/>
    </row>
    <row r="45" spans="1:7" s="214" customFormat="1" ht="13.5" customHeight="1">
      <c r="A45" s="255" t="s">
        <v>1547</v>
      </c>
      <c r="B45" s="244" t="s">
        <v>1513</v>
      </c>
      <c r="C45" s="245">
        <f ca="1">C46</f>
        <v>21</v>
      </c>
      <c r="D45" s="235">
        <f ca="1">C47</f>
        <v>4.0000000000000001E-3</v>
      </c>
      <c r="E45" s="236" t="s">
        <v>1539</v>
      </c>
      <c r="F45" s="246">
        <f ca="1">F27</f>
        <v>0.2</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143</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107</v>
      </c>
      <c r="D51" s="232"/>
      <c r="E51" s="232"/>
      <c r="F51" s="264"/>
      <c r="G51" s="234" t="s">
        <v>1560</v>
      </c>
    </row>
    <row r="52" spans="1:7" s="208" customFormat="1" ht="16.5" thickBot="1">
      <c r="A52" s="265" t="s">
        <v>1561</v>
      </c>
      <c r="B52" s="266"/>
      <c r="C52" s="267">
        <f ca="1">C31+C51</f>
        <v>114</v>
      </c>
      <c r="D52" s="266"/>
      <c r="E52" s="266"/>
      <c r="F52" s="266"/>
      <c r="G52" s="268"/>
    </row>
    <row r="55" spans="1:7" ht="15">
      <c r="B55" s="270" t="s">
        <v>1562</v>
      </c>
      <c r="C55" s="271"/>
    </row>
    <row r="56" spans="1:7">
      <c r="B56" s="273" t="s">
        <v>802</v>
      </c>
      <c r="C56" s="275">
        <f ca="1">1-C57</f>
        <v>6.1000000000000054E-2</v>
      </c>
    </row>
    <row r="57" spans="1:7">
      <c r="B57" s="273" t="s">
        <v>803</v>
      </c>
      <c r="C57" s="274">
        <f ca="1">ROUND(C51/C52,3)</f>
        <v>0.93899999999999995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68" sqref="H6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543.75670000000002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23145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3107556.06</v>
      </c>
      <c r="D5" s="211" t="s">
        <v>1469</v>
      </c>
      <c r="E5" s="212" t="s">
        <v>1470</v>
      </c>
      <c r="F5" s="212" t="s">
        <v>1471</v>
      </c>
      <c r="G5" s="213"/>
    </row>
    <row r="6" spans="1:8" s="214" customFormat="1" ht="13.5" customHeight="1">
      <c r="A6" s="778" t="s">
        <v>1472</v>
      </c>
      <c r="B6" s="215" t="s">
        <v>1473</v>
      </c>
      <c r="C6" s="216">
        <f>基准地价修正!T3*基准地价修正!U3</f>
        <v>2969985.06</v>
      </c>
      <c r="D6" s="217"/>
      <c r="E6" s="218"/>
      <c r="F6" s="218"/>
      <c r="G6" s="219"/>
    </row>
    <row r="7" spans="1:8" s="214" customFormat="1" ht="13.5" customHeight="1">
      <c r="A7" s="778" t="s">
        <v>1474</v>
      </c>
      <c r="B7" s="215" t="s">
        <v>1475</v>
      </c>
      <c r="C7" s="220">
        <f>ROUND(C6*F7,0)</f>
        <v>90585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46986</v>
      </c>
      <c r="D8" s="222"/>
      <c r="E8" s="220"/>
      <c r="F8" s="221"/>
      <c r="G8" s="1856" t="s">
        <v>3399</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46986</v>
      </c>
      <c r="D10" s="845">
        <f ca="1">IF(B1="",'数据-汇总表'!E6,IF(INDIRECT("'数据-取费表'!c"&amp;$G$1)="住宅",INDIRECT("'数据-取费表'!s"&amp;$G$1),INDIRECT("'数据-取费表'!k"&amp;$G$1)+INDIRECT("'数据-取费表'!s"&amp;$G$1)))</f>
        <v>234.93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234.93</v>
      </c>
      <c r="E19" s="211">
        <f>'数据-取费表'!B31</f>
        <v>200</v>
      </c>
      <c r="F19" s="231"/>
      <c r="G19" s="1856" t="s">
        <v>3400</v>
      </c>
    </row>
    <row r="20" spans="1:7" s="214" customFormat="1" ht="13.5" customHeight="1">
      <c r="A20" s="255" t="s">
        <v>1574</v>
      </c>
      <c r="B20" s="210" t="s">
        <v>1575</v>
      </c>
      <c r="C20" s="232">
        <f ca="1">ROUND((C5+C19)*F20,0)</f>
        <v>62151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220264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218120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2144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633941</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633941</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4364330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1047788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939720</v>
      </c>
      <c r="D34" s="217"/>
      <c r="E34" s="220"/>
      <c r="F34" s="257"/>
      <c r="G34" s="219"/>
    </row>
    <row r="35" spans="1:7" ht="13.5" customHeight="1">
      <c r="A35" s="780" t="s">
        <v>351</v>
      </c>
      <c r="B35" s="215" t="s">
        <v>1527</v>
      </c>
      <c r="C35" s="220">
        <f ca="1">ROUND(C34*F35,0)</f>
        <v>46986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46986</v>
      </c>
      <c r="D37" s="217">
        <f ca="1">D19</f>
        <v>234.93</v>
      </c>
      <c r="E37" s="249">
        <f>'数据-取费表'!B35</f>
        <v>200</v>
      </c>
      <c r="F37" s="259"/>
      <c r="G37" s="261"/>
    </row>
    <row r="38" spans="1:7" ht="13.5" customHeight="1">
      <c r="A38" s="780" t="s">
        <v>354</v>
      </c>
      <c r="B38" s="215" t="s">
        <v>1533</v>
      </c>
      <c r="C38" s="220">
        <f ca="1">ROUND(C34*F38,0)</f>
        <v>14096</v>
      </c>
      <c r="D38" s="220"/>
      <c r="E38" s="220"/>
      <c r="F38" s="259">
        <f>'数据-取费表'!B36</f>
        <v>1.4999999999999999E-2</v>
      </c>
      <c r="G38" s="219" t="s">
        <v>1528</v>
      </c>
    </row>
    <row r="39" spans="1:7" s="214" customFormat="1" ht="13.5" customHeight="1">
      <c r="A39" s="255" t="s">
        <v>1534</v>
      </c>
      <c r="B39" s="210" t="s">
        <v>1535</v>
      </c>
      <c r="C39" s="232">
        <f ca="1">ROUND(C33*F20,0)</f>
        <v>20956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36872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36149</v>
      </c>
      <c r="D42" s="238"/>
      <c r="E42" s="238"/>
      <c r="F42" s="239"/>
      <c r="G42" s="3632" t="s">
        <v>1591</v>
      </c>
    </row>
    <row r="43" spans="1:7" ht="13.5" customHeight="1">
      <c r="A43" s="780" t="s">
        <v>347</v>
      </c>
      <c r="B43" s="215" t="s">
        <v>1545</v>
      </c>
      <c r="C43" s="238">
        <f ca="1">ROUND(IF('数据-取费表'!B22&lt;=1,C39*F22*'数据-取费表'!B20/2,C39*(POWER((1+F22),'数据-取费表'!B20/2)-1)),0)</f>
        <v>723</v>
      </c>
      <c r="D43" s="238"/>
      <c r="E43" s="238"/>
      <c r="F43" s="239"/>
      <c r="G43" s="3633"/>
    </row>
    <row r="44" spans="1:7" ht="13.5" customHeight="1">
      <c r="A44" s="780" t="s">
        <v>348</v>
      </c>
      <c r="B44" s="215" t="s">
        <v>1546</v>
      </c>
      <c r="C44" s="238">
        <f ca="1">ROUND(IF('数据-取费表'!B22&lt;=1,C40*F22*'数据-取费表'!B20/2,C40*(POWER((1+F22),'数据-取费表'!B20/2)-1)),4)</f>
        <v>6.9999999999999999E-4</v>
      </c>
      <c r="D44" s="238"/>
      <c r="E44" s="238"/>
      <c r="F44" s="239"/>
      <c r="G44" s="3634"/>
    </row>
    <row r="45" spans="1:7" s="214" customFormat="1" ht="13.5" customHeight="1">
      <c r="A45" s="255" t="s">
        <v>1547</v>
      </c>
      <c r="B45" s="244" t="s">
        <v>1513</v>
      </c>
      <c r="C45" s="245">
        <f ca="1">C46</f>
        <v>213749</v>
      </c>
      <c r="D45" s="235">
        <f ca="1">C47</f>
        <v>4.0000000000000001E-3</v>
      </c>
      <c r="E45" s="236" t="s">
        <v>1539</v>
      </c>
      <c r="F45" s="246">
        <f ca="1">F27</f>
        <v>0.2</v>
      </c>
      <c r="G45" s="247" t="s">
        <v>1548</v>
      </c>
    </row>
    <row r="46" spans="1:7" s="214" customFormat="1" ht="13.5" customHeight="1">
      <c r="A46" s="780" t="s">
        <v>346</v>
      </c>
      <c r="B46" s="248" t="s">
        <v>1549</v>
      </c>
      <c r="C46" s="249">
        <f ca="1">ROUND((C33+C39)*F27,0)</f>
        <v>213749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1430982</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1073237</v>
      </c>
      <c r="D51" s="232"/>
      <c r="E51" s="232"/>
      <c r="F51" s="264"/>
      <c r="G51" s="234" t="s">
        <v>1560</v>
      </c>
    </row>
    <row r="52" spans="1:7" s="208" customFormat="1" ht="16.5" thickBot="1">
      <c r="A52" s="265" t="s">
        <v>1561</v>
      </c>
      <c r="B52" s="266"/>
      <c r="C52" s="267">
        <f ca="1">C31+C51</f>
        <v>5437567</v>
      </c>
      <c r="D52" s="266"/>
      <c r="E52" s="266"/>
      <c r="F52" s="266"/>
      <c r="G52" s="268"/>
    </row>
    <row r="55" spans="1:7" ht="15">
      <c r="B55" s="270" t="s">
        <v>1562</v>
      </c>
      <c r="C55" s="271"/>
    </row>
    <row r="56" spans="1:7">
      <c r="B56" s="273" t="s">
        <v>802</v>
      </c>
      <c r="C56" s="275">
        <f ca="1">1-C57</f>
        <v>0.80299999999999994</v>
      </c>
    </row>
    <row r="57" spans="1:7">
      <c r="B57" s="273" t="s">
        <v>803</v>
      </c>
      <c r="C57" s="274">
        <f ca="1">ROUND(C51/C52,3)</f>
        <v>0.19700000000000001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-6</v>
      </c>
      <c r="C2" s="276" t="s">
        <v>1595</v>
      </c>
      <c r="D2" s="276"/>
      <c r="E2" s="2806"/>
      <c r="F2" s="2806"/>
      <c r="G2" s="2806"/>
      <c r="H2" s="2806"/>
      <c r="I2" s="2806"/>
      <c r="J2" s="2806"/>
      <c r="K2" s="2806"/>
    </row>
    <row r="3" spans="1:33" ht="18" customHeight="1" thickBot="1">
      <c r="A3" s="203" t="s">
        <v>1464</v>
      </c>
      <c r="B3" s="204">
        <f ca="1">ROUND(B2*10000/IF(C1="",'数据-汇总表'!E3,INDIRECT("'数据-取费表'!K"&amp;$K$1)),0)</f>
        <v>-255</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234.93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234.93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234.93</v>
      </c>
      <c r="E20" s="21">
        <f>'数据-取费表'!B28</f>
        <v>200</v>
      </c>
      <c r="F20" s="804"/>
      <c r="G20" s="12"/>
      <c r="H20" s="809"/>
      <c r="I20" s="809"/>
      <c r="J20" s="809"/>
      <c r="K20" s="810"/>
    </row>
    <row r="21" spans="1:33" s="803" customFormat="1" ht="13.5" customHeight="1">
      <c r="A21" s="790" t="s">
        <v>357</v>
      </c>
      <c r="B21" s="813" t="s">
        <v>1628</v>
      </c>
      <c r="C21" s="814">
        <f ca="1">C16+C17+C18</f>
        <v>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-6</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0</v>
      </c>
      <c r="D6" s="155" t="s">
        <v>2109</v>
      </c>
      <c r="E6" s="302" t="s">
        <v>696</v>
      </c>
      <c r="F6" s="303">
        <f ca="1">INDIRECT("'数据-取费表'!u"&amp;$G$1)</f>
        <v>0</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331.98500000000001</v>
      </c>
      <c r="C2" s="1387" t="s">
        <v>879</v>
      </c>
      <c r="D2" s="1471">
        <f ca="1">C40+J29+L46</f>
        <v>3319850</v>
      </c>
      <c r="E2" s="1388" t="s">
        <v>880</v>
      </c>
      <c r="F2" s="1389"/>
      <c r="G2" s="2706"/>
      <c r="H2" s="2695"/>
      <c r="I2" s="2695"/>
      <c r="J2" s="2695"/>
      <c r="K2" s="2696"/>
      <c r="L2" s="2695"/>
      <c r="M2" s="2695"/>
    </row>
    <row r="3" spans="1:37" ht="18" customHeight="1" thickBot="1">
      <c r="A3" s="1390" t="s">
        <v>881</v>
      </c>
      <c r="B3" s="1391">
        <f ca="1">IF(ISERROR(D2/F43),0,ROUND(D2/F43,0))</f>
        <v>14131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270449</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270111</v>
      </c>
      <c r="D6" s="155" t="s">
        <v>2106</v>
      </c>
      <c r="E6" s="302" t="s">
        <v>696</v>
      </c>
      <c r="F6" s="303">
        <f ca="1">INDIRECT("'数据-取费表'!u"&amp;$G$1)</f>
        <v>3.5</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234.93</v>
      </c>
      <c r="G7" s="1384"/>
      <c r="H7" s="304"/>
      <c r="I7" s="3638"/>
      <c r="J7" s="306"/>
      <c r="K7" s="307"/>
      <c r="L7" s="302" t="s">
        <v>697</v>
      </c>
      <c r="M7" s="303">
        <f ca="1">F7</f>
        <v>234.93</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338</v>
      </c>
      <c r="D10" s="1366" t="s">
        <v>2116</v>
      </c>
      <c r="E10" s="313" t="s">
        <v>701</v>
      </c>
      <c r="F10" s="1116" t="s">
        <v>3401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1073237</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939720</v>
      </c>
      <c r="D14" s="1345" t="s">
        <v>708</v>
      </c>
      <c r="E14" s="1342"/>
      <c r="F14" s="319"/>
      <c r="G14" s="1384"/>
      <c r="H14" s="982" t="s">
        <v>398</v>
      </c>
      <c r="I14" s="302" t="s">
        <v>709</v>
      </c>
      <c r="J14" s="21">
        <f ca="1">C29</f>
        <v>1430982</v>
      </c>
      <c r="K14" s="12"/>
      <c r="L14" s="807"/>
      <c r="M14" s="808"/>
    </row>
    <row r="15" spans="1:37" s="1397" customFormat="1" ht="18" customHeight="1" thickBot="1">
      <c r="A15" s="982" t="s">
        <v>399</v>
      </c>
      <c r="B15" s="302" t="s">
        <v>710</v>
      </c>
      <c r="C15" s="21">
        <f ca="1">ROUND(C14*F15,0)</f>
        <v>46986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14310</v>
      </c>
      <c r="K16" s="1087" t="s">
        <v>715</v>
      </c>
      <c r="L16" s="1088"/>
      <c r="M16" s="1072"/>
    </row>
    <row r="17" spans="1:37" s="1397" customFormat="1" ht="18" customHeight="1">
      <c r="A17" s="982" t="s">
        <v>681</v>
      </c>
      <c r="B17" s="302" t="s">
        <v>716</v>
      </c>
      <c r="C17" s="21">
        <f ca="1">ROUND(F17*(F43+INDIRECT("'数据-取费表'!S"&amp;$G$1)),0)</f>
        <v>46986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14096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1047788</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20956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14310</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36872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-14310</v>
      </c>
      <c r="K25" s="1095" t="s">
        <v>753</v>
      </c>
      <c r="L25" s="1096"/>
      <c r="M25" s="1097"/>
    </row>
    <row r="26" spans="1:37" ht="18" customHeight="1">
      <c r="A26" s="982" t="s">
        <v>397</v>
      </c>
      <c r="B26" s="302" t="s">
        <v>754</v>
      </c>
      <c r="C26" s="21">
        <f ca="1">ROUND((C19+C20)*F26,0)</f>
        <v>213749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1430982</v>
      </c>
      <c r="D29" s="1092"/>
      <c r="E29" s="1090"/>
      <c r="F29" s="1093"/>
      <c r="G29" s="1396"/>
      <c r="H29" s="334" t="s">
        <v>396</v>
      </c>
      <c r="I29" s="335" t="s">
        <v>768</v>
      </c>
      <c r="J29" s="336">
        <f ca="1">ROUND(J26/(1+F40)^F41,0)</f>
        <v>0</v>
      </c>
      <c r="K29" s="337" t="s">
        <v>769</v>
      </c>
      <c r="L29" s="338"/>
      <c r="M29" s="339">
        <f ca="1">INDIRECT("'数据-取费表'!k"&amp;$G$1)</f>
        <v>234.93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36094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18007</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14310</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1073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2704</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234355</v>
      </c>
      <c r="D39" s="1095" t="s">
        <v>773</v>
      </c>
      <c r="E39" s="1096"/>
      <c r="F39" s="1097"/>
      <c r="G39" s="1384"/>
      <c r="H39" s="2700"/>
      <c r="I39" s="1398"/>
      <c r="J39" s="1399"/>
      <c r="K39" s="2704"/>
      <c r="L39" s="2700"/>
      <c r="M39" s="2700"/>
    </row>
    <row r="40" spans="1:18" ht="18" customHeight="1">
      <c r="A40" s="299" t="s">
        <v>395</v>
      </c>
      <c r="B40" s="300" t="s">
        <v>774</v>
      </c>
      <c r="C40" s="301">
        <f ca="1">ROUND(C39*(1-((1+F42)/(1+F40))^F41)/(F40-F42),0)</f>
        <v>3164131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13468</v>
      </c>
      <c r="D43" s="337" t="s">
        <v>777</v>
      </c>
      <c r="E43" s="338" t="s">
        <v>778</v>
      </c>
      <c r="F43" s="339">
        <f ca="1">INDIRECT("'数据-取费表'!k"&amp;$G$1)</f>
        <v>234.93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f ca="1">ROUND((C68-C40)/10000,4)</f>
        <v>-333.71289999999999</v>
      </c>
      <c r="D45" s="3432" t="s">
        <v>3356</v>
      </c>
      <c r="E45" s="1400"/>
      <c r="F45" s="1400"/>
      <c r="O45" s="1403" t="s">
        <v>808</v>
      </c>
      <c r="P45" s="1461"/>
      <c r="Q45" s="1461"/>
      <c r="R45" s="1461"/>
    </row>
    <row r="46" spans="1:18" s="1384" customFormat="1" ht="13.5" thickBot="1">
      <c r="A46" s="1404" t="s">
        <v>809</v>
      </c>
      <c r="C46" s="1405">
        <f ca="1">ROUND(C45,0)</f>
        <v>-334</v>
      </c>
      <c r="D46" s="1406" t="str">
        <f>C2</f>
        <v>万元</v>
      </c>
      <c r="I46" s="1407" t="s">
        <v>810</v>
      </c>
      <c r="J46" s="1408"/>
      <c r="K46" s="1409"/>
      <c r="L46" s="1410">
        <f ca="1">IF(M47="住宅",0,IF(L48&gt;J51,L60,J60))</f>
        <v>155719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3403</v>
      </c>
      <c r="K47" s="1416" t="s">
        <v>816</v>
      </c>
      <c r="L47" s="1417">
        <f ca="1">INDIRECT("'数据-取费表'!d"&amp;$G$1)</f>
        <v>40</v>
      </c>
      <c r="M47" s="1380" t="str">
        <f>IF(ISNUMBER(FIND("住宅",C1)),"住宅","非住宅")</f>
        <v>非住宅</v>
      </c>
      <c r="O47" s="1418" t="s">
        <v>403</v>
      </c>
      <c r="P47" s="1419" t="s">
        <v>817</v>
      </c>
      <c r="Q47" s="1420">
        <f ca="1">C40+J29</f>
        <v>3164131</v>
      </c>
      <c r="R47" s="1420" t="s">
        <v>818</v>
      </c>
    </row>
    <row r="48" spans="1:18" s="1384" customFormat="1" ht="28.5" thickBot="1">
      <c r="A48" s="1110" t="s">
        <v>438</v>
      </c>
      <c r="B48" s="300" t="s">
        <v>692</v>
      </c>
      <c r="C48" s="1359">
        <f ca="1">C49+C53+C55</f>
        <v>0</v>
      </c>
      <c r="D48" s="1112"/>
      <c r="E48" s="1113"/>
      <c r="F48" s="962"/>
      <c r="G48" s="722"/>
      <c r="H48" s="723"/>
      <c r="I48" s="1421" t="s">
        <v>819</v>
      </c>
      <c r="J48" s="1422" t="s">
        <v>3404</v>
      </c>
      <c r="K48" s="1423" t="s">
        <v>820</v>
      </c>
      <c r="L48" s="1424">
        <f ca="1">INDIRECT("'数据-取费表'!f"&amp;$G$1)</f>
        <v>18</v>
      </c>
      <c r="O48" s="1418" t="s">
        <v>404</v>
      </c>
      <c r="P48" s="1419" t="s">
        <v>821</v>
      </c>
      <c r="Q48" s="1420">
        <f ca="1">J60</f>
        <v>155719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2003</v>
      </c>
      <c r="K49" s="1423" t="s">
        <v>824</v>
      </c>
      <c r="L49" s="1427"/>
      <c r="O49" s="1428" t="s">
        <v>405</v>
      </c>
      <c r="P49" s="1419" t="s">
        <v>825</v>
      </c>
      <c r="Q49" s="1420">
        <f ca="1">C29</f>
        <v>1430982</v>
      </c>
      <c r="R49" s="1420" t="s">
        <v>818</v>
      </c>
    </row>
    <row r="50" spans="1:18" s="1384" customFormat="1" ht="13.5" thickBot="1">
      <c r="A50" s="976"/>
      <c r="B50" s="979"/>
      <c r="C50" s="980"/>
      <c r="D50" s="953"/>
      <c r="E50" s="1056" t="s">
        <v>697</v>
      </c>
      <c r="F50" s="1057">
        <f ca="1">F7</f>
        <v>234.93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39</v>
      </c>
      <c r="K51" s="1434" t="s">
        <v>830</v>
      </c>
      <c r="L51" s="1435">
        <f ca="1">ROUND(-PV(INDIRECT("'数据-取费表'!h"&amp;$G$1),J51,(C39-C13*C76),0),0)</f>
        <v>2709596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18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18</v>
      </c>
      <c r="K53" s="3635" t="s">
        <v>837</v>
      </c>
      <c r="L53" s="3636"/>
      <c r="O53" s="1418" t="s">
        <v>409</v>
      </c>
      <c r="P53" s="1419" t="s">
        <v>838</v>
      </c>
      <c r="Q53" s="1420">
        <f ca="1">Q47+Q48</f>
        <v>3319850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1073237</v>
      </c>
      <c r="D56" s="1447"/>
      <c r="E56" s="1448"/>
      <c r="F56" s="1440"/>
      <c r="I56" s="1449" t="s">
        <v>842</v>
      </c>
      <c r="J56" s="1450" t="s">
        <v>3402</v>
      </c>
      <c r="K56" s="1421" t="s">
        <v>843</v>
      </c>
      <c r="L56" s="1424" t="str">
        <f ca="1">IF(L48&lt;J51,"——",L48-J51)</f>
        <v>——</v>
      </c>
      <c r="O56" s="1418" t="s">
        <v>403</v>
      </c>
      <c r="P56" s="1419" t="s">
        <v>817</v>
      </c>
      <c r="Q56" s="1420">
        <f ca="1">C40+J29</f>
        <v>3164131</v>
      </c>
      <c r="R56" s="1420" t="s">
        <v>818</v>
      </c>
    </row>
    <row r="57" spans="1:18" s="1384" customFormat="1" ht="24.75" thickBot="1">
      <c r="A57" s="1451"/>
      <c r="B57" s="950" t="s">
        <v>767</v>
      </c>
      <c r="C57" s="238">
        <f ca="1">C29</f>
        <v>1430982</v>
      </c>
      <c r="D57" s="1452"/>
      <c r="E57" s="1453"/>
      <c r="F57" s="1454"/>
      <c r="I57" s="1455" t="s">
        <v>844</v>
      </c>
      <c r="J57" s="1456">
        <f ca="1">IF(OR(M47="住宅",J51&lt;L48,J56="是"),"——",J51-L48)</f>
        <v>21</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15383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572393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155719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3164131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14310</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1073</v>
      </c>
      <c r="D65" s="964" t="s">
        <v>743</v>
      </c>
      <c r="E65" s="950" t="s">
        <v>744</v>
      </c>
      <c r="F65" s="330">
        <f t="shared" ca="1" si="0"/>
        <v>1E-3</v>
      </c>
      <c r="I65" s="1462" t="s">
        <v>867</v>
      </c>
      <c r="J65" s="1463">
        <v>40</v>
      </c>
      <c r="K65" s="1463">
        <v>30</v>
      </c>
      <c r="L65" s="1463">
        <v>50</v>
      </c>
      <c r="M65" s="1465">
        <v>0.02</v>
      </c>
      <c r="O65" s="1418" t="s">
        <v>403</v>
      </c>
      <c r="P65" s="1419" t="s">
        <v>868</v>
      </c>
      <c r="Q65" s="1420">
        <f ca="1">C40+J29</f>
        <v>3164131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-15383</v>
      </c>
      <c r="D67" s="963" t="s">
        <v>753</v>
      </c>
      <c r="E67" s="968"/>
      <c r="F67" s="969"/>
      <c r="O67" s="1428" t="s">
        <v>405</v>
      </c>
      <c r="P67" s="1419" t="s">
        <v>850</v>
      </c>
      <c r="Q67" s="1466">
        <f ca="1">L51</f>
        <v>2709596</v>
      </c>
      <c r="R67" s="1420" t="s">
        <v>870</v>
      </c>
    </row>
    <row r="68" spans="1:18" s="1384" customFormat="1" ht="16.5" thickBot="1">
      <c r="A68" s="947" t="s">
        <v>395</v>
      </c>
      <c r="B68" s="948" t="s">
        <v>774</v>
      </c>
      <c r="C68" s="301">
        <f ca="1">ROUND(C67*(1-((1+F70)/(1+F68))^F69)/(F68-F70),0)</f>
        <v>-172998</v>
      </c>
      <c r="D68" s="965" t="s">
        <v>758</v>
      </c>
      <c r="E68" s="950" t="s">
        <v>759</v>
      </c>
      <c r="F68" s="312">
        <f ca="1">F40</f>
        <v>5.5E-2</v>
      </c>
      <c r="O68" s="1428" t="s">
        <v>406</v>
      </c>
      <c r="P68" s="1467" t="s">
        <v>871</v>
      </c>
      <c r="Q68" s="1420">
        <f ca="1">ROUND(Q69-Q70*Q71,0)</f>
        <v>159228</v>
      </c>
      <c r="R68" s="1420" t="s">
        <v>414</v>
      </c>
    </row>
    <row r="69" spans="1:18" s="1384" customFormat="1" ht="13.5" thickBot="1">
      <c r="A69" s="951"/>
      <c r="B69" s="952"/>
      <c r="C69" s="306"/>
      <c r="D69" s="970" t="s">
        <v>762</v>
      </c>
      <c r="E69" s="950" t="s">
        <v>763</v>
      </c>
      <c r="F69" s="333">
        <f ca="1">F41</f>
        <v>18</v>
      </c>
      <c r="O69" s="1428" t="s">
        <v>411</v>
      </c>
      <c r="P69" s="1467" t="s">
        <v>872</v>
      </c>
      <c r="Q69" s="1420">
        <f ca="1">C39</f>
        <v>234355</v>
      </c>
      <c r="R69" s="1420" t="s">
        <v>818</v>
      </c>
    </row>
    <row r="70" spans="1:18" s="1384" customFormat="1" ht="13.5" thickBot="1">
      <c r="A70" s="954"/>
      <c r="B70" s="955"/>
      <c r="C70" s="310"/>
      <c r="D70" s="966"/>
      <c r="E70" s="950" t="s">
        <v>766</v>
      </c>
      <c r="F70" s="1054"/>
      <c r="O70" s="1428" t="s">
        <v>412</v>
      </c>
      <c r="P70" s="1467" t="s">
        <v>873</v>
      </c>
      <c r="Q70" s="1420">
        <f ca="1">C13</f>
        <v>1073237</v>
      </c>
      <c r="R70" s="1420" t="s">
        <v>818</v>
      </c>
    </row>
    <row r="71" spans="1:18" s="1384" customFormat="1" ht="13.5" thickBot="1">
      <c r="A71" s="971" t="s">
        <v>396</v>
      </c>
      <c r="B71" s="972" t="s">
        <v>776</v>
      </c>
      <c r="C71" s="336">
        <f ca="1">ROUND(C68/F71,0)</f>
        <v>-736</v>
      </c>
      <c r="D71" s="973" t="s">
        <v>777</v>
      </c>
      <c r="E71" s="974" t="s">
        <v>778</v>
      </c>
      <c r="F71" s="339">
        <f ca="1">F43</f>
        <v>234.93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75127</v>
      </c>
      <c r="D75" s="1384"/>
      <c r="E75" s="1384"/>
      <c r="F75" s="1384"/>
      <c r="K75" s="1402"/>
      <c r="L75" s="1384"/>
      <c r="O75" s="1418" t="s">
        <v>409</v>
      </c>
      <c r="P75" s="1419" t="s">
        <v>838</v>
      </c>
      <c r="Q75" s="1420">
        <f ca="1">Q65+Q66</f>
        <v>3164131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0.67900000000000005</v>
      </c>
    </row>
    <row r="80" spans="1:18">
      <c r="B80" s="340" t="s">
        <v>800</v>
      </c>
      <c r="C80" s="274">
        <f ca="1">ROUND(C75/C39,3)</f>
        <v>0.32100000000000001</v>
      </c>
    </row>
    <row r="81" spans="2:3">
      <c r="B81" s="270" t="s">
        <v>801</v>
      </c>
      <c r="C81" s="238"/>
    </row>
    <row r="82" spans="2:3">
      <c r="B82" s="273" t="s">
        <v>802</v>
      </c>
      <c r="C82" s="275">
        <f ca="1">1-C83</f>
        <v>0.66100000000000003</v>
      </c>
    </row>
    <row r="83" spans="2:3">
      <c r="B83" s="273" t="s">
        <v>803</v>
      </c>
      <c r="C83" s="274">
        <f ca="1">ROUND(C13/C40,3)</f>
        <v>0.33900000000000002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L14" sqref="L1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4" sqref="L1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331.98500000000001</v>
      </c>
      <c r="C2" s="1872" t="s">
        <v>1651</v>
      </c>
      <c r="D2" s="1873" t="s">
        <v>1652</v>
      </c>
      <c r="E2" s="2607">
        <f>SUM(E6:E13)</f>
        <v>234.93</v>
      </c>
      <c r="F2" s="2707"/>
      <c r="G2" s="1489"/>
      <c r="H2" s="1489"/>
      <c r="I2" s="1489"/>
      <c r="J2" s="1489"/>
      <c r="K2" s="1489"/>
      <c r="L2" s="1489"/>
      <c r="M2" s="1489"/>
      <c r="N2" s="1489"/>
      <c r="O2" s="1489"/>
      <c r="P2" s="1489"/>
      <c r="Q2" s="1489"/>
      <c r="R2" s="1489"/>
      <c r="S2" s="1489"/>
    </row>
    <row r="3" spans="1:22" ht="15.75">
      <c r="A3" s="1870" t="s">
        <v>686</v>
      </c>
      <c r="B3" s="2601">
        <f ca="1">ROUND(B2*10000/E2,0)</f>
        <v>14131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331.98500000000001</v>
      </c>
      <c r="C6" s="1872" t="s">
        <v>1651</v>
      </c>
      <c r="D6" s="2709"/>
      <c r="E6" s="2606">
        <f>IF(OR(A6=0,F6="否"),0,'数据-取费表'!K6+'数据-取费表'!S6)</f>
        <v>234.93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234.93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45302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234.93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45302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234.93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45302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234.93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45302</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估价对象为北京市房地产，为所有。根据《国有土地使用证》[]，估价对象（分摊）出让国有建设用地使用权面积为0平方米，建筑面积为234.93平方米。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估价对象为北京市房地产,属开发建设的，该项目尚在开发建设中。根据《国有土地使用证》[]，估价对象（分摊）出让国有建设用地使用权面积为0平方米，规划建筑面积为234.93平方米。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2024年1月11日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45302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45302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45302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147</v>
      </c>
      <c r="G10" s="414"/>
      <c r="H10" s="127">
        <f>ROUND(100/'数据-取费表'!G16,0)</f>
        <v>147</v>
      </c>
      <c r="I10" s="414"/>
      <c r="J10" s="127">
        <f>ROUND(100/'数据-取费表'!G16,0)</f>
        <v>147</v>
      </c>
      <c r="K10" s="620"/>
      <c r="L10" s="2719"/>
      <c r="M10" s="2720"/>
      <c r="N10" s="2720"/>
      <c r="O10" s="2773"/>
      <c r="P10" s="3696"/>
      <c r="Q10" s="1343" t="str">
        <f t="shared" si="6"/>
        <v>土地使用年限（年）</v>
      </c>
      <c r="R10" s="701" t="s">
        <v>14</v>
      </c>
      <c r="S10" s="702">
        <f t="shared" si="0"/>
        <v>147</v>
      </c>
      <c r="T10" s="701" t="s">
        <v>14</v>
      </c>
      <c r="U10" s="702">
        <f t="shared" si="1"/>
        <v>147</v>
      </c>
      <c r="V10" s="701" t="s">
        <v>14</v>
      </c>
      <c r="W10" s="702">
        <f t="shared" si="2"/>
        <v>147</v>
      </c>
      <c r="X10" s="703"/>
      <c r="Y10" s="3608"/>
      <c r="Z10" s="52" t="str">
        <f t="shared" si="7"/>
        <v>土地使用年限（年）</v>
      </c>
      <c r="AA10" s="704">
        <f t="shared" si="3"/>
        <v>0.68027210884353739</v>
      </c>
      <c r="AB10" s="704">
        <f t="shared" si="4"/>
        <v>0.68027210884353739</v>
      </c>
      <c r="AC10" s="704">
        <f t="shared" si="5"/>
        <v>0.68027210884353739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234.93</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五级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五级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五级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五级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234.93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45302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147</v>
      </c>
      <c r="G10" s="383"/>
      <c r="H10" s="127">
        <f>ROUND(100/'数据-取费表'!G16,0)</f>
        <v>147</v>
      </c>
      <c r="I10" s="383"/>
      <c r="J10" s="127">
        <f>ROUND(100/'数据-取费表'!G16,0)</f>
        <v>147</v>
      </c>
      <c r="K10" s="620"/>
      <c r="L10" s="2719"/>
      <c r="M10" s="2720"/>
      <c r="N10" s="2720"/>
      <c r="O10" s="2773"/>
      <c r="P10" s="3696"/>
      <c r="Q10" s="1343" t="str">
        <f t="shared" si="6"/>
        <v>土地使用年限（年）</v>
      </c>
      <c r="R10" s="701" t="s">
        <v>14</v>
      </c>
      <c r="S10" s="702">
        <f t="shared" si="0"/>
        <v>147</v>
      </c>
      <c r="T10" s="701" t="s">
        <v>14</v>
      </c>
      <c r="U10" s="702">
        <f t="shared" si="1"/>
        <v>147</v>
      </c>
      <c r="V10" s="701" t="s">
        <v>14</v>
      </c>
      <c r="W10" s="702">
        <f t="shared" si="2"/>
        <v>147</v>
      </c>
      <c r="X10" s="703"/>
      <c r="Y10" s="3608"/>
      <c r="Z10" s="52" t="str">
        <f t="shared" si="7"/>
        <v>土地使用年限（年）</v>
      </c>
      <c r="AA10" s="704">
        <f t="shared" si="3"/>
        <v>0.68027210884353739</v>
      </c>
      <c r="AB10" s="704">
        <f t="shared" si="4"/>
        <v>0.68027210884353739</v>
      </c>
      <c r="AC10" s="704">
        <f t="shared" si="5"/>
        <v>0.68027210884353739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234.93</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五级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五级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五级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五级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297</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297</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30" sqref="E3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297</v>
      </c>
      <c r="C2" s="1999" t="s">
        <v>1935</v>
      </c>
      <c r="D2" s="2000" t="s">
        <v>1936</v>
      </c>
      <c r="E2" s="3422" t="s">
        <v>673</v>
      </c>
      <c r="F2" s="2000" t="s">
        <v>1937</v>
      </c>
      <c r="G2" s="2001" t="str">
        <f>IF(E2="商业",项目基本情况!B37,IF(E2="办公",项目基本情况!C37,IF(E2="住宅",项目基本情况!D37,IF(E2="工业",项目基本情况!E37,项目基本情况!F37))))</f>
        <v>五级</v>
      </c>
      <c r="H2" s="2000" t="s">
        <v>1938</v>
      </c>
      <c r="I2" s="2001" t="str">
        <f>IF(E2="商业",项目基本情况!B38,IF(E2="办公",项目基本情况!C38,IF(E2="住宅",项目基本情况!D38,IF(E2="工业",项目基本情况!E38,项目基本情况!F38))))</f>
        <v>Ⅴ-15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16039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t="s">
        <v>2443</v>
      </c>
      <c r="F3" s="2004"/>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12642</v>
      </c>
      <c r="U3" s="1213">
        <v>234.93</v>
      </c>
      <c r="V3" s="3361">
        <f t="shared" ref="V3:V16" si="1">ROUND(T3*U3/10000,0)</f>
        <v>297</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10684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14584</v>
      </c>
      <c r="D5" s="1339">
        <f>ROUND(C6*C17+C20,0)</f>
        <v>14584</v>
      </c>
      <c r="E5" s="1339"/>
      <c r="F5" s="2007"/>
      <c r="G5" s="2008"/>
      <c r="H5" s="2008"/>
      <c r="I5" s="2008"/>
      <c r="J5" s="2009"/>
      <c r="K5" s="2010"/>
      <c r="L5" s="2003" t="s">
        <v>1948</v>
      </c>
      <c r="M5" s="864">
        <f>SUMPRODUCT((区片价!B87:B126=I2)*(区片价!C3:G3=E2)*(区片价!C87:G126))</f>
        <v>14620</v>
      </c>
      <c r="N5" s="866">
        <f>SUMPRODUCT((因素修正幅度!B87:B126=I2)*(因素修正幅度!C3:G3=E2)*(因素修正幅度!C87:G126))</f>
        <v>0.1</v>
      </c>
      <c r="O5" s="1119"/>
      <c r="P5" s="1119"/>
      <c r="Q5" s="1119"/>
      <c r="R5" s="1212">
        <v>4</v>
      </c>
      <c r="S5" s="3361">
        <f>ROUND(SUMPRODUCT((B106:B110=R5)*(C105:N105=G2)*(C106:N110)),4)</f>
        <v>0.88239999999999996</v>
      </c>
      <c r="T5" s="3361">
        <f t="shared" si="0"/>
        <v>9423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14620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9056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五级</v>
      </c>
      <c r="Y7" s="1214" t="s">
        <v>1956</v>
      </c>
      <c r="Z7" s="1215">
        <f>G3</f>
        <v>2.5</v>
      </c>
      <c r="AA7" s="1216"/>
      <c r="AB7" s="1216"/>
      <c r="AC7" s="1217"/>
      <c r="AD7" s="1218"/>
      <c r="AE7" s="1218"/>
      <c r="AF7" s="1218"/>
      <c r="AG7" s="1218"/>
      <c r="AH7" s="1218"/>
      <c r="AI7" s="1218"/>
      <c r="AJ7" s="1219"/>
    </row>
    <row r="8" spans="1:36" ht="25.5">
      <c r="A8" s="3299"/>
      <c r="B8" s="170" t="s">
        <v>1957</v>
      </c>
      <c r="C8" s="2026" t="s">
        <v>3386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-36</v>
      </c>
      <c r="D20" s="3341" t="s">
        <v>1998</v>
      </c>
      <c r="E20" s="3342"/>
      <c r="F20" s="3754" t="s">
        <v>1995</v>
      </c>
      <c r="G20" s="3755"/>
      <c r="H20" s="3326" t="s">
        <v>3388</v>
      </c>
      <c r="I20" s="3326" t="s">
        <v>3389</v>
      </c>
      <c r="J20" s="3327" t="s">
        <v>3390</v>
      </c>
      <c r="K20" s="2047" t="s">
        <v>3391</v>
      </c>
      <c r="L20" s="2047" t="s">
        <v>3392</v>
      </c>
      <c r="M20" s="2047" t="s">
        <v>3393</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3387</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45302</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0.70089999999999997</v>
      </c>
      <c r="D24" s="2060" t="s">
        <v>2007</v>
      </c>
      <c r="E24" s="1335">
        <f>存贷款利率!E24/100</f>
        <v>4.3499999999999997E-2</v>
      </c>
      <c r="F24" s="2060" t="s">
        <v>1999</v>
      </c>
      <c r="G24" s="768">
        <f>SUMIF(M30:Q30,E2,M33:Q33)</f>
        <v>5.5E-2</v>
      </c>
      <c r="H24" s="2060" t="s">
        <v>2008</v>
      </c>
      <c r="I24" s="769">
        <f>SUMIF('数据-取费表'!C6:C15,E2,'数据-取费表'!F6:F15)/COUNTIF('数据-取费表'!C6:C15,E2)</f>
        <v>18</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3408</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297</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12642</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6407</v>
      </c>
      <c r="D37" s="2098"/>
      <c r="E37" s="171">
        <f>ROUND(C37*D37/10000,0)</f>
        <v>0</v>
      </c>
      <c r="F37" s="171">
        <f>SUMIF(修正!A57:A68,G2,修正!B57:B68)</f>
        <v>0.6</v>
      </c>
      <c r="G37" s="171">
        <f>ROUND(IF(E2="工业",C37*$M$42,C37*$M$41),0)</f>
        <v>1602</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3204</v>
      </c>
      <c r="D38" s="2098"/>
      <c r="E38" s="171">
        <f t="shared" ref="E38:E42" si="4">ROUND(C38*D38/10000,0)</f>
        <v>0</v>
      </c>
      <c r="F38" s="171">
        <f>SUMIF(修正!A57:A68,G2,修正!C57:C68)</f>
        <v>0.3</v>
      </c>
      <c r="G38" s="171">
        <f>ROUND(IF(E2="工业",C38*$M$42,C38*$M$41),0)</f>
        <v>801</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2670</v>
      </c>
      <c r="D39" s="2098"/>
      <c r="E39" s="171">
        <f t="shared" si="4"/>
        <v>0</v>
      </c>
      <c r="F39" s="171">
        <f>SUMIF(修正!A57:A68,G2,修正!D57:D68)</f>
        <v>0.25</v>
      </c>
      <c r="G39" s="171">
        <f>ROUND(IF(E2="工业",C39*$M$42,C39*$M$41),0)</f>
        <v>668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2670</v>
      </c>
      <c r="D40" s="2098"/>
      <c r="E40" s="171">
        <f t="shared" si="4"/>
        <v>0</v>
      </c>
      <c r="F40" s="175">
        <f>SUMIF(修正!A57:A68,G2,修正!E57:E68)</f>
        <v>0.25</v>
      </c>
      <c r="G40" s="171">
        <f>ROUND(IF(E2="工业",C40*$M$42,C40*$M$41),0)</f>
        <v>668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v>7.9000000000000008E-3</v>
      </c>
      <c r="D50" s="1065">
        <f t="shared" ref="D50:D58" si="7">SUMIF($J$49:$N$49,C50,J50:N50)</f>
        <v>0</v>
      </c>
      <c r="E50" s="744">
        <f>ROUND(SUM(D50:D58),4)</f>
        <v>0</v>
      </c>
      <c r="F50" s="1814">
        <f>IF(E2="商业",SUMIF(L1:L12,G2,N1:N12),"——")</f>
        <v>0.1</v>
      </c>
      <c r="G50" s="1063">
        <v>7.9000000000000008E-3</v>
      </c>
      <c r="H50" s="1066">
        <f t="shared" ref="H50:H58" si="8">IFERROR(ROUNDDOWN($F$50*I50/2,4),"——")</f>
        <v>1.4999999999999999E-2</v>
      </c>
      <c r="I50" s="3367">
        <v>0.3</v>
      </c>
      <c r="J50" s="1064">
        <f t="shared" ref="J50:J58" si="9">K50+$G50</f>
        <v>1.5800000000000002E-2</v>
      </c>
      <c r="K50" s="1064">
        <f t="shared" ref="K50:K58" si="10">$L50+$G50</f>
        <v>7.9000000000000008E-3</v>
      </c>
      <c r="L50" s="1064">
        <v>0</v>
      </c>
      <c r="M50" s="1064">
        <f t="shared" ref="M50:N58" si="11">L50-$G50</f>
        <v>-7.9000000000000008E-3</v>
      </c>
      <c r="N50" s="1064">
        <f t="shared" si="11"/>
        <v>-1.5800000000000002E-2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v>5.7999999999999996E-3</v>
      </c>
      <c r="D51" s="1065">
        <f t="shared" si="7"/>
        <v>0</v>
      </c>
      <c r="E51" s="745"/>
      <c r="F51" s="1814"/>
      <c r="G51" s="1063">
        <v>5.7999999999999996E-3</v>
      </c>
      <c r="H51" s="1066">
        <f t="shared" si="8"/>
        <v>1.0999999999999999E-2</v>
      </c>
      <c r="I51" s="3367">
        <v>0.22</v>
      </c>
      <c r="J51" s="1064">
        <f t="shared" si="9"/>
        <v>1.1599999999999999E-2</v>
      </c>
      <c r="K51" s="1064">
        <f t="shared" si="10"/>
        <v>5.7999999999999996E-3</v>
      </c>
      <c r="L51" s="1064">
        <v>0</v>
      </c>
      <c r="M51" s="1064">
        <f t="shared" si="11"/>
        <v>-5.7999999999999996E-3</v>
      </c>
      <c r="N51" s="1064">
        <f t="shared" si="11"/>
        <v>-1.1599999999999999E-2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v>3.0999999999999999E-3</v>
      </c>
      <c r="D52" s="1065">
        <f t="shared" si="7"/>
        <v>0</v>
      </c>
      <c r="E52" s="745"/>
      <c r="F52" s="1814"/>
      <c r="G52" s="1063">
        <v>3.0999999999999999E-3</v>
      </c>
      <c r="H52" s="1066">
        <f t="shared" si="8"/>
        <v>6.0000000000000001E-3</v>
      </c>
      <c r="I52" s="3367">
        <v>0.12</v>
      </c>
      <c r="J52" s="1064">
        <f t="shared" si="9"/>
        <v>6.1999999999999998E-3</v>
      </c>
      <c r="K52" s="1064">
        <f t="shared" si="10"/>
        <v>3.0999999999999999E-3</v>
      </c>
      <c r="L52" s="1064">
        <v>0</v>
      </c>
      <c r="M52" s="1064">
        <f t="shared" si="11"/>
        <v>-3.0999999999999999E-3</v>
      </c>
      <c r="N52" s="1064">
        <f t="shared" si="11"/>
        <v>-6.1999999999999998E-3</v>
      </c>
      <c r="AA52" s="1120"/>
      <c r="AB52" s="1120"/>
      <c r="AC52" s="1120"/>
      <c r="AD52" s="1120"/>
      <c r="AE52" s="1120"/>
      <c r="AF52" s="1120"/>
      <c r="AG52" s="1120"/>
      <c r="AH52" s="1120"/>
      <c r="AI52" s="1120"/>
      <c r="AJ52" s="1120"/>
      <c r="AK52" s="1120"/>
    </row>
    <row r="53" spans="1:37" s="1119" customFormat="1" ht="36.75">
      <c r="A53" s="2130" t="s">
        <v>2054</v>
      </c>
      <c r="B53" s="2135" t="s">
        <v>2055</v>
      </c>
      <c r="C53" s="2044">
        <v>1.2999999999999999E-3</v>
      </c>
      <c r="D53" s="1065">
        <f t="shared" si="7"/>
        <v>0</v>
      </c>
      <c r="E53" s="745"/>
      <c r="F53" s="1814"/>
      <c r="G53" s="1063">
        <v>1.2999999999999999E-3</v>
      </c>
      <c r="H53" s="1066">
        <f t="shared" si="8"/>
        <v>2.5000000000000001E-3</v>
      </c>
      <c r="I53" s="3367">
        <v>0.05</v>
      </c>
      <c r="J53" s="1064">
        <f t="shared" si="9"/>
        <v>2.5999999999999999E-3</v>
      </c>
      <c r="K53" s="1064">
        <f t="shared" si="10"/>
        <v>1.2999999999999999E-3</v>
      </c>
      <c r="L53" s="1064">
        <v>0</v>
      </c>
      <c r="M53" s="1064">
        <f t="shared" si="11"/>
        <v>-1.2999999999999999E-3</v>
      </c>
      <c r="N53" s="1064">
        <f t="shared" si="11"/>
        <v>-2.5999999999999999E-3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v>2.0999999999999999E-3</v>
      </c>
      <c r="D54" s="1065">
        <f t="shared" si="7"/>
        <v>0</v>
      </c>
      <c r="E54" s="745"/>
      <c r="F54" s="1814"/>
      <c r="G54" s="1063">
        <v>2.0999999999999999E-3</v>
      </c>
      <c r="H54" s="1066">
        <f t="shared" si="8"/>
        <v>4.0000000000000001E-3</v>
      </c>
      <c r="I54" s="3367">
        <v>0.08</v>
      </c>
      <c r="J54" s="1064">
        <f t="shared" si="9"/>
        <v>4.1999999999999997E-3</v>
      </c>
      <c r="K54" s="1064">
        <f t="shared" si="10"/>
        <v>2.0999999999999999E-3</v>
      </c>
      <c r="L54" s="1064">
        <v>0</v>
      </c>
      <c r="M54" s="1064">
        <f t="shared" si="11"/>
        <v>-2.0999999999999999E-3</v>
      </c>
      <c r="N54" s="1064">
        <f t="shared" si="11"/>
        <v>-4.1999999999999997E-3</v>
      </c>
      <c r="AA54" s="1120"/>
      <c r="AB54" s="1120"/>
      <c r="AC54" s="1120"/>
      <c r="AD54" s="1120"/>
      <c r="AE54" s="1120"/>
      <c r="AF54" s="1120"/>
      <c r="AG54" s="1120"/>
      <c r="AH54" s="1120"/>
      <c r="AI54" s="1120"/>
      <c r="AJ54" s="1120"/>
      <c r="AK54" s="1120"/>
    </row>
    <row r="55" spans="1:37" s="1119" customFormat="1" ht="24">
      <c r="A55" s="2130" t="s">
        <v>2057</v>
      </c>
      <c r="B55" s="2136" t="s">
        <v>2058</v>
      </c>
      <c r="C55" s="2044">
        <v>1.2999999999999999E-3</v>
      </c>
      <c r="D55" s="1065">
        <f t="shared" si="7"/>
        <v>0</v>
      </c>
      <c r="E55" s="745"/>
      <c r="F55" s="1814"/>
      <c r="G55" s="1063">
        <v>1.2999999999999999E-3</v>
      </c>
      <c r="H55" s="1066">
        <f t="shared" si="8"/>
        <v>2.5000000000000001E-3</v>
      </c>
      <c r="I55" s="3367">
        <v>0.05</v>
      </c>
      <c r="J55" s="1064">
        <f t="shared" si="9"/>
        <v>2.5999999999999999E-3</v>
      </c>
      <c r="K55" s="1064">
        <f t="shared" si="10"/>
        <v>1.2999999999999999E-3</v>
      </c>
      <c r="L55" s="1064">
        <v>0</v>
      </c>
      <c r="M55" s="1064">
        <f t="shared" si="11"/>
        <v>-1.2999999999999999E-3</v>
      </c>
      <c r="N55" s="1064">
        <f t="shared" si="11"/>
        <v>-2.5999999999999999E-3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v>1.2999999999999999E-3</v>
      </c>
      <c r="D56" s="1065">
        <f t="shared" si="7"/>
        <v>0</v>
      </c>
      <c r="E56" s="745"/>
      <c r="F56" s="1814"/>
      <c r="G56" s="1063">
        <v>1.2999999999999999E-3</v>
      </c>
      <c r="H56" s="1066">
        <f t="shared" si="8"/>
        <v>2.5000000000000001E-3</v>
      </c>
      <c r="I56" s="3367">
        <v>0.05</v>
      </c>
      <c r="J56" s="1064">
        <f t="shared" si="9"/>
        <v>2.5999999999999999E-3</v>
      </c>
      <c r="K56" s="1064">
        <f t="shared" si="10"/>
        <v>1.2999999999999999E-3</v>
      </c>
      <c r="L56" s="1064">
        <v>0</v>
      </c>
      <c r="M56" s="1064">
        <f t="shared" si="11"/>
        <v>-1.2999999999999999E-3</v>
      </c>
      <c r="N56" s="1064">
        <f t="shared" si="11"/>
        <v>-2.5999999999999999E-3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v>2.0999999999999999E-3</v>
      </c>
      <c r="D57" s="1065">
        <f t="shared" si="7"/>
        <v>0</v>
      </c>
      <c r="E57" s="745"/>
      <c r="F57" s="1814"/>
      <c r="G57" s="1063">
        <v>2.0999999999999999E-3</v>
      </c>
      <c r="H57" s="1066">
        <f t="shared" si="8"/>
        <v>4.0000000000000001E-3</v>
      </c>
      <c r="I57" s="3367">
        <v>0.08</v>
      </c>
      <c r="J57" s="1064">
        <f t="shared" si="9"/>
        <v>4.1999999999999997E-3</v>
      </c>
      <c r="K57" s="1064">
        <f t="shared" si="10"/>
        <v>2.0999999999999999E-3</v>
      </c>
      <c r="L57" s="1064">
        <v>0</v>
      </c>
      <c r="M57" s="1064">
        <f t="shared" si="11"/>
        <v>-2.0999999999999999E-3</v>
      </c>
      <c r="N57" s="1064">
        <f t="shared" si="11"/>
        <v>-4.1999999999999997E-3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v>1.2999999999999999E-3</v>
      </c>
      <c r="D58" s="1065">
        <f t="shared" si="7"/>
        <v>0</v>
      </c>
      <c r="E58" s="746"/>
      <c r="F58" s="1814"/>
      <c r="G58" s="1063">
        <v>1.2999999999999999E-3</v>
      </c>
      <c r="H58" s="1066">
        <f t="shared" si="8"/>
        <v>2.5000000000000001E-3</v>
      </c>
      <c r="I58" s="3368">
        <v>0.05</v>
      </c>
      <c r="J58" s="1064">
        <f t="shared" si="9"/>
        <v>2.5999999999999999E-3</v>
      </c>
      <c r="K58" s="1064">
        <f t="shared" si="10"/>
        <v>1.2999999999999999E-3</v>
      </c>
      <c r="L58" s="1064">
        <v>0</v>
      </c>
      <c r="M58" s="1064">
        <f t="shared" si="11"/>
        <v>-1.2999999999999999E-3</v>
      </c>
      <c r="N58" s="1064">
        <f t="shared" si="11"/>
        <v>-2.5999999999999999E-3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3274</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3277</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3273</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3278</v>
      </c>
      <c r="B96" s="3385" t="s">
        <v>3289</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3279</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3280</v>
      </c>
      <c r="B98" s="3386" t="s">
        <v>3290</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3281</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3282</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3283</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2</v>
      </c>
      <c r="D111" s="3396">
        <f t="shared" ref="D111:M111" si="32">$I$3</f>
        <v>2</v>
      </c>
      <c r="E111" s="3396">
        <f t="shared" si="32"/>
        <v>2</v>
      </c>
      <c r="F111" s="3396">
        <f t="shared" si="32"/>
        <v>2</v>
      </c>
      <c r="G111" s="3396">
        <f t="shared" si="32"/>
        <v>2</v>
      </c>
      <c r="H111" s="3396">
        <f t="shared" si="32"/>
        <v>2</v>
      </c>
      <c r="I111" s="3396">
        <f t="shared" si="32"/>
        <v>2</v>
      </c>
      <c r="J111" s="3396">
        <f t="shared" si="32"/>
        <v>2</v>
      </c>
      <c r="K111" s="3396">
        <f t="shared" si="32"/>
        <v>2</v>
      </c>
      <c r="L111" s="3396">
        <f t="shared" si="32"/>
        <v>2</v>
      </c>
      <c r="M111" s="3396">
        <f t="shared" si="32"/>
        <v>2</v>
      </c>
      <c r="N111" s="3396">
        <f>$I$3</f>
        <v>2</v>
      </c>
    </row>
    <row r="112" spans="1:14">
      <c r="A112" s="3739"/>
      <c r="B112" s="3395">
        <v>6</v>
      </c>
      <c r="C112" s="3388">
        <f>(-0.5556*(C111^2)-0.2719*C111+8944)*(10^(-4))</f>
        <v>0.89412338000000002</v>
      </c>
      <c r="D112" s="3388">
        <f>(-0.5556*(D111^2)-0.2719*D111+8944)*(10^(-4))</f>
        <v>0.89412338000000002</v>
      </c>
      <c r="E112" s="3388">
        <f>(-0.7912*(E111^2)-11.3794*E111+8482)*(10^(-4))</f>
        <v>0.84560763999999999</v>
      </c>
      <c r="F112" s="3388">
        <f t="shared" ref="F112:I112" si="33">(-0.7912*(F111^2)-11.3794*F111+8482)*(10^(-4))</f>
        <v>0.84560763999999999</v>
      </c>
      <c r="G112" s="3388">
        <f t="shared" si="33"/>
        <v>0.84560763999999999</v>
      </c>
      <c r="H112" s="3388">
        <f t="shared" si="33"/>
        <v>0.84560763999999999</v>
      </c>
      <c r="I112" s="3388">
        <f t="shared" si="33"/>
        <v>0.84560763999999999</v>
      </c>
      <c r="J112" s="3388">
        <f>(-0.989*(J111^2)-63.78*J111+7771)*(10^(-4))</f>
        <v>0.76394840000000008</v>
      </c>
      <c r="K112" s="3388">
        <f t="shared" ref="K112:N112" si="34">(-0.989*(K111^2)-63.78*K111+7771)*(10^(-4))</f>
        <v>0.76394840000000008</v>
      </c>
      <c r="L112" s="3388">
        <f t="shared" si="34"/>
        <v>0.76394840000000008</v>
      </c>
      <c r="M112" s="3388">
        <f t="shared" si="34"/>
        <v>0.76394840000000008</v>
      </c>
      <c r="N112" s="3388">
        <f t="shared" si="34"/>
        <v>0.76394840000000008</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2.5</v>
      </c>
      <c r="C116" s="3400" t="s">
        <v>3317</v>
      </c>
      <c r="D116" s="3401">
        <f>SUMPRODUCT((A118:A122=F116)*(B117:M117=H116)*B118:M122)</f>
        <v>0.91400000000000003</v>
      </c>
      <c r="E116" s="2000" t="s">
        <v>3318</v>
      </c>
      <c r="F116" s="3402" t="str">
        <f>E2</f>
        <v>商业</v>
      </c>
      <c r="G116" s="2000" t="s">
        <v>3319</v>
      </c>
      <c r="H116" s="3402" t="str">
        <f>G2</f>
        <v>五级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3333</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3334</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5" thickBot="1">
      <c r="A121" s="3412" t="s">
        <v>3335</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2616</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0.95120000000000005</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29059</v>
      </c>
      <c r="C2" s="2" t="s">
        <v>106</v>
      </c>
      <c r="D2" s="199"/>
      <c r="E2" s="199"/>
      <c r="F2" s="199"/>
      <c r="G2" s="199"/>
    </row>
    <row r="3" spans="1:7" s="200" customFormat="1" ht="18" customHeight="1" thickBot="1">
      <c r="A3" s="203" t="s">
        <v>58</v>
      </c>
      <c r="B3" s="204">
        <f ca="1">ROUND(B2*10000/'数据-汇总表'!E3,0)</f>
        <v>1236922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v>
      </c>
      <c r="D10" s="845">
        <f>'数据-汇总表'!E6</f>
        <v>234.93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234.93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28952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94</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234.93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4</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v>
      </c>
      <c r="D42" s="238"/>
      <c r="E42" s="238"/>
      <c r="F42" s="239"/>
      <c r="G42" s="3632" t="s">
        <v>94</v>
      </c>
    </row>
    <row r="43" spans="1:7" ht="13.5" customHeight="1">
      <c r="A43" s="780" t="s">
        <v>347</v>
      </c>
      <c r="B43" s="215" t="s">
        <v>426</v>
      </c>
      <c r="C43" s="238">
        <f ca="1">ROUND(IF('数据-取费表'!B22&lt;=1,C39*F22*'数据-取费表'!B21/2,C39*(POWER((1+F22),'数据-取费表'!B21/2)-1)),0)</f>
        <v>0</v>
      </c>
      <c r="D43" s="238"/>
      <c r="E43" s="238"/>
      <c r="F43" s="239"/>
      <c r="G43" s="3633"/>
    </row>
    <row r="44" spans="1:7" ht="13.5" customHeight="1">
      <c r="A44" s="780" t="s">
        <v>348</v>
      </c>
      <c r="B44" s="215" t="s">
        <v>428</v>
      </c>
      <c r="C44" s="238">
        <f ca="1">ROUND(IF('数据-取费表'!B22&lt;=1,C40*F22*'数据-取费表'!B21/2,C40*(POWER((1+F22),'数据-取费表'!B21/2)-1)),4)</f>
        <v>6.9999999999999999E-4</v>
      </c>
      <c r="D44" s="238"/>
      <c r="E44" s="238"/>
      <c r="F44" s="239"/>
      <c r="G44" s="3634"/>
    </row>
    <row r="45" spans="1:7" s="214" customFormat="1" ht="13.5" customHeight="1">
      <c r="A45" s="777" t="s">
        <v>341</v>
      </c>
      <c r="B45" s="244" t="s">
        <v>85</v>
      </c>
      <c r="C45" s="245">
        <f>C46</f>
        <v>21</v>
      </c>
      <c r="D45" s="235">
        <f>C47</f>
        <v>4.0000000000000001E-3</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143</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107</v>
      </c>
      <c r="D51" s="232"/>
      <c r="E51" s="232"/>
      <c r="F51" s="264"/>
      <c r="G51" s="234" t="s">
        <v>37</v>
      </c>
    </row>
    <row r="52" spans="1:7" s="208" customFormat="1" ht="16.5" thickBot="1">
      <c r="A52" s="265" t="s">
        <v>38</v>
      </c>
      <c r="B52" s="266"/>
      <c r="C52" s="267">
        <f ca="1">C31+C51</f>
        <v>29059</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480</v>
      </c>
      <c r="E5" s="1491"/>
    </row>
    <row r="6" spans="1:5" ht="15.75">
      <c r="A6" s="1491"/>
      <c r="B6" s="3451"/>
      <c r="C6" s="1494" t="s">
        <v>911</v>
      </c>
      <c r="D6" s="850" t="str">
        <f ca="1">NUMBERSTRING(INT(D5*10000),2)&amp;"元整"</f>
        <v>肆佰捌拾万元整</v>
      </c>
      <c r="E6" s="1491"/>
    </row>
    <row r="7" spans="1:5" ht="15.75">
      <c r="A7" s="1491"/>
      <c r="B7" s="3456"/>
      <c r="C7" s="1495" t="s">
        <v>912</v>
      </c>
      <c r="D7" s="851">
        <f ca="1">结果表!H102</f>
        <v>20441</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480</v>
      </c>
      <c r="E13" s="1491"/>
    </row>
    <row r="14" spans="1:5" ht="15.75">
      <c r="A14" s="1491"/>
      <c r="B14" s="3451"/>
      <c r="C14" s="1494" t="s">
        <v>911</v>
      </c>
      <c r="D14" s="850" t="str">
        <f ca="1">NUMBERSTRING(INT(D13*10000),2)&amp;"元整"</f>
        <v>肆佰捌拾万元整</v>
      </c>
      <c r="E14" s="1491"/>
    </row>
    <row r="15" spans="1:5" ht="15">
      <c r="A15" s="1491"/>
      <c r="B15" s="3456"/>
      <c r="C15" s="1495" t="s">
        <v>921</v>
      </c>
      <c r="D15" s="859">
        <f ca="1">结果表!H108</f>
        <v>20441</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3.5"/>
  <cols>
    <col min="1" max="1" width="13.875" customWidth="1"/>
    <col min="11" max="17" width="0" hidden="1" customWidth="1"/>
    <col min="25" max="30" width="0" hidden="1" customWidth="1"/>
  </cols>
  <sheetData>
    <row r="1" spans="1:30">
      <c r="A1" s="3221">
        <f>基准地价修正!G23</f>
        <v>45302</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45302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234.93</v>
      </c>
      <c r="C4" s="854">
        <f>项目基本情况!C18</f>
        <v>0</v>
      </c>
      <c r="D4" s="854">
        <f>结果表!D118</f>
        <v>0</v>
      </c>
      <c r="E4" s="854">
        <f>结果表!E118</f>
        <v>0</v>
      </c>
      <c r="F4" s="854">
        <f>结果表!F118</f>
        <v>0</v>
      </c>
      <c r="G4" s="854">
        <f>结果表!G118</f>
        <v>0</v>
      </c>
      <c r="H4" s="854">
        <f ca="1">结果表!H118</f>
        <v>480</v>
      </c>
      <c r="I4" s="854">
        <f ca="1">结果表!I118</f>
        <v>20441</v>
      </c>
    </row>
    <row r="5" spans="1:9" ht="30" customHeight="1">
      <c r="A5" s="3462" t="s">
        <v>927</v>
      </c>
      <c r="B5" s="3462"/>
      <c r="C5" s="3462"/>
      <c r="D5" s="3462" t="str">
        <f>结果表!D119</f>
        <v>零元整</v>
      </c>
      <c r="E5" s="3462"/>
      <c r="F5" s="3462" t="str">
        <f>结果表!F119</f>
        <v>零元整</v>
      </c>
      <c r="G5" s="3462"/>
      <c r="H5" s="3462" t="str">
        <f ca="1">结果表!H119</f>
        <v>肆佰捌拾万元整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480</v>
      </c>
      <c r="E8" s="3463"/>
      <c r="F8" s="3463"/>
      <c r="G8" s="3463"/>
      <c r="H8" s="3463"/>
      <c r="I8" s="3463"/>
    </row>
    <row r="9" spans="1:9" ht="15">
      <c r="A9" s="3462" t="s">
        <v>927</v>
      </c>
      <c r="B9" s="3462"/>
      <c r="C9" s="3462"/>
      <c r="D9" s="3462" t="str">
        <f ca="1">结果表!D123</f>
        <v>肆佰捌拾万元整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45302</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2024-01-11T07:02:09Z</dcterms:modified>
</cp:coreProperties>
</file>